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ster" sheetId="1" state="visible" r:id="rId2"/>
    <sheet name="Completed Trades" sheetId="2" state="visible" r:id="rId3"/>
    <sheet name="Contract Calculator" sheetId="3" state="visible" r:id="rId4"/>
    <sheet name="League Info" sheetId="4" state="visible" r:id="rId5"/>
    <sheet name="All Contracts" sheetId="5" state="visible" r:id="rId6"/>
    <sheet name="Salary Matching Calculator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3" authorId="0">
      <text>
        <r>
          <rPr>
            <sz val="10"/>
            <color rgb="FF000000"/>
            <rFont val="Arial"/>
            <family val="0"/>
            <charset val="1"/>
          </rPr>
          <t xml:space="preserve">Available if team uses cap space to sign players. If a team uses cap space, this is the free agency exception they'll have availlable.</t>
        </r>
      </text>
    </comment>
    <comment ref="O14" authorId="0">
      <text>
        <r>
          <rPr>
            <sz val="10"/>
            <color rgb="FF000000"/>
            <rFont val="Arial"/>
            <family val="0"/>
            <charset val="1"/>
          </rPr>
          <t xml:space="preserve">A team can use its BAE once every two years</t>
        </r>
      </text>
    </comment>
    <comment ref="O20" authorId="0">
      <text>
        <r>
          <rPr>
            <sz val="10"/>
            <color rgb="FF000000"/>
            <rFont val="Arial"/>
            <family val="0"/>
            <charset val="1"/>
          </rPr>
          <t xml:space="preserve">Free-Agency Types:
UFA - Unrestricted Free-Agent
RFA - Restricted Free-Agent</t>
        </r>
      </text>
    </comment>
    <comment ref="Q20" authorId="0">
      <text>
        <r>
          <rPr>
            <sz val="10"/>
            <color rgb="FF000000"/>
            <rFont val="Arial"/>
            <family val="0"/>
            <charset val="1"/>
          </rPr>
          <t xml:space="preserve">Bird Rights:
Full Bird Rights - No Limit
Early Bird Rights - 175%
Non-Bird Rights - 120%
Full - Player can be re-signed to any amount without regard to the salary cap.
Early-Bird - Player can be re-signed up to 175% of their previous contract without regard to the salary cap. If you want to re-sign the player for more, you'll have to use a free agency exception or cap space.
Non-Bird - Player can be re-signed up to 120% of their previous contract without regard to the salary cap. If you want to re-sign the player for more, you'll have to use a free agency exception or cap space.</t>
        </r>
      </text>
    </comment>
    <comment ref="S3" authorId="0">
      <text>
        <r>
          <rPr>
            <sz val="10"/>
            <color rgb="FF000000"/>
            <rFont val="Arial"/>
            <family val="0"/>
            <charset val="1"/>
          </rPr>
          <t xml:space="preserve">Cap holds don't apply until 2025-2026 league years starts (at the start of free agency)</t>
        </r>
      </text>
    </comment>
    <comment ref="T8" authorId="0">
      <text>
        <r>
          <rPr>
            <sz val="10"/>
            <color rgb="FF000000"/>
            <rFont val="Arial"/>
            <family val="0"/>
            <charset val="1"/>
          </rPr>
          <t xml:space="preserve">If a hard cap is in place, your salary can not surpass the 1st apron line.</t>
        </r>
      </text>
    </comment>
    <comment ref="U12" authorId="0">
      <text>
        <r>
          <rPr>
            <sz val="10"/>
            <color rgb="FF000000"/>
            <rFont val="Arial"/>
            <family val="0"/>
            <charset val="1"/>
          </rPr>
          <t xml:space="preserve">*Using the Bi-Annual Exception or Full Mid-Level Exception puts a hard cap in place at the tax apron.</t>
        </r>
      </text>
    </comment>
  </commentList>
</comments>
</file>

<file path=xl/sharedStrings.xml><?xml version="1.0" encoding="utf-8"?>
<sst xmlns="http://schemas.openxmlformats.org/spreadsheetml/2006/main" count="313" uniqueCount="196">
  <si>
    <t xml:space="preserve">GM &amp; Head Coach</t>
  </si>
  <si>
    <t xml:space="preserve">KEY</t>
  </si>
  <si>
    <t xml:space="preserve">Salary Information</t>
  </si>
  <si>
    <t xml:space="preserve">GM:</t>
  </si>
  <si>
    <t xml:space="preserve">Erik Olson</t>
  </si>
  <si>
    <t xml:space="preserve">Player Option</t>
  </si>
  <si>
    <t xml:space="preserve">10 Day Contract</t>
  </si>
  <si>
    <t xml:space="preserve">Cap Hold</t>
  </si>
  <si>
    <t xml:space="preserve">Salary w/ Holds</t>
  </si>
  <si>
    <t xml:space="preserve">Salary w/o Holds</t>
  </si>
  <si>
    <t xml:space="preserve">Total Cap Holds</t>
  </si>
  <si>
    <t xml:space="preserve">Head Coach:</t>
  </si>
  <si>
    <t xml:space="preserve">Charles Lee</t>
  </si>
  <si>
    <t xml:space="preserve">Team Option</t>
  </si>
  <si>
    <t xml:space="preserve">Non-Guaranteed</t>
  </si>
  <si>
    <t xml:space="preserve">Estimated</t>
  </si>
  <si>
    <t xml:space="preserve">Total sal</t>
  </si>
  <si>
    <t xml:space="preserve">Salary Cap Space</t>
  </si>
  <si>
    <t xml:space="preserve">Cap Lines</t>
  </si>
  <si>
    <t xml:space="preserve">NBA Year:</t>
  </si>
  <si>
    <t xml:space="preserve">Charlotte Hornets</t>
  </si>
  <si>
    <t xml:space="preserve">Salary for Cap</t>
  </si>
  <si>
    <t xml:space="preserve">Salary Floor</t>
  </si>
  <si>
    <t xml:space="preserve">Portland Trail Blazers</t>
  </si>
  <si>
    <t xml:space="preserve">Cap Space</t>
  </si>
  <si>
    <t xml:space="preserve">Salary Cap</t>
  </si>
  <si>
    <t xml:space="preserve">Hard-Capped</t>
  </si>
  <si>
    <t xml:space="preserve">Luxury Tax Space</t>
  </si>
  <si>
    <t xml:space="preserve">Luxury Tax</t>
  </si>
  <si>
    <t xml:space="preserve">HARD-CAPPED?</t>
  </si>
  <si>
    <t xml:space="preserve">Cause?</t>
  </si>
  <si>
    <t xml:space="preserve">1st Apron Space</t>
  </si>
  <si>
    <t xml:space="preserve">1st Apron</t>
  </si>
  <si>
    <t xml:space="preserve">2nd Apron Space</t>
  </si>
  <si>
    <t xml:space="preserve">2nd Apron</t>
  </si>
  <si>
    <t xml:space="preserve">Free Agency Exceptions</t>
  </si>
  <si>
    <t xml:space="preserve">Available?</t>
  </si>
  <si>
    <t xml:space="preserve">Used?</t>
  </si>
  <si>
    <t xml:space="preserve">Remaining</t>
  </si>
  <si>
    <t xml:space="preserve">Institutes Hard Cap?</t>
  </si>
  <si>
    <t xml:space="preserve">Cap Room Exception</t>
  </si>
  <si>
    <t xml:space="preserve">No</t>
  </si>
  <si>
    <t xml:space="preserve">Bi-Annual Exception (BAE)</t>
  </si>
  <si>
    <t xml:space="preserve">YES</t>
  </si>
  <si>
    <t xml:space="preserve">At 1st Apron</t>
  </si>
  <si>
    <t xml:space="preserve">Tax-Payer Mid-Level Exception (MLE)</t>
  </si>
  <si>
    <t xml:space="preserve">At 2nd Apron</t>
  </si>
  <si>
    <t xml:space="preserve">Full Mid-Level Exception (MLE)</t>
  </si>
  <si>
    <t xml:space="preserve">Current Cap Holds</t>
  </si>
  <si>
    <t xml:space="preserve">Players</t>
  </si>
  <si>
    <t xml:space="preserve">Roster Holds &amp; Exceptions:</t>
  </si>
  <si>
    <t xml:space="preserve">Type:</t>
  </si>
  <si>
    <t xml:space="preserve">Bird Rights:</t>
  </si>
  <si>
    <t xml:space="preserve">Amount:</t>
  </si>
  <si>
    <t xml:space="preserve">Title:</t>
  </si>
  <si>
    <t xml:space="preserve">Josh Green</t>
  </si>
  <si>
    <t xml:space="preserve"> TPE</t>
  </si>
  <si>
    <t xml:space="preserve">Grant Williams</t>
  </si>
  <si>
    <t xml:space="preserve">	 $ 4,010,160.00 </t>
  </si>
  <si>
    <t xml:space="preserve">Former Player Salary</t>
  </si>
  <si>
    <t xml:space="preserve">Total Cap Holds (Players):</t>
  </si>
  <si>
    <t xml:space="preserve">Total Cap Holds (Roster &amp; Exceptions):</t>
  </si>
  <si>
    <t xml:space="preserve">Two-Way Players</t>
  </si>
  <si>
    <t xml:space="preserve">Traded Player Exceptions</t>
  </si>
  <si>
    <t xml:space="preserve">EXISTING</t>
  </si>
  <si>
    <t xml:space="preserve">NEW</t>
  </si>
  <si>
    <t xml:space="preserve">From:</t>
  </si>
  <si>
    <t xml:space="preserve">Expiration Date:</t>
  </si>
  <si>
    <t xml:space="preserve">Unsigned Draft Picks</t>
  </si>
  <si>
    <t xml:space="preserve">Tyler Harvey</t>
  </si>
  <si>
    <t xml:space="preserve">James Nnaji</t>
  </si>
  <si>
    <t xml:space="preserve">Current Draft Picks</t>
  </si>
  <si>
    <t xml:space="preserve">Pick</t>
  </si>
  <si>
    <t xml:space="preserve">Team</t>
  </si>
  <si>
    <t xml:space="preserve">4th Pick</t>
  </si>
  <si>
    <t xml:space="preserve">CHA</t>
  </si>
  <si>
    <t xml:space="preserve">33rd Pick</t>
  </si>
  <si>
    <r>
      <rPr>
        <sz val="9"/>
        <color rgb="FF000000"/>
        <rFont val="Arial"/>
        <family val="0"/>
        <charset val="1"/>
      </rPr>
      <t xml:space="preserve">*If a pick is</t>
    </r>
    <r>
      <rPr>
        <sz val="9"/>
        <color rgb="FFFF0000"/>
        <rFont val="Arial"/>
        <family val="0"/>
        <charset val="1"/>
      </rPr>
      <t xml:space="preserve"> red</t>
    </r>
    <r>
      <rPr>
        <sz val="9"/>
        <color rgb="FF000000"/>
        <rFont val="Arial"/>
        <family val="0"/>
        <charset val="1"/>
      </rPr>
      <t xml:space="preserve">, it is owed to another team with conditions or protections placed upon it.</t>
    </r>
  </si>
  <si>
    <r>
      <rPr>
        <sz val="9"/>
        <color rgb="FF000000"/>
        <rFont val="Arial"/>
        <family val="0"/>
        <charset val="1"/>
      </rPr>
      <t xml:space="preserve">*If a pick is </t>
    </r>
    <r>
      <rPr>
        <sz val="9"/>
        <color rgb="FF0000FF"/>
        <rFont val="Arial"/>
        <family val="0"/>
        <charset val="1"/>
      </rPr>
      <t xml:space="preserve">blue</t>
    </r>
    <r>
      <rPr>
        <sz val="9"/>
        <color rgb="FF000000"/>
        <rFont val="Arial"/>
        <family val="0"/>
        <charset val="1"/>
      </rPr>
      <t xml:space="preserve">, then it is a pick-swap. You may trade picks that're part of a swap as long as you don't break the </t>
    </r>
    <r>
      <rPr>
        <b val="true"/>
        <sz val="9"/>
        <color rgb="FF000000"/>
        <rFont val="Arial"/>
        <family val="0"/>
        <charset val="1"/>
      </rPr>
      <t xml:space="preserve">Stepien Rule</t>
    </r>
    <r>
      <rPr>
        <sz val="9"/>
        <color rgb="FF000000"/>
        <rFont val="Arial"/>
        <family val="0"/>
        <charset val="1"/>
      </rPr>
      <t xml:space="preserve">.</t>
    </r>
  </si>
  <si>
    <r>
      <rPr>
        <sz val="9"/>
        <color rgb="FF000000"/>
        <rFont val="Arial"/>
        <family val="0"/>
        <charset val="1"/>
      </rPr>
      <t xml:space="preserve">*If a pick is </t>
    </r>
    <r>
      <rPr>
        <sz val="9"/>
        <color rgb="FF008000"/>
        <rFont val="Arial"/>
        <family val="0"/>
        <charset val="1"/>
      </rPr>
      <t xml:space="preserve">green</t>
    </r>
    <r>
      <rPr>
        <sz val="9"/>
        <color rgb="FF000000"/>
        <rFont val="Arial"/>
        <family val="0"/>
        <charset val="1"/>
      </rPr>
      <t xml:space="preserve">, then it's part of a set of protections backing up a draft pick owed to another team.</t>
    </r>
  </si>
  <si>
    <t xml:space="preserve">Future 1st Round Picks</t>
  </si>
  <si>
    <t xml:space="preserve">Future 2nd Round Picks</t>
  </si>
  <si>
    <t xml:space="preserve">Code</t>
  </si>
  <si>
    <t xml:space="preserve">Year</t>
  </si>
  <si>
    <t xml:space="preserve">PROTECTIONS / CONDITIONS</t>
  </si>
  <si>
    <t xml:space="preserve">2026 1st Round Pick</t>
  </si>
  <si>
    <t xml:space="preserve">Least Favorable of PHX, WAS, ORL, MEM</t>
  </si>
  <si>
    <t xml:space="preserve">The least favorable of Phoenix's, Washington's, Orlando's, and Memphis' 2026 1st Round Picks</t>
  </si>
  <si>
    <t xml:space="preserve">2027 2nd Round Pick</t>
  </si>
  <si>
    <t xml:space="preserve">Best of POR, NOP</t>
  </si>
  <si>
    <t xml:space="preserve">The most favorable of Portland's and New Orleans' 2026 2nd Round Picks</t>
  </si>
  <si>
    <t xml:space="preserve">2028 2nd Round Pick</t>
  </si>
  <si>
    <t xml:space="preserve">Best of CHA, LAC</t>
  </si>
  <si>
    <t xml:space="preserve">The most favorable of Charlotte's and L.A. Clippers' 2028 2nd Round Picks</t>
  </si>
  <si>
    <t xml:space="preserve">Own Pick</t>
  </si>
  <si>
    <t xml:space="preserve">2029 2nd Round Pick</t>
  </si>
  <si>
    <t xml:space="preserve">2027 1st Round Pick</t>
  </si>
  <si>
    <t xml:space="preserve">DEN</t>
  </si>
  <si>
    <t xml:space="preserve">Denver's 2029 2nd Round Pick, conveyable if Denver conveys a 1st Round Pick to Oklahoma City by 2029</t>
  </si>
  <si>
    <t xml:space="preserve">DAL</t>
  </si>
  <si>
    <t xml:space="preserve">Protected for selectoins 1-2, if not conveyed, Dallas will instead convey MIA 2028 2nd Round Pick</t>
  </si>
  <si>
    <t xml:space="preserve">MIA</t>
  </si>
  <si>
    <t xml:space="preserve">Protected 1-14 in 2027 and unprotected in 2028</t>
  </si>
  <si>
    <t xml:space="preserve">PHX</t>
  </si>
  <si>
    <t xml:space="preserve">Unprotected</t>
  </si>
  <si>
    <t xml:space="preserve">2028 1st Round Pick</t>
  </si>
  <si>
    <t xml:space="preserve">2030 2nd Round Pick</t>
  </si>
  <si>
    <t xml:space="preserve">LAC</t>
  </si>
  <si>
    <t xml:space="preserve">2029 1st Round Pick</t>
  </si>
  <si>
    <t xml:space="preserve">2031 2nd Round Pick</t>
  </si>
  <si>
    <t xml:space="preserve">2030 1st Round Pick</t>
  </si>
  <si>
    <t xml:space="preserve">2031 1st Round Pick</t>
  </si>
  <si>
    <t xml:space="preserve">GSW</t>
  </si>
  <si>
    <t xml:space="preserve">To CHA unprotected. If Golden State does not convey a 2030 1st Round Pick [protected 1-20] to Washington, becomes Charlotte's right to swap 2031 1st Round Picks with Golden State)</t>
  </si>
  <si>
    <t xml:space="preserve">NBA Contract Calculator</t>
  </si>
  <si>
    <t xml:space="preserve">Salary in Each Year</t>
  </si>
  <si>
    <t xml:space="preserve">Total </t>
  </si>
  <si>
    <t xml:space="preserve">Example Contract Structure</t>
  </si>
  <si>
    <t xml:space="preserve">Assumes maximum raise or salary decrease in each year of contract unless flat, Does not consider "Arenas" restricted FA</t>
  </si>
  <si>
    <t xml:space="preserve">Ascending</t>
  </si>
  <si>
    <t xml:space="preserve">% of Year 1</t>
  </si>
  <si>
    <t xml:space="preserve">Non-Bird/MLE/Bi-annual Ascending</t>
  </si>
  <si>
    <t xml:space="preserve">Non-Bird/MLE/Bi-annual Descending</t>
  </si>
  <si>
    <t xml:space="preserve">1 year deal</t>
  </si>
  <si>
    <t xml:space="preserve">2 year deal</t>
  </si>
  <si>
    <t xml:space="preserve">3 year deal</t>
  </si>
  <si>
    <t xml:space="preserve">4 year deal</t>
  </si>
  <si>
    <t xml:space="preserve">5 year deal</t>
  </si>
  <si>
    <t xml:space="preserve">Year 1 </t>
  </si>
  <si>
    <t xml:space="preserve">Input Contract Info in C8-C11</t>
  </si>
  <si>
    <t xml:space="preserve">Year 2</t>
  </si>
  <si>
    <t xml:space="preserve">Contract Info:</t>
  </si>
  <si>
    <t xml:space="preserve">Year 3</t>
  </si>
  <si>
    <t xml:space="preserve">Total Contract Value</t>
  </si>
  <si>
    <t xml:space="preserve">Year 4</t>
  </si>
  <si>
    <t xml:space="preserve"># of Years</t>
  </si>
  <si>
    <t xml:space="preserve">Descending</t>
  </si>
  <si>
    <t xml:space="preserve">Year 5</t>
  </si>
  <si>
    <t xml:space="preserve">Early-Bird or Bird Rights used?</t>
  </si>
  <si>
    <t xml:space="preserve">Yes</t>
  </si>
  <si>
    <t xml:space="preserve">Total</t>
  </si>
  <si>
    <r>
      <rPr>
        <b val="true"/>
        <sz val="11"/>
        <color rgb="FFFF0000"/>
        <rFont val="Calibri, Arial"/>
        <family val="0"/>
        <charset val="1"/>
      </rPr>
      <t xml:space="preserve">-OR- </t>
    </r>
    <r>
      <rPr>
        <sz val="11"/>
        <color rgb="FF000000"/>
        <rFont val="Calibri, Arial"/>
        <family val="0"/>
        <charset val="1"/>
      </rPr>
      <t xml:space="preserve">Year 1 Value </t>
    </r>
    <r>
      <rPr>
        <b val="true"/>
        <sz val="11"/>
        <color rgb="FFFF0000"/>
        <rFont val="Calibri, Arial"/>
        <family val="0"/>
        <charset val="1"/>
      </rPr>
      <t xml:space="preserve">(Toggle G2)</t>
    </r>
  </si>
  <si>
    <t xml:space="preserve">Early-Bird/Bird Ascending</t>
  </si>
  <si>
    <t xml:space="preserve">Early-Bird/Bird Descending</t>
  </si>
  <si>
    <t xml:space="preserve">Starting Salary if (Used for Total Contract Value):</t>
  </si>
  <si>
    <t xml:space="preserve">Early-Bird/Bird</t>
  </si>
  <si>
    <t xml:space="preserve">Flat</t>
  </si>
  <si>
    <t xml:space="preserve">Non-Bird/MLE/Bi-annual</t>
  </si>
  <si>
    <t xml:space="preserve">League Year:</t>
  </si>
  <si>
    <t xml:space="preserve">Salary Cap:</t>
  </si>
  <si>
    <t xml:space="preserve">Salary Floor:</t>
  </si>
  <si>
    <t xml:space="preserve">Tax Line:</t>
  </si>
  <si>
    <t xml:space="preserve">First Apron:</t>
  </si>
  <si>
    <t xml:space="preserve">Second Apron:</t>
  </si>
  <si>
    <t xml:space="preserve">Full MLE:</t>
  </si>
  <si>
    <t xml:space="preserve">TPMLE:</t>
  </si>
  <si>
    <t xml:space="preserve">Room Exception:</t>
  </si>
  <si>
    <t xml:space="preserve">Bi-Annual Exception: </t>
  </si>
  <si>
    <t xml:space="preserve">Average Contract: </t>
  </si>
  <si>
    <t xml:space="preserve">2025-26 Vet Min Table:</t>
  </si>
  <si>
    <t xml:space="preserve">2025 1st Round Draft Pick Table:</t>
  </si>
  <si>
    <t xml:space="preserve">Years of Service:</t>
  </si>
  <si>
    <t xml:space="preserve">Salary:</t>
  </si>
  <si>
    <t xml:space="preserve">Pick Number:</t>
  </si>
  <si>
    <t xml:space="preserve">Year 1:</t>
  </si>
  <si>
    <t xml:space="preserve">Year 2:</t>
  </si>
  <si>
    <t xml:space="preserve">Year 3 (Option):</t>
  </si>
  <si>
    <t xml:space="preserve">Year 4 (Option):</t>
  </si>
  <si>
    <t xml:space="preserve">10+</t>
  </si>
  <si>
    <t xml:space="preserve">OUTGOING SALARY</t>
  </si>
  <si>
    <t xml:space="preserve">Team:</t>
  </si>
  <si>
    <t xml:space="preserve">Orlando Magic</t>
  </si>
  <si>
    <t xml:space="preserve">Washington Wizards</t>
  </si>
  <si>
    <t xml:space="preserve">INCOMING SALARY</t>
  </si>
  <si>
    <t xml:space="preserve">Year:</t>
  </si>
  <si>
    <t xml:space="preserve">Player:</t>
  </si>
  <si>
    <t xml:space="preserve">Jonathan Isaac</t>
  </si>
  <si>
    <t xml:space="preserve">Khris Middleton</t>
  </si>
  <si>
    <t xml:space="preserve">Cap number:</t>
  </si>
  <si>
    <t xml:space="preserve">Jett Howard</t>
  </si>
  <si>
    <t xml:space="preserve">Estimated Cap YoY:</t>
  </si>
  <si>
    <t xml:space="preserve">Low threshold: (200%)</t>
  </si>
  <si>
    <t xml:space="preserve">to</t>
  </si>
  <si>
    <t xml:space="preserve">Mid threshold: (buffer)</t>
  </si>
  <si>
    <t xml:space="preserve">High threshold: (125%)</t>
  </si>
  <si>
    <t xml:space="preserve">Infinity</t>
  </si>
  <si>
    <t xml:space="preserve">Buffer Value:</t>
  </si>
  <si>
    <t xml:space="preserve">Salary threshold:</t>
  </si>
  <si>
    <t xml:space="preserve">Max tradeable salary: </t>
  </si>
  <si>
    <t xml:space="preserve">Min tradeable salary: </t>
  </si>
  <si>
    <t xml:space="preserve">Total Salary:</t>
  </si>
  <si>
    <t xml:space="preserve">Cap Space:</t>
  </si>
  <si>
    <t xml:space="preserve">1st Apron Space:</t>
  </si>
  <si>
    <t xml:space="preserve">2nd Apron Space:</t>
  </si>
  <si>
    <t xml:space="preserve">Dead Cap:</t>
  </si>
  <si>
    <t xml:space="preserve">Cap Holds: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</si>
</sst>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\$* #,##0.00_);_(\$* \(#,##0.00\);_(\$* \-??_);_(@_)"/>
    <numFmt numFmtId="166" formatCode="\$#,##0"/>
    <numFmt numFmtId="167" formatCode="General"/>
    <numFmt numFmtId="168" formatCode="m/d/yyyy"/>
    <numFmt numFmtId="169" formatCode="_(* #,##0_);_(* \(#,##0\);_(* \-??_);_(@_)"/>
    <numFmt numFmtId="170" formatCode="0%"/>
    <numFmt numFmtId="171" formatCode="@"/>
    <numFmt numFmtId="172" formatCode="0.00%"/>
    <numFmt numFmtId="173" formatCode="\$#,##0.0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9"/>
      <color rgb="FFFFFFFF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FFFFFF"/>
      <name val="Arial"/>
      <family val="0"/>
      <charset val="1"/>
    </font>
    <font>
      <b val="true"/>
      <sz val="9"/>
      <color rgb="FFFFE5A0"/>
      <name val="Arial"/>
      <family val="0"/>
      <charset val="1"/>
    </font>
    <font>
      <sz val="9"/>
      <color rgb="FFFF0000"/>
      <name val="Arial"/>
      <family val="0"/>
      <charset val="1"/>
    </font>
    <font>
      <sz val="9"/>
      <color rgb="FF0000FF"/>
      <name val="Arial"/>
      <family val="0"/>
      <charset val="1"/>
    </font>
    <font>
      <sz val="9"/>
      <color rgb="FF008000"/>
      <name val="Arial"/>
      <family val="0"/>
      <charset val="1"/>
    </font>
    <font>
      <b val="true"/>
      <sz val="9"/>
      <color rgb="FF0000FF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C55A11"/>
      <name val="Calibri"/>
      <family val="0"/>
      <charset val="1"/>
    </font>
    <font>
      <b val="true"/>
      <sz val="11"/>
      <color rgb="FFFF0000"/>
      <name val="Calibri, Arial"/>
      <family val="0"/>
      <charset val="1"/>
    </font>
    <font>
      <sz val="11"/>
      <color rgb="FF000000"/>
      <name val="Calibri, Arial"/>
      <family val="0"/>
      <charset val="1"/>
    </font>
    <font>
      <b val="true"/>
      <sz val="9"/>
      <color rgb="FF000000"/>
      <name val="Calibri"/>
      <family val="0"/>
      <charset val="1"/>
    </font>
    <font>
      <sz val="19"/>
      <color rgb="FF000000"/>
      <name val="Calibri"/>
      <family val="0"/>
      <charset val="1"/>
    </font>
    <font>
      <sz val="19"/>
      <color rgb="FF000000"/>
      <name val="Arial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109BB3"/>
        <bgColor rgb="FF118BCB"/>
      </patternFill>
    </fill>
    <fill>
      <patternFill patternType="solid">
        <fgColor rgb="FFDB1616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34A853"/>
        <bgColor rgb="FF00B050"/>
      </patternFill>
    </fill>
    <fill>
      <patternFill patternType="solid">
        <fgColor rgb="FFFFCC00"/>
        <bgColor rgb="FFFBBC04"/>
      </patternFill>
    </fill>
    <fill>
      <patternFill patternType="solid">
        <fgColor rgb="FFFF0000"/>
        <bgColor rgb="FFDB1616"/>
      </patternFill>
    </fill>
    <fill>
      <patternFill patternType="solid">
        <fgColor rgb="FFF3F3F3"/>
        <bgColor rgb="FFEFEFEF"/>
      </patternFill>
    </fill>
    <fill>
      <patternFill patternType="solid">
        <fgColor rgb="FF00CCFF"/>
        <bgColor rgb="FF00FFFF"/>
      </patternFill>
    </fill>
    <fill>
      <patternFill patternType="solid">
        <fgColor rgb="FFA5A5A5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F3F3F3"/>
      </patternFill>
    </fill>
    <fill>
      <patternFill patternType="solid">
        <fgColor rgb="FF00B050"/>
        <bgColor rgb="FF34A853"/>
      </patternFill>
    </fill>
    <fill>
      <patternFill patternType="solid">
        <fgColor rgb="FF666666"/>
        <bgColor rgb="FF808080"/>
      </patternFill>
    </fill>
    <fill>
      <patternFill patternType="solid">
        <fgColor rgb="FF0000FF"/>
        <bgColor rgb="FF0000FF"/>
      </patternFill>
    </fill>
    <fill>
      <patternFill patternType="solid">
        <fgColor rgb="FFFF6D01"/>
        <bgColor rgb="FFC55A11"/>
      </patternFill>
    </fill>
    <fill>
      <patternFill patternType="solid">
        <fgColor rgb="FFFBBC04"/>
        <bgColor rgb="FFFFCC00"/>
      </patternFill>
    </fill>
    <fill>
      <patternFill patternType="solid">
        <fgColor rgb="FFFFF2CC"/>
        <bgColor rgb="FFF3F3F3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7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8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1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11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1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9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1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4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4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4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1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15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1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6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1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1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1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1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6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7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19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9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9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9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17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17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3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4" fillId="1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8" fillId="0" borderId="3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4" fillId="19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3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19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17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0000"/>
      </font>
      <fill>
        <patternFill>
          <bgColor rgb="FF00CCFF"/>
        </patternFill>
      </fill>
    </dxf>
    <dxf>
      <font>
        <color rgb="FFFFFFFF"/>
      </font>
      <fill>
        <patternFill>
          <bgColor rgb="FF34A853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000000"/>
        </patternFill>
      </fill>
    </dxf>
    <dxf>
      <font>
        <color rgb="FF34A853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i val="1"/>
      </font>
      <fill>
        <patternFill>
          <bgColor rgb="FFFFFFFF"/>
        </patternFill>
      </fill>
    </dxf>
    <dxf>
      <fill>
        <patternFill>
          <bgColor rgb="FFB7E1CD"/>
        </patternFill>
      </fill>
    </dxf>
    <dxf>
      <font>
        <color rgb="FFFFFFFF"/>
      </font>
      <fill>
        <patternFill>
          <bgColor rgb="FF999999"/>
        </patternFill>
      </fill>
    </dxf>
    <dxf>
      <font>
        <color rgb="FFFFFFFF"/>
      </font>
      <fill>
        <patternFill>
          <bgColor rgb="FF118BCB"/>
        </patternFill>
      </fill>
    </dxf>
    <dxf>
      <fill>
        <patternFill>
          <bgColor rgb="FF34A853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18BCB"/>
      <rgbColor rgb="FFA5A5A5"/>
      <rgbColor rgb="FF808080"/>
      <rgbColor rgb="FF9999FF"/>
      <rgbColor rgb="FFDB1616"/>
      <rgbColor rgb="FFFFF2CC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109BB3"/>
      <rgbColor rgb="FF0000FF"/>
      <rgbColor rgb="FF00CCFF"/>
      <rgbColor rgb="FFF3F3F3"/>
      <rgbColor rgb="FFB7E1CD"/>
      <rgbColor rgb="FFFFFF99"/>
      <rgbColor rgb="FF99CCFF"/>
      <rgbColor rgb="FFFF99CC"/>
      <rgbColor rgb="FFCC99FF"/>
      <rgbColor rgb="FFFFE5A0"/>
      <rgbColor rgb="FF3366FF"/>
      <rgbColor rgb="FF00B050"/>
      <rgbColor rgb="FF99CC00"/>
      <rgbColor rgb="FFFFCC00"/>
      <rgbColor rgb="FFFBBC04"/>
      <rgbColor rgb="FFFF6D01"/>
      <rgbColor rgb="FF666666"/>
      <rgbColor rgb="FF999999"/>
      <rgbColor rgb="FF003366"/>
      <rgbColor rgb="FF34A853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28800</xdr:colOff>
      <xdr:row>1</xdr:row>
      <xdr:rowOff>123120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273600" y="200160"/>
          <a:ext cx="398520" cy="123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25"/>
  <sheetViews>
    <sheetView showFormulas="false" showGridLines="true" showRowColHeaders="true" showZeros="true" rightToLeft="false" tabSelected="true" showOutlineSymbols="true" defaultGridColor="true" view="normal" topLeftCell="F8" colorId="64" zoomScale="100" zoomScaleNormal="100" zoomScalePageLayoutView="100" workbookViewId="0">
      <selection pane="topLeft" activeCell="S31" activeCellId="0" sqref="S31"/>
    </sheetView>
  </sheetViews>
  <sheetFormatPr defaultColWidth="12.66015625" defaultRowHeight="15.75" zeroHeight="false" outlineLevelRow="0" outlineLevelCol="1"/>
  <cols>
    <col collapsed="false" customWidth="true" hidden="false" outlineLevel="0" max="1" min="1" style="0" width="3.88"/>
    <col collapsed="false" customWidth="true" hidden="false" outlineLevel="0" max="2" min="2" style="0" width="5.24"/>
    <col collapsed="false" customWidth="true" hidden="false" outlineLevel="0" max="3" min="3" style="0" width="20.25"/>
    <col collapsed="false" customWidth="true" hidden="false" outlineLevel="0" max="4" min="4" style="0" width="17.25"/>
    <col collapsed="false" customWidth="true" hidden="true" outlineLevel="1" max="5" min="5" style="0" width="17.25"/>
    <col collapsed="false" customWidth="true" hidden="false" outlineLevel="0" max="6" min="6" style="0" width="17.25"/>
    <col collapsed="false" customWidth="true" hidden="true" outlineLevel="1" max="7" min="7" style="0" width="17.25"/>
    <col collapsed="false" customWidth="true" hidden="false" outlineLevel="0" max="8" min="8" style="0" width="17.25"/>
    <col collapsed="false" customWidth="true" hidden="true" outlineLevel="1" max="9" min="9" style="0" width="17.25"/>
    <col collapsed="false" customWidth="true" hidden="false" outlineLevel="0" max="10" min="10" style="0" width="17.25"/>
    <col collapsed="false" customWidth="true" hidden="true" outlineLevel="1" max="11" min="11" style="0" width="17.25"/>
    <col collapsed="false" customWidth="true" hidden="false" outlineLevel="0" max="12" min="12" style="0" width="17.25"/>
    <col collapsed="false" customWidth="true" hidden="true" outlineLevel="1" max="13" min="13" style="0" width="17.25"/>
    <col collapsed="false" customWidth="true" hidden="false" outlineLevel="0" max="14" min="14" style="0" width="5.5"/>
    <col collapsed="false" customWidth="true" hidden="false" outlineLevel="0" max="15" min="15" style="0" width="6.88"/>
    <col collapsed="false" customWidth="true" hidden="false" outlineLevel="0" max="16" min="16" style="0" width="20.25"/>
    <col collapsed="false" customWidth="true" hidden="false" outlineLevel="0" max="17" min="17" style="0" width="18.73"/>
    <col collapsed="false" customWidth="true" hidden="false" outlineLevel="0" max="21" min="18" style="0" width="17.25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5.75" hidden="false" customHeight="true" outlineLevel="0" collapsed="false">
      <c r="A2" s="2"/>
      <c r="B2" s="3"/>
      <c r="C2" s="3"/>
      <c r="D2" s="4" t="s">
        <v>0</v>
      </c>
      <c r="E2" s="4"/>
      <c r="F2" s="4"/>
      <c r="G2" s="5"/>
      <c r="H2" s="6" t="s">
        <v>1</v>
      </c>
      <c r="I2" s="6"/>
      <c r="J2" s="6"/>
      <c r="K2" s="6"/>
      <c r="L2" s="6"/>
      <c r="M2" s="7"/>
      <c r="N2" s="8"/>
      <c r="O2" s="4" t="s">
        <v>2</v>
      </c>
      <c r="P2" s="4"/>
      <c r="Q2" s="4"/>
      <c r="R2" s="4"/>
      <c r="S2" s="4"/>
      <c r="T2" s="4"/>
      <c r="U2" s="4"/>
      <c r="V2" s="1"/>
      <c r="W2" s="1"/>
      <c r="X2" s="1"/>
      <c r="Y2" s="1"/>
      <c r="Z2" s="1"/>
      <c r="AA2" s="1"/>
      <c r="AB2" s="1"/>
      <c r="AC2" s="1"/>
      <c r="AD2" s="1"/>
      <c r="AE2" s="1"/>
    </row>
    <row r="3" customFormat="false" ht="15.75" hidden="false" customHeight="true" outlineLevel="0" collapsed="false">
      <c r="A3" s="2"/>
      <c r="B3" s="3"/>
      <c r="C3" s="3"/>
      <c r="D3" s="9" t="s">
        <v>3</v>
      </c>
      <c r="E3" s="1"/>
      <c r="F3" s="10" t="s">
        <v>4</v>
      </c>
      <c r="G3" s="11"/>
      <c r="H3" s="12" t="s">
        <v>5</v>
      </c>
      <c r="I3" s="12"/>
      <c r="J3" s="13" t="s">
        <v>6</v>
      </c>
      <c r="K3" s="14"/>
      <c r="L3" s="15" t="s">
        <v>7</v>
      </c>
      <c r="M3" s="16"/>
      <c r="N3" s="8"/>
      <c r="O3" s="17" t="s">
        <v>8</v>
      </c>
      <c r="P3" s="17"/>
      <c r="Q3" s="18" t="n">
        <f aca="false">S3+U3</f>
        <v>196636291.94</v>
      </c>
      <c r="R3" s="17" t="s">
        <v>9</v>
      </c>
      <c r="S3" s="19" t="n">
        <f aca="false">D5</f>
        <v>190194162.94</v>
      </c>
      <c r="T3" s="17" t="s">
        <v>10</v>
      </c>
      <c r="U3" s="20" t="n">
        <f aca="false">$R$32+$U$32</f>
        <v>6442129</v>
      </c>
      <c r="V3" s="1"/>
      <c r="W3" s="1"/>
      <c r="X3" s="1"/>
      <c r="Y3" s="1"/>
      <c r="Z3" s="1"/>
      <c r="AA3" s="1"/>
      <c r="AB3" s="1"/>
      <c r="AC3" s="1"/>
      <c r="AD3" s="1"/>
      <c r="AE3" s="1"/>
    </row>
    <row r="4" customFormat="false" ht="15.75" hidden="false" customHeight="true" outlineLevel="0" collapsed="false">
      <c r="A4" s="2"/>
      <c r="B4" s="3"/>
      <c r="C4" s="3"/>
      <c r="D4" s="21" t="s">
        <v>11</v>
      </c>
      <c r="E4" s="1"/>
      <c r="F4" s="22" t="s">
        <v>12</v>
      </c>
      <c r="G4" s="23"/>
      <c r="H4" s="24" t="s">
        <v>13</v>
      </c>
      <c r="I4" s="24"/>
      <c r="J4" s="25" t="s">
        <v>14</v>
      </c>
      <c r="K4" s="26"/>
      <c r="L4" s="27" t="s">
        <v>15</v>
      </c>
      <c r="M4" s="28"/>
      <c r="N4" s="2"/>
      <c r="O4" s="29"/>
      <c r="P4" s="29"/>
      <c r="Q4" s="29"/>
      <c r="R4" s="29"/>
      <c r="S4" s="29"/>
      <c r="T4" s="29"/>
      <c r="U4" s="29"/>
      <c r="V4" s="1"/>
      <c r="W4" s="1"/>
      <c r="X4" s="1"/>
      <c r="Y4" s="1"/>
      <c r="Z4" s="1"/>
      <c r="AA4" s="1"/>
      <c r="AB4" s="1"/>
      <c r="AC4" s="1"/>
      <c r="AD4" s="1"/>
      <c r="AE4" s="1"/>
    </row>
    <row r="5" customFormat="false" ht="15.75" hidden="false" customHeight="true" outlineLevel="0" collapsed="false">
      <c r="A5" s="2"/>
      <c r="B5" s="30"/>
      <c r="C5" s="30" t="s">
        <v>16</v>
      </c>
      <c r="D5" s="30" t="n">
        <f aca="false">SUM(D8:D23)</f>
        <v>190194162.94</v>
      </c>
      <c r="E5" s="30"/>
      <c r="F5" s="30"/>
      <c r="G5" s="30"/>
      <c r="H5" s="30"/>
      <c r="I5" s="30"/>
      <c r="J5" s="30"/>
      <c r="K5" s="30"/>
      <c r="L5" s="30"/>
      <c r="M5" s="2"/>
      <c r="N5" s="8"/>
      <c r="O5" s="31" t="s">
        <v>17</v>
      </c>
      <c r="P5" s="31"/>
      <c r="Q5" s="31"/>
      <c r="R5" s="32" t="s">
        <v>18</v>
      </c>
      <c r="S5" s="32"/>
      <c r="T5" s="33" t="s">
        <v>19</v>
      </c>
      <c r="U5" s="33"/>
      <c r="V5" s="1"/>
      <c r="W5" s="1"/>
      <c r="X5" s="1"/>
      <c r="Y5" s="1"/>
      <c r="Z5" s="1"/>
      <c r="AA5" s="1"/>
      <c r="AB5" s="1"/>
      <c r="AC5" s="1"/>
      <c r="AD5" s="1"/>
      <c r="AE5" s="1"/>
    </row>
    <row r="6" customFormat="false" ht="15.75" hidden="false" customHeight="true" outlineLevel="0" collapsed="false">
      <c r="A6" s="2"/>
      <c r="B6" s="34" t="s">
        <v>20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5"/>
      <c r="O6" s="36" t="s">
        <v>21</v>
      </c>
      <c r="P6" s="36"/>
      <c r="Q6" s="37" t="n">
        <f aca="false">Q3</f>
        <v>196636291.94</v>
      </c>
      <c r="R6" s="38" t="s">
        <v>22</v>
      </c>
      <c r="S6" s="39" t="n">
        <f aca="false">0.9*S7</f>
        <v>139182120</v>
      </c>
      <c r="T6" s="40" t="n">
        <f aca="false">'League Info'!C2</f>
        <v>2025</v>
      </c>
      <c r="U6" s="40"/>
      <c r="V6" s="1"/>
      <c r="W6" s="1"/>
      <c r="X6" s="1"/>
      <c r="Y6" s="1"/>
      <c r="Z6" s="1"/>
      <c r="AA6" s="1"/>
      <c r="AB6" s="1"/>
      <c r="AC6" s="1"/>
      <c r="AD6" s="1"/>
      <c r="AE6" s="1"/>
    </row>
    <row r="7" customFormat="false" ht="15.75" hidden="false" customHeight="true" outlineLevel="0" collapsed="false">
      <c r="A7" s="2"/>
      <c r="B7" s="41"/>
      <c r="C7" s="42" t="s">
        <v>23</v>
      </c>
      <c r="D7" s="36" t="str">
        <f aca="false">IF($T$6=2024,"2024-2025","2025-2026")</f>
        <v>2025-2026</v>
      </c>
      <c r="E7" s="36"/>
      <c r="F7" s="36" t="str">
        <f aca="false">IF($T$6=2024,"2025-2026","2026-2027")</f>
        <v>2026-2027</v>
      </c>
      <c r="G7" s="36"/>
      <c r="H7" s="36" t="str">
        <f aca="false">IF($T$6=2024,"2026-2027","2027-2028")</f>
        <v>2027-2028</v>
      </c>
      <c r="I7" s="36"/>
      <c r="J7" s="36" t="str">
        <f aca="false">IF($T$6=2024,"2027-2028","2028-2029")</f>
        <v>2028-2029</v>
      </c>
      <c r="K7" s="36"/>
      <c r="L7" s="36" t="str">
        <f aca="false">IF($T$6=2024,"2028-2029","2029-2030")</f>
        <v>2029-2030</v>
      </c>
      <c r="M7" s="43"/>
      <c r="N7" s="35"/>
      <c r="O7" s="36" t="s">
        <v>24</v>
      </c>
      <c r="P7" s="36"/>
      <c r="Q7" s="44" t="n">
        <f aca="false">IF(S7&gt;S3,S7-(S3+U3),S7-S3)</f>
        <v>-35547362.94</v>
      </c>
      <c r="R7" s="45" t="s">
        <v>25</v>
      </c>
      <c r="S7" s="39" t="n">
        <f aca="false">'League Info'!E3</f>
        <v>154646800</v>
      </c>
      <c r="T7" s="46" t="s">
        <v>26</v>
      </c>
      <c r="U7" s="46"/>
      <c r="V7" s="1"/>
      <c r="W7" s="1"/>
      <c r="X7" s="1"/>
      <c r="Y7" s="1"/>
      <c r="Z7" s="1"/>
      <c r="AA7" s="1"/>
      <c r="AB7" s="1"/>
      <c r="AC7" s="1"/>
      <c r="AD7" s="1"/>
      <c r="AE7" s="1"/>
    </row>
    <row r="8" customFormat="false" ht="15.75" hidden="false" customHeight="true" outlineLevel="0" collapsed="false">
      <c r="A8" s="2"/>
      <c r="B8" s="47" t="n">
        <v>1</v>
      </c>
      <c r="C8" s="48" t="str">
        <f aca="false">IFERROR(__xludf.dummyfunction("IF(T6=2024,Choosecols(FILTER('All Contracts'!A:N,('All Contracts'!B:B=B6)*('All Contracts'!D:D="""")),1,3,4,5,6,7,8,9,10,11,12),Choosecols(FILTER('All Contracts'!A:N,('All Contracts'!B:B=B6)*('All Contracts'!D:D="""")*('All Contracts'!E:E&lt;&gt;"""")),1,5,6,7,"&amp;"8,9,10,11,12,13,14))")," LaMelo Ball ")</f>
        <v>LaMelo Ball</v>
      </c>
      <c r="D8" s="49" t="n">
        <f aca="false">IFERROR(__xludf.dummyfunction("""COMPUTED_VALUE"""),37958760)</f>
        <v>37958760</v>
      </c>
      <c r="E8" s="50"/>
      <c r="F8" s="50" t="n">
        <f aca="false">IFERROR(__xludf.dummyfunction("""COMPUTED_VALUE"""),40770520)</f>
        <v>40770520</v>
      </c>
      <c r="G8" s="50"/>
      <c r="H8" s="50" t="n">
        <f aca="false">IFERROR(__xludf.dummyfunction("""COMPUTED_VALUE"""),43582280)</f>
        <v>43582280</v>
      </c>
      <c r="I8" s="50"/>
      <c r="J8" s="50" t="n">
        <f aca="false">IFERROR(__xludf.dummyfunction("""COMPUTED_VALUE"""),46394040)</f>
        <v>46394040</v>
      </c>
      <c r="K8" s="50"/>
      <c r="L8" s="50" t="n">
        <f aca="false">IFERROR(__xludf.dummyfunction("""COMPUTED_VALUE"""),69591060)</f>
        <v>69591060</v>
      </c>
      <c r="M8" s="51" t="str">
        <f aca="false">IFERROR(__xludf.dummyfunction("""COMPUTED_VALUE""")," UFA - Bird ")</f>
        <v>UFA - Bird</v>
      </c>
      <c r="N8" s="35"/>
      <c r="O8" s="36" t="s">
        <v>27</v>
      </c>
      <c r="P8" s="36"/>
      <c r="Q8" s="52" t="n">
        <f aca="false">S8-Q6+U3</f>
        <v>-2298300.94</v>
      </c>
      <c r="R8" s="45" t="s">
        <v>28</v>
      </c>
      <c r="S8" s="39" t="n">
        <f aca="false">S7*1.215</f>
        <v>187895862</v>
      </c>
      <c r="T8" s="53" t="s">
        <v>29</v>
      </c>
      <c r="U8" s="54" t="s">
        <v>30</v>
      </c>
      <c r="V8" s="1"/>
      <c r="W8" s="1"/>
      <c r="X8" s="1"/>
      <c r="Y8" s="1"/>
      <c r="Z8" s="1"/>
      <c r="AA8" s="1"/>
      <c r="AB8" s="1"/>
      <c r="AC8" s="1"/>
      <c r="AD8" s="1"/>
      <c r="AE8" s="1"/>
    </row>
    <row r="9" customFormat="false" ht="15.75" hidden="false" customHeight="true" outlineLevel="0" collapsed="false">
      <c r="A9" s="2"/>
      <c r="B9" s="47" t="n">
        <v>2</v>
      </c>
      <c r="C9" s="48" t="str">
        <f aca="false">IFERROR(__xludf.dummyfunction("""COMPUTED_VALUE""")," Miles Bridges ")</f>
        <v>Miles Bridges</v>
      </c>
      <c r="D9" s="55" t="n">
        <f aca="false">IFERROR(__xludf.dummyfunction("""COMPUTED_VALUE"""),25000000)</f>
        <v>25000000</v>
      </c>
      <c r="E9" s="56"/>
      <c r="F9" s="56" t="n">
        <f aca="false">IFERROR(__xludf.dummyfunction("""COMPUTED_VALUE"""),22826087)</f>
        <v>22826087</v>
      </c>
      <c r="G9" s="56"/>
      <c r="H9" s="56" t="n">
        <f aca="false">IFERROR(__xludf.dummyfunction("""COMPUTED_VALUE"""),34239131)</f>
        <v>34239131</v>
      </c>
      <c r="I9" s="56" t="str">
        <f aca="false">IFERROR(__xludf.dummyfunction("""COMPUTED_VALUE""")," UFA - Bird ")</f>
        <v>UFA - Bird</v>
      </c>
      <c r="J9" s="56"/>
      <c r="K9" s="56"/>
      <c r="L9" s="56"/>
      <c r="M9" s="51"/>
      <c r="N9" s="35"/>
      <c r="O9" s="36" t="s">
        <v>31</v>
      </c>
      <c r="P9" s="36"/>
      <c r="Q9" s="57" t="n">
        <f aca="false">S9-Q6+U3</f>
        <v>5751737.96000001</v>
      </c>
      <c r="R9" s="45" t="s">
        <v>32</v>
      </c>
      <c r="S9" s="39" t="n">
        <f aca="false">'League Info'!H3</f>
        <v>195945900.9</v>
      </c>
      <c r="T9" s="58" t="str">
        <f aca="false">IFERROR(__xludf.dummyfunction("if(T6=2024,Xlookup(B6, IMPORTRANGE(""https://docs.google.com/spreadsheets/d/12OM_DeBCvNTEZ9LjYJwdNoDqg6ZrZOBB1dEVuPqpo20/edit?gid=1870555526#gid=1870555526"",""Hard Cap Tracker!B3:B32""),IMPORTRANGE(""https://docs.google.com/spreadsheets/d/12OM_DeBCvNTEZ9"&amp;"LjYJwdNoDqg6ZrZOBB1dEVuPqpo20/edit?gid=1870555526#gid=1870555526"",""Hard Cap Tracker!C3:C32"")),Xlookup(B6, IMPORTRANGE(""https://docs.google.com/spreadsheets/d/12OM_DeBCvNTEZ9LjYJwdNoDqg6ZrZOBB1dEVuPqpo20/edit?gid=1870555526#gid=1870555526"",""Hard Cap "&amp;"Tracker!B3:B32""),IMPORTRANGE(""https://docs.google.com/spreadsheets/d/12OM_DeBCvNTEZ9LjYJwdNoDqg6ZrZOBB1dEVuPqpo20/edit?gid=1870555526#gid=1870555526"",""Hard Cap Tracker!E3:E32"")))")," Yes, 1st Apron ")</f>
        <v>Yes, 1st Apron</v>
      </c>
      <c r="U9" s="10" t="str">
        <f aca="false">IFERROR(__xludf.dummyfunction("if(T6=2024,Xlookup(B6, IMPORTRANGE(""https://docs.google.com/spreadsheets/d/12OM_DeBCvNTEZ9LjYJwdNoDqg6ZrZOBB1dEVuPqpo20/edit?gid=1870555526#gid=1870555526"",""Hard Cap Tracker!B3:B32""),IMPORTRANGE(""https://docs.google.com/spreadsheets/d/12OM_DeBCvNTEZ9"&amp;"LjYJwdNoDqg6ZrZOBB1dEVuPqpo20/edit?gid=1870555526#gid=1870555526"",""Hard Cap Tracker!D3:D32"")),Xlookup(B6, IMPORTRANGE(""https://docs.google.com/spreadsheets/d/12OM_DeBCvNTEZ9LjYJwdNoDqg6ZrZOBB1dEVuPqpo20/edit?gid=1870555526#gid=1870555526"",""Hard Cap "&amp;"Tracker!B3:B32""),IMPORTRANGE(""https://docs.google.com/spreadsheets/d/12OM_DeBCvNTEZ9LjYJwdNoDqg6ZrZOBB1dEVuPqpo20/edit?gid=1870555526#gid=1870555526"",""Hard Cap Tracker!F3:F32"")))"),"")</f>
        <v/>
      </c>
      <c r="V9" s="1"/>
      <c r="W9" s="1"/>
      <c r="X9" s="1"/>
      <c r="Y9" s="1"/>
      <c r="Z9" s="1"/>
      <c r="AA9" s="1"/>
      <c r="AB9" s="1"/>
      <c r="AC9" s="1"/>
      <c r="AD9" s="1"/>
      <c r="AE9" s="1"/>
    </row>
    <row r="10" customFormat="false" ht="15.75" hidden="false" customHeight="true" outlineLevel="0" collapsed="false">
      <c r="A10" s="2"/>
      <c r="B10" s="47" t="n">
        <v>3</v>
      </c>
      <c r="C10" s="48" t="str">
        <f aca="false">IFERROR(__xludf.dummyfunction("""COMPUTED_VALUE""")," Marcus Smart ")</f>
        <v>Marcus Smart</v>
      </c>
      <c r="D10" s="55" t="n">
        <f aca="false">IFERROR(__xludf.dummyfunction("""COMPUTED_VALUE"""),21586856)</f>
        <v>21586856</v>
      </c>
      <c r="E10" s="56"/>
      <c r="F10" s="56" t="n">
        <f aca="false">IFERROR(__xludf.dummyfunction("""COMPUTED_VALUE"""),32005284)</f>
        <v>32005284</v>
      </c>
      <c r="G10" s="56" t="str">
        <f aca="false">IFERROR(__xludf.dummyfunction("""COMPUTED_VALUE""")," UFA - Bird ")</f>
        <v>UFA - Bird</v>
      </c>
      <c r="H10" s="56" t="str">
        <f aca="false">IFERROR(__xludf.dummyfunction("""COMPUTED_VALUE"""),"  ")</f>
        <v>  </v>
      </c>
      <c r="I10" s="56"/>
      <c r="J10" s="56"/>
      <c r="K10" s="56"/>
      <c r="L10" s="56"/>
      <c r="M10" s="51"/>
      <c r="N10" s="35"/>
      <c r="O10" s="17" t="s">
        <v>33</v>
      </c>
      <c r="P10" s="17"/>
      <c r="Q10" s="59" t="n">
        <f aca="false">S10-Q6+U3</f>
        <v>17630416.76</v>
      </c>
      <c r="R10" s="60" t="s">
        <v>34</v>
      </c>
      <c r="S10" s="61" t="n">
        <f aca="false">'League Info'!I3</f>
        <v>207824579.7</v>
      </c>
      <c r="T10" s="62"/>
      <c r="U10" s="63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customFormat="false" ht="15.75" hidden="false" customHeight="true" outlineLevel="0" collapsed="false">
      <c r="A11" s="64"/>
      <c r="B11" s="47" t="n">
        <v>4</v>
      </c>
      <c r="C11" s="48" t="str">
        <f aca="false">IFERROR(__xludf.dummyfunction("""COMPUTED_VALUE""")," Tre Mann ")</f>
        <v>Tre Mann</v>
      </c>
      <c r="D11" s="55" t="n">
        <f aca="false">IFERROR(__xludf.dummyfunction("""COMPUTED_VALUE"""),14103787.94)</f>
        <v>14103787.94</v>
      </c>
      <c r="E11" s="56"/>
      <c r="F11" s="56" t="n">
        <f aca="false">IFERROR(__xludf.dummyfunction("""COMPUTED_VALUE"""),14808977.33)</f>
        <v>14808977.33</v>
      </c>
      <c r="G11" s="56"/>
      <c r="H11" s="56" t="n">
        <f aca="false">IFERROR(__xludf.dummyfunction("""COMPUTED_VALUE"""),15514166.73)</f>
        <v>15514166.73</v>
      </c>
      <c r="I11" s="56"/>
      <c r="J11" s="56" t="n">
        <f aca="false">IFERROR(__xludf.dummyfunction("""COMPUTED_VALUE"""),29476916.79)</f>
        <v>29476916.79</v>
      </c>
      <c r="K11" s="56" t="str">
        <f aca="false">IFERROR(__xludf.dummyfunction("""COMPUTED_VALUE""")," UFA - Bird ")</f>
        <v>UFA - Bird</v>
      </c>
      <c r="L11" s="56"/>
      <c r="M11" s="51"/>
      <c r="N11" s="65"/>
      <c r="O11" s="29"/>
      <c r="P11" s="29"/>
      <c r="Q11" s="29"/>
      <c r="R11" s="29"/>
      <c r="S11" s="29"/>
      <c r="T11" s="29"/>
      <c r="U11" s="29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customFormat="false" ht="15.75" hidden="false" customHeight="true" outlineLevel="0" collapsed="false">
      <c r="A12" s="64"/>
      <c r="B12" s="47" t="n">
        <v>5</v>
      </c>
      <c r="C12" s="48" t="str">
        <f aca="false">IFERROR(__xludf.dummyfunction("""COMPUTED_VALUE""")," Terance Mann")</f>
        <v>Terance Mann</v>
      </c>
      <c r="D12" s="55" t="n">
        <f aca="false">IFERROR(__xludf.dummyfunction("""COMPUTED_VALUE"""),15500000)</f>
        <v>15500000</v>
      </c>
      <c r="E12" s="56"/>
      <c r="F12" s="56" t="n">
        <f aca="false">IFERROR(__xludf.dummyfunction("""COMPUTED_VALUE"""),14725000)</f>
        <v>14725000</v>
      </c>
      <c r="G12" s="56" t="str">
        <f aca="false">IFERROR(__xludf.dummyfunction("""COMPUTED_VALUE""")," UFA - Bird ")</f>
        <v>UFA - Bird</v>
      </c>
      <c r="H12" s="56" t="str">
        <f aca="false">IFERROR(__xludf.dummyfunction("""COMPUTED_VALUE"""),"  ")</f>
        <v>  </v>
      </c>
      <c r="I12" s="56"/>
      <c r="J12" s="56"/>
      <c r="K12" s="56"/>
      <c r="L12" s="56"/>
      <c r="M12" s="51"/>
      <c r="N12" s="35"/>
      <c r="O12" s="66" t="s">
        <v>35</v>
      </c>
      <c r="P12" s="66"/>
      <c r="Q12" s="66"/>
      <c r="R12" s="67" t="s">
        <v>36</v>
      </c>
      <c r="S12" s="67" t="s">
        <v>37</v>
      </c>
      <c r="T12" s="67" t="s">
        <v>38</v>
      </c>
      <c r="U12" s="68" t="s">
        <v>39</v>
      </c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customFormat="false" ht="15.75" hidden="false" customHeight="true" outlineLevel="0" collapsed="false">
      <c r="A13" s="2"/>
      <c r="B13" s="47" t="n">
        <v>6</v>
      </c>
      <c r="C13" s="48" t="str">
        <f aca="false">IFERROR(__xludf.dummyfunction("""COMPUTED_VALUE""")," Brandon Miller ")</f>
        <v>Brandon Miller</v>
      </c>
      <c r="D13" s="55" t="n">
        <f aca="false">IFERROR(__xludf.dummyfunction("""COMPUTED_VALUE"""),11968800)</f>
        <v>11968800</v>
      </c>
      <c r="E13" s="56"/>
      <c r="F13" s="56" t="n">
        <f aca="false">IFERROR(__xludf.dummyfunction("""COMPUTED_VALUE"""),15104626)</f>
        <v>15104626</v>
      </c>
      <c r="G13" s="56" t="str">
        <f aca="false">IFERROR(__xludf.dummyfunction("""COMPUTED_VALUE""")," Club Option ")</f>
        <v>Club Option</v>
      </c>
      <c r="H13" s="56" t="n">
        <f aca="false">IFERROR(__xludf.dummyfunction("""COMPUTED_VALUE"""),37761565)</f>
        <v>37761565</v>
      </c>
      <c r="I13" s="56" t="str">
        <f aca="false">IFERROR(__xludf.dummyfunction("""COMPUTED_VALUE""")," RFA - Bird ")</f>
        <v>RFA - Bird</v>
      </c>
      <c r="J13" s="56"/>
      <c r="K13" s="56"/>
      <c r="L13" s="56"/>
      <c r="M13" s="51"/>
      <c r="N13" s="35"/>
      <c r="O13" s="69" t="s">
        <v>40</v>
      </c>
      <c r="P13" s="69"/>
      <c r="Q13" s="69"/>
      <c r="R13" s="70" t="str">
        <f aca="false">IF(S7-S3&gt;0,"YES","NO")</f>
        <v>NO</v>
      </c>
      <c r="S13" s="71" t="n">
        <v>0</v>
      </c>
      <c r="T13" s="71" t="n">
        <f aca="false">'League Info'!G5-S13</f>
        <v>8780845.304</v>
      </c>
      <c r="U13" s="72" t="s">
        <v>41</v>
      </c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customFormat="false" ht="15.75" hidden="false" customHeight="true" outlineLevel="0" collapsed="false">
      <c r="A14" s="2"/>
      <c r="B14" s="47" t="n">
        <v>7</v>
      </c>
      <c r="C14" s="48" t="str">
        <f aca="false">IFERROR(__xludf.dummyfunction("""COMPUTED_VALUE""")," Moses Moody ")</f>
        <v>Moses Moody</v>
      </c>
      <c r="D14" s="55" t="n">
        <f aca="false">IFERROR(__xludf.dummyfunction("""COMPUTED_VALUE"""),11574075)</f>
        <v>11574075</v>
      </c>
      <c r="E14" s="56"/>
      <c r="F14" s="56" t="n">
        <f aca="false">IFERROR(__xludf.dummyfunction("""COMPUTED_VALUE"""),12500000)</f>
        <v>12500000</v>
      </c>
      <c r="G14" s="56"/>
      <c r="H14" s="56" t="n">
        <f aca="false">IFERROR(__xludf.dummyfunction("""COMPUTED_VALUE"""),13425925)</f>
        <v>13425925</v>
      </c>
      <c r="I14" s="56"/>
      <c r="J14" s="56" t="n">
        <f aca="false">IFERROR(__xludf.dummyfunction("""COMPUTED_VALUE"""),20944445)</f>
        <v>20944445</v>
      </c>
      <c r="K14" s="56" t="str">
        <f aca="false">IFERROR(__xludf.dummyfunction("""COMPUTED_VALUE""")," UFA - Bird ")</f>
        <v>UFA - Bird</v>
      </c>
      <c r="L14" s="56"/>
      <c r="M14" s="51"/>
      <c r="N14" s="35"/>
      <c r="O14" s="69" t="s">
        <v>42</v>
      </c>
      <c r="P14" s="69"/>
      <c r="Q14" s="69"/>
      <c r="R14" s="70" t="s">
        <v>43</v>
      </c>
      <c r="S14" s="71" t="n">
        <v>3800000</v>
      </c>
      <c r="T14" s="71" t="n">
        <f aca="false">'League Info'!H5-S14</f>
        <v>1334273.76</v>
      </c>
      <c r="U14" s="72" t="s">
        <v>44</v>
      </c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customFormat="false" ht="15.75" hidden="false" customHeight="true" outlineLevel="0" collapsed="false">
      <c r="A15" s="2"/>
      <c r="B15" s="47" t="n">
        <v>8</v>
      </c>
      <c r="C15" s="48" t="str">
        <f aca="false">IFERROR(__xludf.dummyfunction("""COMPUTED_VALUE""")," Matisse Thybulle ")</f>
        <v>Matisse Thybulle</v>
      </c>
      <c r="D15" s="55" t="n">
        <f aca="false">IFERROR(__xludf.dummyfunction("""COMPUTED_VALUE"""),11550000)</f>
        <v>11550000</v>
      </c>
      <c r="E15" s="56"/>
      <c r="F15" s="56" t="n">
        <f aca="false">IFERROR(__xludf.dummyfunction("""COMPUTED_VALUE"""),21945000)</f>
        <v>21945000</v>
      </c>
      <c r="G15" s="56" t="str">
        <f aca="false">IFERROR(__xludf.dummyfunction("""COMPUTED_VALUE""")," UFA - Bird ")</f>
        <v>UFA - Bird</v>
      </c>
      <c r="H15" s="56" t="str">
        <f aca="false">IFERROR(__xludf.dummyfunction("""COMPUTED_VALUE"""),"  ")</f>
        <v>  </v>
      </c>
      <c r="I15" s="56"/>
      <c r="J15" s="56"/>
      <c r="K15" s="56"/>
      <c r="L15" s="56"/>
      <c r="M15" s="51"/>
      <c r="N15" s="35"/>
      <c r="O15" s="69" t="s">
        <v>45</v>
      </c>
      <c r="P15" s="69"/>
      <c r="Q15" s="69"/>
      <c r="R15" s="70" t="str">
        <f aca="false">IF((Q9&lt;0)*(T15&gt;0)*(Q10&gt;0),"YES","NO")</f>
        <v>NO</v>
      </c>
      <c r="S15" s="71" t="n">
        <v>0</v>
      </c>
      <c r="T15" s="71" t="n">
        <f aca="false">'League Info'!F5-S15</f>
        <v>5684666.338</v>
      </c>
      <c r="U15" s="72" t="s">
        <v>46</v>
      </c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customFormat="false" ht="15.75" hidden="false" customHeight="true" outlineLevel="0" collapsed="false">
      <c r="A16" s="2"/>
      <c r="B16" s="47" t="n">
        <v>9</v>
      </c>
      <c r="C16" s="48" t="str">
        <f aca="false">IFERROR(__xludf.dummyfunction("""COMPUTED_VALUE""")," VJ Edgecombe (R) ")</f>
        <v>VJ Edgecombe (R)</v>
      </c>
      <c r="D16" s="55" t="n">
        <f aca="false">IFERROR(__xludf.dummyfunction("""COMPUTED_VALUE"""),10015680)</f>
        <v>10015680</v>
      </c>
      <c r="E16" s="56"/>
      <c r="F16" s="56" t="n">
        <f aca="false">IFERROR(__xludf.dummyfunction("""COMPUTED_VALUE"""),10516560)</f>
        <v>10516560</v>
      </c>
      <c r="G16" s="56"/>
      <c r="H16" s="56" t="n">
        <f aca="false">IFERROR(__xludf.dummyfunction("""COMPUTED_VALUE"""),11017560)</f>
        <v>11017560</v>
      </c>
      <c r="I16" s="56" t="str">
        <f aca="false">IFERROR(__xludf.dummyfunction("""COMPUTED_VALUE""")," Club Option ")</f>
        <v>Club Option</v>
      </c>
      <c r="J16" s="56" t="n">
        <f aca="false">IFERROR(__xludf.dummyfunction("""COMPUTED_VALUE"""),13937213.4)</f>
        <v>13937213.4</v>
      </c>
      <c r="K16" s="56" t="str">
        <f aca="false">IFERROR(__xludf.dummyfunction("""COMPUTED_VALUE""")," Club Option ")</f>
        <v>Club Option</v>
      </c>
      <c r="L16" s="56" t="n">
        <f aca="false">IFERROR(__xludf.dummyfunction("""COMPUTED_VALUE"""),41811640.2)</f>
        <v>41811640.2</v>
      </c>
      <c r="M16" s="51" t="str">
        <f aca="false">IFERROR(__xludf.dummyfunction("""COMPUTED_VALUE""")," RFA - Bird ")</f>
        <v>RFA - Bird</v>
      </c>
      <c r="N16" s="35"/>
      <c r="O16" s="73" t="s">
        <v>47</v>
      </c>
      <c r="P16" s="73"/>
      <c r="Q16" s="73"/>
      <c r="R16" s="74" t="str">
        <f aca="false">IF((T16&gt;0)*(Q9&gt;0),"YES","NO")</f>
        <v>YES</v>
      </c>
      <c r="S16" s="75" t="n">
        <f aca="false">5300000+4750000</f>
        <v>10050000</v>
      </c>
      <c r="T16" s="75" t="n">
        <f aca="false">'League Info'!E5-S16</f>
        <v>4053788.16</v>
      </c>
      <c r="U16" s="76" t="s">
        <v>44</v>
      </c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customFormat="false" ht="15.75" hidden="false" customHeight="true" outlineLevel="0" collapsed="false">
      <c r="A17" s="2"/>
      <c r="B17" s="47" t="n">
        <v>10</v>
      </c>
      <c r="C17" s="48" t="str">
        <f aca="false">IFERROR(__xludf.dummyfunction("""COMPUTED_VALUE""")," Simone Fontecchio ")</f>
        <v>Simone Fontecchio</v>
      </c>
      <c r="D17" s="55" t="n">
        <f aca="false">IFERROR(__xludf.dummyfunction("""COMPUTED_VALUE"""),8307692)</f>
        <v>8307692</v>
      </c>
      <c r="E17" s="56"/>
      <c r="F17" s="56" t="n">
        <f aca="false">IFERROR(__xludf.dummyfunction("""COMPUTED_VALUE"""),15784615)</f>
        <v>15784615</v>
      </c>
      <c r="G17" s="56" t="str">
        <f aca="false">IFERROR(__xludf.dummyfunction("""COMPUTED_VALUE""")," UFA - Bird ")</f>
        <v>UFA - Bird</v>
      </c>
      <c r="H17" s="56" t="str">
        <f aca="false">IFERROR(__xludf.dummyfunction("""COMPUTED_VALUE"""),"  ")</f>
        <v>  </v>
      </c>
      <c r="I17" s="56"/>
      <c r="J17" s="56"/>
      <c r="K17" s="56"/>
      <c r="L17" s="56"/>
      <c r="M17" s="51"/>
      <c r="N17" s="65"/>
      <c r="O17" s="29"/>
      <c r="P17" s="29"/>
      <c r="Q17" s="29"/>
      <c r="R17" s="29"/>
      <c r="S17" s="29"/>
      <c r="T17" s="29"/>
      <c r="U17" s="29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customFormat="false" ht="15.75" hidden="false" customHeight="true" outlineLevel="0" collapsed="false">
      <c r="A18" s="2"/>
      <c r="B18" s="47" t="n">
        <v>11</v>
      </c>
      <c r="C18" s="48" t="str">
        <f aca="false">IFERROR(__xludf.dummyfunction("""COMPUTED_VALUE""")," Paul Reed ")</f>
        <v>Paul Reed</v>
      </c>
      <c r="D18" s="55" t="n">
        <f aca="false">IFERROR(__xludf.dummyfunction("""COMPUTED_VALUE"""),5300000)</f>
        <v>5300000</v>
      </c>
      <c r="E18" s="56"/>
      <c r="F18" s="56" t="n">
        <f aca="false">IFERROR(__xludf.dummyfunction("""COMPUTED_VALUE"""),5300000)</f>
        <v>5300000</v>
      </c>
      <c r="G18" s="56" t="str">
        <f aca="false">IFERROR(__xludf.dummyfunction("""COMPUTED_VALUE""")," Club Option ")</f>
        <v>Club Option</v>
      </c>
      <c r="H18" s="56" t="n">
        <f aca="false">IFERROR(__xludf.dummyfunction("""COMPUTED_VALUE"""),6890000)</f>
        <v>6890000</v>
      </c>
      <c r="I18" s="56"/>
      <c r="J18" s="56"/>
      <c r="K18" s="56"/>
      <c r="L18" s="56"/>
      <c r="M18" s="51"/>
      <c r="N18" s="35"/>
      <c r="O18" s="77" t="s">
        <v>48</v>
      </c>
      <c r="P18" s="77"/>
      <c r="Q18" s="77"/>
      <c r="R18" s="77"/>
      <c r="S18" s="77"/>
      <c r="T18" s="77"/>
      <c r="U18" s="77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customFormat="false" ht="15.75" hidden="false" customHeight="true" outlineLevel="0" collapsed="false">
      <c r="A19" s="2"/>
      <c r="B19" s="47" t="n">
        <v>12</v>
      </c>
      <c r="C19" s="48" t="str">
        <f aca="false">IFERROR(__xludf.dummyfunction("""COMPUTED_VALUE""")," Monte Morris ")</f>
        <v>Monte Morris</v>
      </c>
      <c r="D19" s="55" t="n">
        <f aca="false">IFERROR(__xludf.dummyfunction("""COMPUTED_VALUE"""),4750000)</f>
        <v>4750000</v>
      </c>
      <c r="E19" s="56"/>
      <c r="F19" s="56" t="n">
        <f aca="false">IFERROR(__xludf.dummyfunction("""COMPUTED_VALUE"""),4750000)</f>
        <v>4750000</v>
      </c>
      <c r="G19" s="56" t="str">
        <f aca="false">IFERROR(__xludf.dummyfunction("""COMPUTED_VALUE""")," Club Option ")</f>
        <v>Club Option</v>
      </c>
      <c r="H19" s="56" t="n">
        <f aca="false">IFERROR(__xludf.dummyfunction("""COMPUTED_VALUE"""),9025000)</f>
        <v>9025000</v>
      </c>
      <c r="I19" s="56" t="str">
        <f aca="false">IFERROR(__xludf.dummyfunction("""COMPUTED_VALUE""")," UFA - Early Bird ")</f>
        <v>UFA - Early Bird</v>
      </c>
      <c r="J19" s="56"/>
      <c r="K19" s="56"/>
      <c r="L19" s="56"/>
      <c r="M19" s="51"/>
      <c r="N19" s="35"/>
      <c r="O19" s="78" t="s">
        <v>49</v>
      </c>
      <c r="P19" s="78"/>
      <c r="Q19" s="78"/>
      <c r="R19" s="78"/>
      <c r="S19" s="78" t="s">
        <v>50</v>
      </c>
      <c r="T19" s="78"/>
      <c r="U19" s="78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customFormat="false" ht="15.75" hidden="false" customHeight="true" outlineLevel="0" collapsed="false">
      <c r="A20" s="2"/>
      <c r="B20" s="47" t="n">
        <v>13</v>
      </c>
      <c r="C20" s="48" t="str">
        <f aca="false">IFERROR(__xludf.dummyfunction("""COMPUTED_VALUE""")," Jae’Sean Tate ")</f>
        <v>Jae’Sean Tate</v>
      </c>
      <c r="D20" s="55" t="n">
        <f aca="false">IFERROR(__xludf.dummyfunction("""COMPUTED_VALUE"""),3800000)</f>
        <v>3800000</v>
      </c>
      <c r="E20" s="56"/>
      <c r="F20" s="56" t="n">
        <f aca="false">IFERROR(__xludf.dummyfunction("""COMPUTED_VALUE"""),3800000)</f>
        <v>3800000</v>
      </c>
      <c r="G20" s="56"/>
      <c r="H20" s="56" t="n">
        <f aca="false">IFERROR(__xludf.dummyfunction("""COMPUTED_VALUE"""),7220000)</f>
        <v>7220000</v>
      </c>
      <c r="I20" s="56" t="str">
        <f aca="false">IFERROR(__xludf.dummyfunction("""COMPUTED_VALUE""")," UFA - Early Bird ")</f>
        <v>UFA - Early Bird</v>
      </c>
      <c r="J20" s="56"/>
      <c r="K20" s="56"/>
      <c r="L20" s="56"/>
      <c r="M20" s="51"/>
      <c r="N20" s="35"/>
      <c r="O20" s="36" t="s">
        <v>51</v>
      </c>
      <c r="P20" s="36"/>
      <c r="Q20" s="79" t="s">
        <v>52</v>
      </c>
      <c r="R20" s="78" t="s">
        <v>53</v>
      </c>
      <c r="S20" s="36" t="s">
        <v>54</v>
      </c>
      <c r="T20" s="36" t="s">
        <v>51</v>
      </c>
      <c r="U20" s="78" t="s">
        <v>53</v>
      </c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customFormat="false" ht="15.75" hidden="false" customHeight="true" outlineLevel="0" collapsed="false">
      <c r="A21" s="2"/>
      <c r="B21" s="47" t="n">
        <v>14</v>
      </c>
      <c r="C21" s="48" t="str">
        <f aca="false">IFERROR(__xludf.dummyfunction("""COMPUTED_VALUE""")," Xavier Tillman ")</f>
        <v>Xavier Tillman</v>
      </c>
      <c r="D21" s="55" t="n">
        <f aca="false">IFERROR(__xludf.dummyfunction("""COMPUTED_VALUE"""),2546675)</f>
        <v>2546675</v>
      </c>
      <c r="E21" s="56"/>
      <c r="F21" s="56" t="n">
        <f aca="false">IFERROR(__xludf.dummyfunction("""COMPUTED_VALUE"""),2525905)</f>
        <v>2525905</v>
      </c>
      <c r="G21" s="56" t="str">
        <f aca="false">IFERROR(__xludf.dummyfunction("""COMPUTED_VALUE""")," UFA - Bird ")</f>
        <v>UFA - Bird</v>
      </c>
      <c r="H21" s="56" t="str">
        <f aca="false">IFERROR(__xludf.dummyfunction("""COMPUTED_VALUE"""),"  ")</f>
        <v>  </v>
      </c>
      <c r="I21" s="56"/>
      <c r="J21" s="56"/>
      <c r="K21" s="56"/>
      <c r="L21" s="56"/>
      <c r="M21" s="51"/>
      <c r="N21" s="35"/>
      <c r="O21" s="80" t="str">
        <f aca="false">IFERROR(__xludf.dummyfunction("IFERROR(if(T6=2024,CHOOSECOLS(FILTER('All Contracts'!A:F,(ISNUMBER(SEARCH(""FA"",'All Contracts'!D:D,1)))*('All Contracts'!B:B=B6)),1,2,4,3),CHOOSECOLS(FILTER('All Contracts'!A:F,(ISNUMBER(SEARCH(""FA"",'All Contracts'!F:F,1)))*('All Contracts'!B:B=B6)),1"&amp;",2,6,5)),"""")")," Taj Gibson ")</f>
        <v>Taj Gibson</v>
      </c>
      <c r="P21" s="80"/>
      <c r="Q21" s="80" t="str">
        <f aca="false">IFERROR(__xludf.dummyfunction("""COMPUTED_VALUE""")," UFA - Rights Renounced ")</f>
        <v>UFA - Rights Renounced</v>
      </c>
      <c r="R21" s="72"/>
      <c r="S21" s="71" t="s">
        <v>55</v>
      </c>
      <c r="T21" s="81" t="s">
        <v>56</v>
      </c>
      <c r="U21" s="72" t="n">
        <v>4346629</v>
      </c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customFormat="false" ht="15.75" hidden="false" customHeight="true" outlineLevel="0" collapsed="false">
      <c r="A22" s="2"/>
      <c r="B22" s="47" t="n">
        <v>15</v>
      </c>
      <c r="C22" s="48" t="str">
        <f aca="false">IFERROR(__xludf.dummyfunction("""COMPUTED_VALUE""")," Trayce Jackson-Davis ")</f>
        <v>Trayce Jackson-Davis</v>
      </c>
      <c r="D22" s="55" t="n">
        <f aca="false">IFERROR(__xludf.dummyfunction("""COMPUTED_VALUE"""),2221677)</f>
        <v>2221677</v>
      </c>
      <c r="E22" s="56"/>
      <c r="F22" s="56" t="n">
        <f aca="false">IFERROR(__xludf.dummyfunction("""COMPUTED_VALUE"""),2406205)</f>
        <v>2406205</v>
      </c>
      <c r="G22" s="56" t="str">
        <f aca="false">IFERROR(__xludf.dummyfunction("""COMPUTED_VALUE""")," Club Option ")</f>
        <v>Club Option</v>
      </c>
      <c r="H22" s="56" t="n">
        <f aca="false">IFERROR(__xludf.dummyfunction("""COMPUTED_VALUE"""),2957063)</f>
        <v>2957063</v>
      </c>
      <c r="I22" s="56" t="str">
        <f aca="false">IFERROR(__xludf.dummyfunction("""COMPUTED_VALUE""")," RFA - Bird ")</f>
        <v>RFA - Bird</v>
      </c>
      <c r="J22" s="56"/>
      <c r="K22" s="56"/>
      <c r="L22" s="56"/>
      <c r="M22" s="51"/>
      <c r="N22" s="35"/>
      <c r="O22" s="71"/>
      <c r="P22" s="71"/>
      <c r="Q22" s="80"/>
      <c r="R22" s="72"/>
      <c r="S22" s="71" t="s">
        <v>57</v>
      </c>
      <c r="T22" s="81" t="s">
        <v>56</v>
      </c>
      <c r="U22" s="10" t="n">
        <v>2095500</v>
      </c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customFormat="false" ht="15.75" hidden="false" customHeight="true" outlineLevel="0" collapsed="false">
      <c r="A23" s="2"/>
      <c r="B23" s="47" t="n">
        <v>16</v>
      </c>
      <c r="C23" s="48" t="str">
        <f aca="false">IFERROR(__xludf.dummyfunction("""COMPUTED_VALUE""")," Dalton Knecht ")</f>
        <v>Dalton Knecht</v>
      </c>
      <c r="D23" s="55" t="n">
        <f aca="false">IFERROR(__xludf.dummyfunction("""COMPUTED_VALUE"""),4010160)</f>
        <v>4010160</v>
      </c>
      <c r="E23" s="56"/>
      <c r="F23" s="56" t="n">
        <f aca="false">IFERROR(__xludf.dummyfunction("""COMPUTED_VALUE"""),2525905)</f>
        <v>2525905</v>
      </c>
      <c r="G23" s="56" t="str">
        <f aca="false">IFERROR(__xludf.dummyfunction("""COMPUTED_VALUE""")," UFA - Bird ")</f>
        <v>UFA - Bird</v>
      </c>
      <c r="H23" s="56" t="str">
        <f aca="false">IFERROR(__xludf.dummyfunction("""COMPUTED_VALUE"""),"  ")</f>
        <v>  </v>
      </c>
      <c r="I23" s="56"/>
      <c r="J23" s="56"/>
      <c r="K23" s="56"/>
      <c r="L23" s="56"/>
      <c r="M23" s="51"/>
      <c r="N23" s="35"/>
      <c r="O23" s="71"/>
      <c r="P23" s="71"/>
      <c r="Q23" s="80"/>
      <c r="R23" s="82"/>
      <c r="S23" s="71"/>
      <c r="T23" s="81"/>
      <c r="U23" s="10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customFormat="false" ht="15.75" hidden="false" customHeight="true" outlineLevel="0" collapsed="false">
      <c r="A24" s="2"/>
      <c r="I24" s="56"/>
      <c r="J24" s="56"/>
      <c r="K24" s="56"/>
      <c r="L24" s="56"/>
      <c r="M24" s="51"/>
      <c r="N24" s="35"/>
      <c r="O24" s="83" t="s">
        <v>58</v>
      </c>
      <c r="P24" s="83"/>
      <c r="Q24" s="80"/>
      <c r="R24" s="82"/>
      <c r="S24" s="84"/>
      <c r="T24" s="81"/>
      <c r="U24" s="85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customFormat="false" ht="15.75" hidden="false" customHeight="true" outlineLevel="0" collapsed="false">
      <c r="A25" s="2"/>
      <c r="B25" s="47" t="n">
        <v>17</v>
      </c>
      <c r="C25" s="48"/>
      <c r="D25" s="55"/>
      <c r="E25" s="56"/>
      <c r="F25" s="56"/>
      <c r="G25" s="56"/>
      <c r="H25" s="56"/>
      <c r="I25" s="56"/>
      <c r="J25" s="56"/>
      <c r="K25" s="56"/>
      <c r="L25" s="56"/>
      <c r="M25" s="51"/>
      <c r="N25" s="35"/>
      <c r="O25" s="71"/>
      <c r="P25" s="71"/>
      <c r="Q25" s="80"/>
      <c r="R25" s="82"/>
      <c r="S25" s="84"/>
      <c r="T25" s="81"/>
      <c r="U25" s="85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customFormat="false" ht="15.75" hidden="false" customHeight="true" outlineLevel="0" collapsed="false">
      <c r="A26" s="2"/>
      <c r="B26" s="47" t="n">
        <v>19</v>
      </c>
      <c r="C26" s="48"/>
      <c r="D26" s="55"/>
      <c r="E26" s="56"/>
      <c r="F26" s="56"/>
      <c r="G26" s="56"/>
      <c r="H26" s="56"/>
      <c r="I26" s="56"/>
      <c r="J26" s="56"/>
      <c r="K26" s="56"/>
      <c r="L26" s="56"/>
      <c r="M26" s="51"/>
      <c r="N26" s="35"/>
      <c r="O26" s="71" t="n">
        <v>4010160</v>
      </c>
      <c r="P26" s="71"/>
      <c r="Q26" s="80"/>
      <c r="R26" s="82"/>
      <c r="S26" s="49"/>
      <c r="T26" s="49"/>
      <c r="U26" s="85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customFormat="false" ht="15.75" hidden="false" customHeight="true" outlineLevel="0" collapsed="false">
      <c r="A27" s="2"/>
      <c r="B27" s="86" t="n">
        <v>20</v>
      </c>
      <c r="C27" s="87"/>
      <c r="D27" s="88"/>
      <c r="E27" s="89"/>
      <c r="F27" s="89"/>
      <c r="G27" s="89"/>
      <c r="H27" s="89"/>
      <c r="I27" s="89"/>
      <c r="J27" s="89"/>
      <c r="K27" s="89"/>
      <c r="L27" s="89"/>
      <c r="M27" s="90"/>
      <c r="N27" s="35"/>
      <c r="O27" s="71"/>
      <c r="P27" s="71"/>
      <c r="Q27" s="80"/>
      <c r="R27" s="82"/>
      <c r="S27" s="49"/>
      <c r="T27" s="49"/>
      <c r="U27" s="85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customFormat="false" ht="15.75" hidden="false" customHeight="true" outlineLevel="0" collapsed="false">
      <c r="A28" s="2"/>
      <c r="B28" s="91"/>
      <c r="C28" s="92"/>
      <c r="D28" s="92"/>
      <c r="E28" s="92"/>
      <c r="F28" s="92"/>
      <c r="G28" s="92"/>
      <c r="H28" s="92"/>
      <c r="I28" s="92"/>
      <c r="J28" s="92"/>
      <c r="K28" s="92"/>
      <c r="L28" s="93"/>
      <c r="M28" s="94"/>
      <c r="N28" s="35"/>
      <c r="O28" s="71"/>
      <c r="P28" s="71"/>
      <c r="Q28" s="80"/>
      <c r="R28" s="82"/>
      <c r="S28" s="49"/>
      <c r="T28" s="49"/>
      <c r="U28" s="85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customFormat="false" ht="15.75" hidden="false" customHeight="true" outlineLevel="0" collapsed="false">
      <c r="A29" s="2"/>
      <c r="B29" s="95"/>
      <c r="C29" s="96" t="s">
        <v>59</v>
      </c>
      <c r="D29" s="36" t="str">
        <f aca="false">IF($T$6=2024,"2024-2025","2025-2026")</f>
        <v>2025-2026</v>
      </c>
      <c r="E29" s="36"/>
      <c r="F29" s="36" t="str">
        <f aca="false">IF($T$6=2024,"2025-2026","2026-2027")</f>
        <v>2026-2027</v>
      </c>
      <c r="G29" s="36"/>
      <c r="H29" s="36" t="str">
        <f aca="false">IF($T$6=2024,"2026-2027","2027-2028")</f>
        <v>2027-2028</v>
      </c>
      <c r="I29" s="36"/>
      <c r="J29" s="36" t="str">
        <f aca="false">IF($T$6=2024,"2027-2028","2028-2029")</f>
        <v>2028-2029</v>
      </c>
      <c r="K29" s="36"/>
      <c r="L29" s="36" t="str">
        <f aca="false">IF($T$6=2024,"2028-2029","2029-2030")</f>
        <v>2029-2030</v>
      </c>
      <c r="M29" s="68"/>
      <c r="N29" s="35"/>
      <c r="O29" s="71"/>
      <c r="P29" s="71"/>
      <c r="Q29" s="80"/>
      <c r="R29" s="72"/>
      <c r="S29" s="49"/>
      <c r="T29" s="49"/>
      <c r="U29" s="85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customFormat="false" ht="15.75" hidden="false" customHeight="true" outlineLevel="0" collapsed="false">
      <c r="A30" s="2"/>
      <c r="B30" s="47" t="n">
        <v>1</v>
      </c>
      <c r="C30" s="97" t="str">
        <f aca="false">IFERROR(__xludf.dummyfunction("IFERROR(IF(T6=2024,Choosecols(FILTER('All Contracts'!A:N,('All Contracts'!B:B=B6)*('All Contracts'!D:D=""Dead Cap"")),1,3,4,5,6,7,8,9,10,11,12),Choosecols(FILTER('All Contracts'!A:N,('All Contracts'!B:B=B6)*('All Contracts'!D:D=""Dead Cap"")),1,5,6,7,8,9,"&amp;"10,11,12,13,14)),"""")"),"  ")</f>
        <v>  </v>
      </c>
      <c r="D30" s="98"/>
      <c r="E30" s="98"/>
      <c r="F30" s="49"/>
      <c r="G30" s="49"/>
      <c r="H30" s="49"/>
      <c r="I30" s="49"/>
      <c r="J30" s="49"/>
      <c r="K30" s="99"/>
      <c r="L30" s="49"/>
      <c r="M30" s="100"/>
      <c r="N30" s="35"/>
      <c r="O30" s="71"/>
      <c r="P30" s="71"/>
      <c r="Q30" s="80"/>
      <c r="R30" s="72"/>
      <c r="S30" s="49"/>
      <c r="T30" s="49"/>
      <c r="U30" s="85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customFormat="false" ht="15.75" hidden="false" customHeight="true" outlineLevel="0" collapsed="false">
      <c r="A31" s="2"/>
      <c r="B31" s="47" t="n">
        <v>2</v>
      </c>
      <c r="C31" s="49"/>
      <c r="D31" s="98"/>
      <c r="E31" s="98"/>
      <c r="F31" s="98"/>
      <c r="G31" s="98"/>
      <c r="H31" s="49"/>
      <c r="I31" s="49"/>
      <c r="J31" s="49"/>
      <c r="K31" s="99"/>
      <c r="L31" s="49"/>
      <c r="M31" s="100"/>
      <c r="N31" s="35"/>
      <c r="O31" s="71"/>
      <c r="P31" s="71"/>
      <c r="Q31" s="80"/>
      <c r="R31" s="72"/>
      <c r="S31" s="49"/>
      <c r="T31" s="49"/>
      <c r="U31" s="85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customFormat="false" ht="15.75" hidden="false" customHeight="true" outlineLevel="0" collapsed="false">
      <c r="A32" s="2"/>
      <c r="B32" s="47" t="n">
        <v>3</v>
      </c>
      <c r="C32" s="49"/>
      <c r="D32" s="98"/>
      <c r="E32" s="98"/>
      <c r="F32" s="98"/>
      <c r="G32" s="98"/>
      <c r="H32" s="98"/>
      <c r="I32" s="98"/>
      <c r="J32" s="98"/>
      <c r="K32" s="101"/>
      <c r="L32" s="98"/>
      <c r="M32" s="51"/>
      <c r="N32" s="35"/>
      <c r="O32" s="102" t="s">
        <v>60</v>
      </c>
      <c r="P32" s="102"/>
      <c r="Q32" s="102"/>
      <c r="R32" s="103" t="n">
        <f aca="false">SUM(R21:R30)</f>
        <v>0</v>
      </c>
      <c r="S32" s="102" t="s">
        <v>61</v>
      </c>
      <c r="T32" s="102"/>
      <c r="U32" s="103" t="n">
        <f aca="false">SUM(U21:U30)</f>
        <v>6442129</v>
      </c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customFormat="false" ht="15.75" hidden="false" customHeight="true" outlineLevel="0" collapsed="false">
      <c r="A33" s="2"/>
      <c r="B33" s="86" t="n">
        <v>4</v>
      </c>
      <c r="C33" s="104"/>
      <c r="D33" s="104"/>
      <c r="E33" s="104"/>
      <c r="F33" s="104"/>
      <c r="G33" s="104"/>
      <c r="H33" s="104"/>
      <c r="I33" s="104"/>
      <c r="J33" s="104"/>
      <c r="K33" s="30"/>
      <c r="L33" s="104"/>
      <c r="M33" s="105"/>
      <c r="N33" s="65"/>
      <c r="O33" s="29"/>
      <c r="P33" s="29"/>
      <c r="Q33" s="29"/>
      <c r="R33" s="29"/>
      <c r="S33" s="29"/>
      <c r="T33" s="29"/>
      <c r="U33" s="29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customFormat="false" ht="15.75" hidden="false" customHeight="true" outlineLevel="0" collapsed="false">
      <c r="A34" s="2"/>
      <c r="B34" s="95"/>
      <c r="C34" s="96" t="s">
        <v>62</v>
      </c>
      <c r="D34" s="36" t="str">
        <f aca="false">IF($T$6=2024,"2024-2025","2025-2026")</f>
        <v>2025-2026</v>
      </c>
      <c r="E34" s="36"/>
      <c r="F34" s="36" t="str">
        <f aca="false">IF($T$6=2024,"2025-2026","2026-2027")</f>
        <v>2026-2027</v>
      </c>
      <c r="G34" s="36"/>
      <c r="H34" s="36" t="str">
        <f aca="false">IF($T$6=2024,"2026-2027","2027-2028")</f>
        <v>2027-2028</v>
      </c>
      <c r="I34" s="36"/>
      <c r="J34" s="36" t="str">
        <f aca="false">IF($T$6=2024,"2027-2028","2028-2029")</f>
        <v>2028-2029</v>
      </c>
      <c r="K34" s="36"/>
      <c r="L34" s="36" t="str">
        <f aca="false">IF($T$6=2024,"2028-2029","2029-2030")</f>
        <v>2029-2030</v>
      </c>
      <c r="M34" s="68"/>
      <c r="N34" s="35"/>
      <c r="O34" s="77" t="s">
        <v>63</v>
      </c>
      <c r="P34" s="77"/>
      <c r="Q34" s="77"/>
      <c r="R34" s="77"/>
      <c r="S34" s="77"/>
      <c r="T34" s="77"/>
      <c r="U34" s="77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customFormat="false" ht="15.75" hidden="false" customHeight="true" outlineLevel="0" collapsed="false">
      <c r="A35" s="2"/>
      <c r="B35" s="47" t="n">
        <v>1</v>
      </c>
      <c r="C35" s="48" t="str">
        <f aca="false">IFERROR(__xludf.dummyfunction("IF(T6=2024,Choosecols(FILTER('All Contracts'!A:N,('All Contracts'!B:B=B6)*('All Contracts'!D:D=""Two-way"")),1,3,4,5,6,7,8,9,10,11,12),Choosecols(FILTER('All Contracts'!A:N,('All Contracts'!B:B=B6)*('All Contracts'!D:D=""Two-way"")),1,5,6,7,8,9,10,11,12,1"&amp;"3,14))")," Damion Baugh ")</f>
        <v>Damion Baugh</v>
      </c>
      <c r="D35" s="97" t="str">
        <f aca="false">IFERROR(__xludf.dummyfunction("""COMPUTED_VALUE""")," Two-way ")</f>
        <v>Two-way</v>
      </c>
      <c r="E35" s="97" t="str">
        <f aca="false">IFERROR(__xludf.dummyfunction("""COMPUTED_VALUE""")," Two-way ")</f>
        <v>Two-way</v>
      </c>
      <c r="F35" s="49" t="n">
        <f aca="false">IFERROR(__xludf.dummyfunction("""COMPUTED_VALUE"""),2253346)</f>
        <v>2253346</v>
      </c>
      <c r="G35" s="49" t="str">
        <f aca="false">IFERROR(__xludf.dummyfunction("""COMPUTED_VALUE""")," UFA - Two-way ")</f>
        <v>UFA - Two-way</v>
      </c>
      <c r="H35" s="49"/>
      <c r="I35" s="49"/>
      <c r="J35" s="49"/>
      <c r="K35" s="99"/>
      <c r="L35" s="49"/>
      <c r="M35" s="106"/>
      <c r="N35" s="35"/>
      <c r="O35" s="107" t="s">
        <v>64</v>
      </c>
      <c r="P35" s="107"/>
      <c r="Q35" s="107"/>
      <c r="R35" s="107"/>
      <c r="S35" s="78" t="s">
        <v>65</v>
      </c>
      <c r="T35" s="78"/>
      <c r="U35" s="78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customFormat="false" ht="15.75" hidden="false" customHeight="true" outlineLevel="0" collapsed="false">
      <c r="A36" s="2"/>
      <c r="B36" s="47" t="n">
        <v>2</v>
      </c>
      <c r="C36" s="48" t="str">
        <f aca="false">IFERROR(__xludf.dummyfunction("""COMPUTED_VALUE""")," K.J. Simpson ")</f>
        <v>K.J. Simpson</v>
      </c>
      <c r="D36" s="97" t="str">
        <f aca="false">IFERROR(__xludf.dummyfunction("""COMPUTED_VALUE""")," Two-way ")</f>
        <v>Two-way</v>
      </c>
      <c r="E36" s="97" t="str">
        <f aca="false">IFERROR(__xludf.dummyfunction("""COMPUTED_VALUE""")," Two-way ")</f>
        <v>Two-way</v>
      </c>
      <c r="F36" s="49" t="n">
        <f aca="false">IFERROR(__xludf.dummyfunction("""COMPUTED_VALUE"""),2253346)</f>
        <v>2253346</v>
      </c>
      <c r="G36" s="108" t="str">
        <f aca="false">IFERROR(__xludf.dummyfunction("""COMPUTED_VALUE""")," UFA - Two-way ")</f>
        <v>UFA - Two-way</v>
      </c>
      <c r="H36" s="49"/>
      <c r="I36" s="49"/>
      <c r="J36" s="49"/>
      <c r="K36" s="99"/>
      <c r="L36" s="49"/>
      <c r="M36" s="106"/>
      <c r="N36" s="35"/>
      <c r="O36" s="109" t="s">
        <v>66</v>
      </c>
      <c r="P36" s="109"/>
      <c r="Q36" s="79" t="s">
        <v>67</v>
      </c>
      <c r="R36" s="110" t="s">
        <v>53</v>
      </c>
      <c r="S36" s="111" t="s">
        <v>66</v>
      </c>
      <c r="T36" s="112" t="s">
        <v>67</v>
      </c>
      <c r="U36" s="43" t="s">
        <v>53</v>
      </c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customFormat="false" ht="15.75" hidden="false" customHeight="true" outlineLevel="0" collapsed="false">
      <c r="A37" s="2"/>
      <c r="B37" s="86" t="n">
        <v>3</v>
      </c>
      <c r="C37" s="48"/>
      <c r="D37" s="113"/>
      <c r="E37" s="113"/>
      <c r="F37" s="104"/>
      <c r="G37" s="104"/>
      <c r="H37" s="104"/>
      <c r="I37" s="104"/>
      <c r="J37" s="104"/>
      <c r="K37" s="30"/>
      <c r="L37" s="104"/>
      <c r="M37" s="106"/>
      <c r="N37" s="35"/>
      <c r="O37" s="114"/>
      <c r="P37" s="114"/>
      <c r="Q37" s="115"/>
      <c r="R37" s="51"/>
      <c r="S37" s="71" t="s">
        <v>55</v>
      </c>
      <c r="T37" s="116" t="n">
        <v>46175</v>
      </c>
      <c r="U37" s="72" t="n">
        <v>4346629</v>
      </c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customFormat="false" ht="15.75" hidden="false" customHeight="true" outlineLevel="0" collapsed="false">
      <c r="A38" s="2"/>
      <c r="B38" s="95"/>
      <c r="C38" s="96" t="s">
        <v>68</v>
      </c>
      <c r="D38" s="36" t="str">
        <f aca="false">IF($T$6=2024,"2024-2025","2025-2026")</f>
        <v>2025-2026</v>
      </c>
      <c r="E38" s="36"/>
      <c r="F38" s="36" t="str">
        <f aca="false">IF($T$6=2024,"2025-2026","2026-2027")</f>
        <v>2026-2027</v>
      </c>
      <c r="G38" s="36"/>
      <c r="H38" s="36" t="str">
        <f aca="false">IF($T$6=2024,"2026-2027","2027-2028")</f>
        <v>2027-2028</v>
      </c>
      <c r="I38" s="36"/>
      <c r="J38" s="36" t="str">
        <f aca="false">IF($T$6=2024,"2027-2028","2028-2029")</f>
        <v>2028-2029</v>
      </c>
      <c r="K38" s="36"/>
      <c r="L38" s="36" t="str">
        <f aca="false">IF($T$6=2024,"2028-2029","2029-2030")</f>
        <v>2029-2030</v>
      </c>
      <c r="M38" s="43"/>
      <c r="N38" s="65"/>
      <c r="O38" s="117"/>
      <c r="P38" s="117"/>
      <c r="Q38" s="116"/>
      <c r="R38" s="118"/>
      <c r="S38" s="71" t="s">
        <v>57</v>
      </c>
      <c r="T38" s="116" t="n">
        <v>46184</v>
      </c>
      <c r="U38" s="10" t="n">
        <v>2095500</v>
      </c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customFormat="false" ht="15.75" hidden="false" customHeight="true" outlineLevel="0" collapsed="false">
      <c r="A39" s="2"/>
      <c r="B39" s="47" t="n">
        <v>1</v>
      </c>
      <c r="C39" s="119" t="s">
        <v>69</v>
      </c>
      <c r="D39" s="120"/>
      <c r="E39" s="120"/>
      <c r="F39" s="120"/>
      <c r="G39" s="120"/>
      <c r="H39" s="120"/>
      <c r="I39" s="120"/>
      <c r="J39" s="120"/>
      <c r="K39" s="121"/>
      <c r="L39" s="120"/>
      <c r="M39" s="122"/>
      <c r="N39" s="65"/>
      <c r="O39" s="123"/>
      <c r="P39" s="123"/>
      <c r="Q39" s="124"/>
      <c r="R39" s="85"/>
      <c r="S39" s="71"/>
      <c r="T39" s="115"/>
      <c r="U39" s="85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customFormat="false" ht="15.75" hidden="false" customHeight="true" outlineLevel="0" collapsed="false">
      <c r="A40" s="2"/>
      <c r="B40" s="125" t="n">
        <v>2</v>
      </c>
      <c r="C40" s="119" t="s">
        <v>70</v>
      </c>
      <c r="D40" s="120"/>
      <c r="E40" s="120"/>
      <c r="F40" s="120"/>
      <c r="G40" s="120"/>
      <c r="H40" s="120"/>
      <c r="I40" s="120"/>
      <c r="J40" s="120"/>
      <c r="K40" s="121"/>
      <c r="L40" s="120"/>
      <c r="M40" s="122"/>
      <c r="N40" s="35"/>
      <c r="O40" s="123"/>
      <c r="P40" s="123"/>
      <c r="Q40" s="124"/>
      <c r="R40" s="85"/>
      <c r="S40" s="49"/>
      <c r="T40" s="49"/>
      <c r="U40" s="85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customFormat="false" ht="15.75" hidden="false" customHeight="true" outlineLevel="0" collapsed="false">
      <c r="A41" s="2"/>
      <c r="B41" s="125" t="n">
        <v>3</v>
      </c>
      <c r="C41" s="49"/>
      <c r="D41" s="120"/>
      <c r="E41" s="120"/>
      <c r="F41" s="120"/>
      <c r="G41" s="120"/>
      <c r="H41" s="120"/>
      <c r="I41" s="120"/>
      <c r="J41" s="120"/>
      <c r="K41" s="121"/>
      <c r="L41" s="120"/>
      <c r="M41" s="122"/>
      <c r="N41" s="35"/>
      <c r="O41" s="123"/>
      <c r="P41" s="123"/>
      <c r="Q41" s="124"/>
      <c r="R41" s="85"/>
      <c r="S41" s="49"/>
      <c r="T41" s="49"/>
      <c r="U41" s="85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customFormat="false" ht="15.75" hidden="false" customHeight="true" outlineLevel="0" collapsed="false">
      <c r="A42" s="2"/>
      <c r="B42" s="126" t="n">
        <v>4</v>
      </c>
      <c r="C42" s="104"/>
      <c r="D42" s="127"/>
      <c r="E42" s="127"/>
      <c r="F42" s="127"/>
      <c r="G42" s="127"/>
      <c r="H42" s="127"/>
      <c r="I42" s="127"/>
      <c r="J42" s="127"/>
      <c r="K42" s="128"/>
      <c r="L42" s="127"/>
      <c r="M42" s="129"/>
      <c r="N42" s="35"/>
      <c r="O42" s="123"/>
      <c r="P42" s="123"/>
      <c r="Q42" s="124"/>
      <c r="R42" s="85"/>
      <c r="S42" s="49"/>
      <c r="T42" s="49"/>
      <c r="U42" s="85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customFormat="false" ht="15.75" hidden="false" customHeight="true" outlineLevel="0" collapsed="false">
      <c r="A43" s="1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"/>
      <c r="N43" s="131"/>
      <c r="O43" s="132"/>
      <c r="P43" s="132"/>
      <c r="Q43" s="124"/>
      <c r="R43" s="85"/>
      <c r="S43" s="49"/>
      <c r="T43" s="132"/>
      <c r="U43" s="133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customFormat="false" ht="15.75" hidden="false" customHeight="true" outlineLevel="0" collapsed="false">
      <c r="A44" s="1"/>
      <c r="B44" s="134" t="s">
        <v>71</v>
      </c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5"/>
      <c r="N44" s="136"/>
      <c r="O44" s="132"/>
      <c r="P44" s="132"/>
      <c r="Q44" s="124"/>
      <c r="R44" s="85"/>
      <c r="S44" s="49"/>
      <c r="T44" s="132"/>
      <c r="U44" s="133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customFormat="false" ht="15.75" hidden="false" customHeight="true" outlineLevel="0" collapsed="false">
      <c r="A45" s="1"/>
      <c r="B45" s="137" t="s">
        <v>72</v>
      </c>
      <c r="C45" s="137"/>
      <c r="D45" s="138" t="s">
        <v>73</v>
      </c>
      <c r="E45" s="139"/>
      <c r="F45" s="138"/>
      <c r="G45" s="138"/>
      <c r="H45" s="138"/>
      <c r="I45" s="138"/>
      <c r="J45" s="138"/>
      <c r="K45" s="138"/>
      <c r="L45" s="138"/>
      <c r="M45" s="140"/>
      <c r="N45" s="141"/>
      <c r="O45" s="142"/>
      <c r="P45" s="142"/>
      <c r="Q45" s="143"/>
      <c r="R45" s="63"/>
      <c r="S45" s="104"/>
      <c r="T45" s="144"/>
      <c r="U45" s="145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customFormat="false" ht="15.75" hidden="false" customHeight="true" outlineLevel="0" collapsed="false">
      <c r="A46" s="1"/>
      <c r="B46" s="146" t="n">
        <v>1</v>
      </c>
      <c r="C46" s="147" t="s">
        <v>74</v>
      </c>
      <c r="D46" s="81" t="s">
        <v>75</v>
      </c>
      <c r="E46" s="148"/>
      <c r="F46" s="149"/>
      <c r="G46" s="149"/>
      <c r="H46" s="149"/>
      <c r="I46" s="149"/>
      <c r="J46" s="149"/>
      <c r="K46" s="149"/>
      <c r="L46" s="149"/>
      <c r="M46" s="150"/>
      <c r="N46" s="14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customFormat="false" ht="15.75" hidden="false" customHeight="true" outlineLevel="0" collapsed="false">
      <c r="A47" s="1"/>
      <c r="B47" s="146" t="n">
        <v>2</v>
      </c>
      <c r="C47" s="58" t="s">
        <v>76</v>
      </c>
      <c r="D47" s="81" t="s">
        <v>75</v>
      </c>
      <c r="E47" s="151"/>
      <c r="F47" s="97"/>
      <c r="G47" s="97"/>
      <c r="H47" s="97"/>
      <c r="I47" s="97"/>
      <c r="J47" s="97"/>
      <c r="K47" s="97"/>
      <c r="L47" s="97"/>
      <c r="M47" s="152"/>
      <c r="N47" s="141"/>
      <c r="O47" s="153"/>
      <c r="P47" s="154" t="s">
        <v>77</v>
      </c>
      <c r="Q47" s="154"/>
      <c r="R47" s="154"/>
      <c r="S47" s="154"/>
      <c r="T47" s="154"/>
      <c r="U47" s="154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customFormat="false" ht="15.75" hidden="false" customHeight="true" outlineLevel="0" collapsed="false">
      <c r="A48" s="1"/>
      <c r="B48" s="146" t="n">
        <v>3</v>
      </c>
      <c r="C48" s="147"/>
      <c r="D48" s="81"/>
      <c r="E48" s="151"/>
      <c r="F48" s="97"/>
      <c r="G48" s="97"/>
      <c r="H48" s="97"/>
      <c r="I48" s="97"/>
      <c r="J48" s="97"/>
      <c r="K48" s="97"/>
      <c r="L48" s="97"/>
      <c r="M48" s="152"/>
      <c r="N48" s="141"/>
      <c r="O48" s="155"/>
      <c r="P48" s="133" t="s">
        <v>78</v>
      </c>
      <c r="Q48" s="133"/>
      <c r="R48" s="133"/>
      <c r="S48" s="133"/>
      <c r="T48" s="133"/>
      <c r="U48" s="133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customFormat="false" ht="15.75" hidden="false" customHeight="true" outlineLevel="0" collapsed="false">
      <c r="A49" s="1"/>
      <c r="B49" s="156" t="n">
        <v>4</v>
      </c>
      <c r="C49" s="157"/>
      <c r="D49" s="157"/>
      <c r="E49" s="158"/>
      <c r="F49" s="157"/>
      <c r="G49" s="157"/>
      <c r="H49" s="157"/>
      <c r="I49" s="157"/>
      <c r="J49" s="157"/>
      <c r="K49" s="157"/>
      <c r="L49" s="157"/>
      <c r="M49" s="159"/>
      <c r="N49" s="141"/>
      <c r="O49" s="160"/>
      <c r="P49" s="145" t="s">
        <v>79</v>
      </c>
      <c r="Q49" s="145"/>
      <c r="R49" s="145"/>
      <c r="S49" s="145"/>
      <c r="T49" s="145"/>
      <c r="U49" s="145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customFormat="false" ht="15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30"/>
      <c r="P50" s="130"/>
      <c r="Q50" s="130"/>
      <c r="R50" s="130"/>
      <c r="S50" s="130"/>
      <c r="T50" s="130"/>
      <c r="U50" s="130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customFormat="false" ht="15.75" hidden="false" customHeight="true" outlineLevel="0" collapsed="false">
      <c r="A51" s="1"/>
      <c r="B51" s="134" t="s">
        <v>80</v>
      </c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1"/>
      <c r="O51" s="134" t="s">
        <v>81</v>
      </c>
      <c r="P51" s="134"/>
      <c r="Q51" s="134"/>
      <c r="R51" s="134"/>
      <c r="S51" s="134"/>
      <c r="T51" s="134"/>
      <c r="U51" s="134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customFormat="false" ht="15.75" hidden="false" customHeight="true" outlineLevel="0" collapsed="false">
      <c r="A52" s="1"/>
      <c r="B52" s="161" t="s">
        <v>82</v>
      </c>
      <c r="C52" s="162" t="s">
        <v>83</v>
      </c>
      <c r="D52" s="162" t="s">
        <v>73</v>
      </c>
      <c r="E52" s="162"/>
      <c r="F52" s="140" t="s">
        <v>84</v>
      </c>
      <c r="G52" s="140"/>
      <c r="H52" s="140"/>
      <c r="I52" s="140"/>
      <c r="J52" s="140"/>
      <c r="K52" s="140"/>
      <c r="L52" s="140"/>
      <c r="M52" s="140"/>
      <c r="N52" s="131"/>
      <c r="O52" s="161" t="s">
        <v>82</v>
      </c>
      <c r="P52" s="139" t="s">
        <v>83</v>
      </c>
      <c r="Q52" s="163" t="s">
        <v>73</v>
      </c>
      <c r="R52" s="164" t="s">
        <v>84</v>
      </c>
      <c r="S52" s="164"/>
      <c r="T52" s="164"/>
      <c r="U52" s="164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customFormat="false" ht="15.75" hidden="false" customHeight="true" outlineLevel="0" collapsed="false">
      <c r="A53" s="1"/>
      <c r="B53" s="165"/>
      <c r="C53" s="166" t="s">
        <v>85</v>
      </c>
      <c r="D53" s="167" t="s">
        <v>86</v>
      </c>
      <c r="E53" s="168" t="s">
        <v>87</v>
      </c>
      <c r="F53" s="168"/>
      <c r="G53" s="168"/>
      <c r="H53" s="168"/>
      <c r="I53" s="168"/>
      <c r="J53" s="168"/>
      <c r="K53" s="168"/>
      <c r="L53" s="168"/>
      <c r="M53" s="169"/>
      <c r="N53" s="131"/>
      <c r="O53" s="170"/>
      <c r="P53" s="171" t="s">
        <v>88</v>
      </c>
      <c r="Q53" s="172" t="s">
        <v>89</v>
      </c>
      <c r="R53" s="173" t="s">
        <v>90</v>
      </c>
      <c r="S53" s="173"/>
      <c r="T53" s="173"/>
      <c r="U53" s="173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customFormat="false" ht="15.75" hidden="false" customHeight="true" outlineLevel="0" collapsed="false">
      <c r="A54" s="1"/>
      <c r="B54" s="174"/>
      <c r="C54" s="166"/>
      <c r="D54" s="167"/>
      <c r="E54" s="168"/>
      <c r="F54" s="168"/>
      <c r="G54" s="168"/>
      <c r="H54" s="168"/>
      <c r="I54" s="168"/>
      <c r="J54" s="168"/>
      <c r="K54" s="168"/>
      <c r="L54" s="168"/>
      <c r="M54" s="175"/>
      <c r="N54" s="131"/>
      <c r="O54" s="170"/>
      <c r="P54" s="171" t="s">
        <v>91</v>
      </c>
      <c r="Q54" s="176" t="s">
        <v>92</v>
      </c>
      <c r="R54" s="173" t="s">
        <v>93</v>
      </c>
      <c r="S54" s="173"/>
      <c r="T54" s="173"/>
      <c r="U54" s="173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customFormat="false" ht="15.75" hidden="false" customHeight="true" outlineLevel="0" collapsed="false">
      <c r="A55" s="1"/>
      <c r="B55" s="174"/>
      <c r="C55" s="177" t="s">
        <v>85</v>
      </c>
      <c r="D55" s="178" t="s">
        <v>75</v>
      </c>
      <c r="E55" s="10" t="s">
        <v>94</v>
      </c>
      <c r="F55" s="10"/>
      <c r="G55" s="10"/>
      <c r="H55" s="10"/>
      <c r="I55" s="10"/>
      <c r="J55" s="10"/>
      <c r="K55" s="10"/>
      <c r="L55" s="10"/>
      <c r="M55" s="179"/>
      <c r="N55" s="131"/>
      <c r="O55" s="174"/>
      <c r="P55" s="180" t="s">
        <v>95</v>
      </c>
      <c r="Q55" s="81" t="s">
        <v>75</v>
      </c>
      <c r="R55" s="181" t="s">
        <v>94</v>
      </c>
      <c r="S55" s="181"/>
      <c r="T55" s="181"/>
      <c r="U55" s="18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customFormat="false" ht="15.75" hidden="false" customHeight="true" outlineLevel="0" collapsed="false">
      <c r="A56" s="1"/>
      <c r="B56" s="174"/>
      <c r="C56" s="177" t="s">
        <v>96</v>
      </c>
      <c r="D56" s="178" t="s">
        <v>75</v>
      </c>
      <c r="E56" s="10" t="s">
        <v>94</v>
      </c>
      <c r="F56" s="10"/>
      <c r="G56" s="10"/>
      <c r="H56" s="10"/>
      <c r="I56" s="10"/>
      <c r="J56" s="10"/>
      <c r="K56" s="10"/>
      <c r="L56" s="10"/>
      <c r="M56" s="179"/>
      <c r="N56" s="131"/>
      <c r="O56" s="174"/>
      <c r="P56" s="182" t="s">
        <v>95</v>
      </c>
      <c r="Q56" s="183" t="s">
        <v>97</v>
      </c>
      <c r="R56" s="184" t="s">
        <v>98</v>
      </c>
      <c r="S56" s="184"/>
      <c r="T56" s="184"/>
      <c r="U56" s="184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customFormat="false" ht="15.75" hidden="false" customHeight="true" outlineLevel="0" collapsed="false">
      <c r="A57" s="1"/>
      <c r="B57" s="174"/>
      <c r="C57" s="177" t="s">
        <v>96</v>
      </c>
      <c r="D57" s="178" t="s">
        <v>99</v>
      </c>
      <c r="E57" s="10" t="s">
        <v>100</v>
      </c>
      <c r="F57" s="10"/>
      <c r="G57" s="10"/>
      <c r="H57" s="10"/>
      <c r="I57" s="10"/>
      <c r="J57" s="10"/>
      <c r="K57" s="10"/>
      <c r="L57" s="10"/>
      <c r="M57" s="179"/>
      <c r="N57" s="131"/>
      <c r="O57" s="174"/>
      <c r="P57" s="182"/>
      <c r="Q57" s="182"/>
      <c r="R57" s="184"/>
      <c r="S57" s="184"/>
      <c r="T57" s="184"/>
      <c r="U57" s="184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customFormat="false" ht="15.75" hidden="false" customHeight="true" outlineLevel="0" collapsed="false">
      <c r="A58" s="1"/>
      <c r="B58" s="95"/>
      <c r="C58" s="177" t="s">
        <v>96</v>
      </c>
      <c r="D58" s="178" t="s">
        <v>101</v>
      </c>
      <c r="E58" s="10" t="s">
        <v>102</v>
      </c>
      <c r="F58" s="10"/>
      <c r="G58" s="10"/>
      <c r="H58" s="10"/>
      <c r="I58" s="10"/>
      <c r="J58" s="10"/>
      <c r="K58" s="10"/>
      <c r="L58" s="10"/>
      <c r="M58" s="179"/>
      <c r="N58" s="131"/>
      <c r="O58" s="174"/>
      <c r="P58" s="180" t="s">
        <v>95</v>
      </c>
      <c r="Q58" s="81" t="s">
        <v>103</v>
      </c>
      <c r="R58" s="181" t="s">
        <v>104</v>
      </c>
      <c r="S58" s="181"/>
      <c r="T58" s="181"/>
      <c r="U58" s="18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customFormat="false" ht="15.75" hidden="false" customHeight="true" outlineLevel="0" collapsed="false">
      <c r="A59" s="1"/>
      <c r="B59" s="95"/>
      <c r="C59" s="177" t="s">
        <v>105</v>
      </c>
      <c r="D59" s="178" t="s">
        <v>75</v>
      </c>
      <c r="E59" s="10" t="s">
        <v>94</v>
      </c>
      <c r="F59" s="10"/>
      <c r="G59" s="10"/>
      <c r="H59" s="10"/>
      <c r="I59" s="10"/>
      <c r="J59" s="10"/>
      <c r="K59" s="10"/>
      <c r="L59" s="10"/>
      <c r="M59" s="179"/>
      <c r="N59" s="131"/>
      <c r="O59" s="185"/>
      <c r="P59" s="186" t="s">
        <v>106</v>
      </c>
      <c r="Q59" s="84" t="s">
        <v>107</v>
      </c>
      <c r="R59" s="10" t="s">
        <v>104</v>
      </c>
      <c r="S59" s="10"/>
      <c r="T59" s="10"/>
      <c r="U59" s="10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customFormat="false" ht="15.75" hidden="false" customHeight="true" outlineLevel="0" collapsed="false">
      <c r="A60" s="1"/>
      <c r="B60" s="95"/>
      <c r="C60" s="177" t="s">
        <v>108</v>
      </c>
      <c r="D60" s="178" t="s">
        <v>75</v>
      </c>
      <c r="E60" s="10" t="s">
        <v>94</v>
      </c>
      <c r="F60" s="10"/>
      <c r="G60" s="10"/>
      <c r="H60" s="10"/>
      <c r="I60" s="10"/>
      <c r="J60" s="10"/>
      <c r="K60" s="10"/>
      <c r="L60" s="10"/>
      <c r="M60" s="179"/>
      <c r="N60" s="131"/>
      <c r="O60" s="95"/>
      <c r="P60" s="180" t="s">
        <v>109</v>
      </c>
      <c r="Q60" s="81" t="s">
        <v>75</v>
      </c>
      <c r="R60" s="181" t="s">
        <v>94</v>
      </c>
      <c r="S60" s="181"/>
      <c r="T60" s="181"/>
      <c r="U60" s="18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customFormat="false" ht="15.75" hidden="false" customHeight="true" outlineLevel="0" collapsed="false">
      <c r="A61" s="1"/>
      <c r="B61" s="95"/>
      <c r="C61" s="177" t="s">
        <v>110</v>
      </c>
      <c r="D61" s="178" t="s">
        <v>75</v>
      </c>
      <c r="E61" s="10" t="s">
        <v>94</v>
      </c>
      <c r="F61" s="10"/>
      <c r="G61" s="10"/>
      <c r="H61" s="10"/>
      <c r="I61" s="10"/>
      <c r="J61" s="10"/>
      <c r="K61" s="10"/>
      <c r="L61" s="10"/>
      <c r="M61" s="179"/>
      <c r="N61" s="131"/>
      <c r="O61" s="95"/>
      <c r="P61" s="180" t="s">
        <v>109</v>
      </c>
      <c r="Q61" s="81" t="s">
        <v>97</v>
      </c>
      <c r="R61" s="181" t="s">
        <v>104</v>
      </c>
      <c r="S61" s="181"/>
      <c r="T61" s="181"/>
      <c r="U61" s="18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customFormat="false" ht="15.75" hidden="false" customHeight="true" outlineLevel="0" collapsed="false">
      <c r="A62" s="1"/>
      <c r="B62" s="91"/>
      <c r="C62" s="177" t="s">
        <v>111</v>
      </c>
      <c r="D62" s="178" t="s">
        <v>75</v>
      </c>
      <c r="E62" s="10" t="s">
        <v>94</v>
      </c>
      <c r="F62" s="10"/>
      <c r="G62" s="10"/>
      <c r="H62" s="10"/>
      <c r="I62" s="10"/>
      <c r="J62" s="10"/>
      <c r="K62" s="10"/>
      <c r="L62" s="10"/>
      <c r="M62" s="179"/>
      <c r="N62" s="131"/>
      <c r="O62" s="91"/>
      <c r="P62" s="144"/>
      <c r="Q62" s="144"/>
      <c r="R62" s="145"/>
      <c r="S62" s="145"/>
      <c r="T62" s="145"/>
      <c r="U62" s="145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customFormat="false" ht="15.75" hidden="false" customHeight="false" outlineLevel="0" collapsed="false">
      <c r="A63" s="1"/>
      <c r="B63" s="187"/>
      <c r="C63" s="188" t="s">
        <v>111</v>
      </c>
      <c r="D63" s="189" t="s">
        <v>112</v>
      </c>
      <c r="E63" s="189" t="s">
        <v>112</v>
      </c>
      <c r="F63" s="190" t="s">
        <v>113</v>
      </c>
      <c r="G63" s="190"/>
      <c r="H63" s="190"/>
      <c r="I63" s="190"/>
      <c r="J63" s="190"/>
      <c r="K63" s="190"/>
      <c r="L63" s="190"/>
      <c r="M63" s="145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91"/>
      <c r="P93" s="19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customFormat="false" ht="15.75" hidden="false" customHeight="false" outlineLevel="0" collapsed="false">
      <c r="A95" s="1"/>
      <c r="B95" s="19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91"/>
      <c r="P103" s="19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customFormat="false" ht="15.75" hidden="false" customHeight="false" outlineLevel="0" collapsed="false">
      <c r="A105" s="1"/>
      <c r="B105" s="19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customFormat="false" ht="15.75" hidden="false" customHeight="false" outlineLevel="0" collapsed="false">
      <c r="A121" s="1"/>
      <c r="B121" s="192"/>
      <c r="C121" s="19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customFormat="false" ht="15.75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customFormat="false" ht="15.75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customFormat="false" ht="15.75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customFormat="false" ht="15.75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customFormat="false" ht="15.75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customFormat="false" ht="15.75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customFormat="false" ht="15.75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customFormat="false" ht="15.75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customFormat="false" ht="15.75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customFormat="false" ht="15.75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customFormat="false" ht="15.75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customFormat="false" ht="15.7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customFormat="false" ht="15.75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customFormat="false" ht="15.75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customFormat="false" ht="15.75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customFormat="false" ht="15.75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customFormat="false" ht="15.75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customFormat="false" ht="15.75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customFormat="false" ht="15.75" hidden="false" customHeight="false" outlineLevel="0" collapsed="false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customFormat="false" ht="15.75" hidden="false" customHeight="false" outlineLevel="0" collapsed="false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customFormat="false" ht="15.75" hidden="false" customHeight="false" outlineLevel="0" collapsed="false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customFormat="false" ht="15.75" hidden="false" customHeight="false" outlineLevel="0" collapsed="false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customFormat="false" ht="15.75" hidden="false" customHeight="false" outlineLevel="0" collapsed="false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customFormat="false" ht="15.75" hidden="false" customHeight="false" outlineLevel="0" collapsed="false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customFormat="false" ht="15.75" hidden="false" customHeight="false" outlineLevel="0" collapsed="false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customFormat="false" ht="15.75" hidden="false" customHeight="false" outlineLevel="0" collapsed="false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customFormat="false" ht="15.75" hidden="false" customHeight="false" outlineLevel="0" collapsed="false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customFormat="false" ht="15.75" hidden="false" customHeight="false" outlineLevel="0" collapsed="false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customFormat="false" ht="15.75" hidden="false" customHeight="false" outlineLevel="0" collapsed="false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customFormat="false" ht="15.75" hidden="false" customHeight="false" outlineLevel="0" collapsed="false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customFormat="false" ht="15.75" hidden="false" customHeight="false" outlineLevel="0" collapsed="false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customFormat="false" ht="15.75" hidden="false" customHeight="false" outlineLevel="0" collapsed="false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customFormat="false" ht="15.75" hidden="false" customHeight="false" outlineLevel="0" collapsed="false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customFormat="false" ht="15.75" hidden="false" customHeight="false" outlineLevel="0" collapsed="false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customFormat="false" ht="15.75" hidden="false" customHeight="false" outlineLevel="0" collapsed="false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customFormat="false" ht="15.75" hidden="false" customHeight="false" outlineLevel="0" collapsed="false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customFormat="false" ht="15.75" hidden="false" customHeight="false" outlineLevel="0" collapsed="false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</sheetData>
  <mergeCells count="92">
    <mergeCell ref="B2:C4"/>
    <mergeCell ref="D2:F2"/>
    <mergeCell ref="H2:L2"/>
    <mergeCell ref="O2:U2"/>
    <mergeCell ref="O3:P3"/>
    <mergeCell ref="P4:U4"/>
    <mergeCell ref="O5:Q5"/>
    <mergeCell ref="R5:S5"/>
    <mergeCell ref="T5:U5"/>
    <mergeCell ref="B6:M6"/>
    <mergeCell ref="O6:P6"/>
    <mergeCell ref="T6:U6"/>
    <mergeCell ref="O7:P7"/>
    <mergeCell ref="T7:U7"/>
    <mergeCell ref="O8:P8"/>
    <mergeCell ref="O9:P9"/>
    <mergeCell ref="O10:P10"/>
    <mergeCell ref="O12:Q12"/>
    <mergeCell ref="O13:Q13"/>
    <mergeCell ref="O14:Q14"/>
    <mergeCell ref="O15:Q15"/>
    <mergeCell ref="O16:Q16"/>
    <mergeCell ref="P17:U17"/>
    <mergeCell ref="O18:U18"/>
    <mergeCell ref="O19:R19"/>
    <mergeCell ref="S19:U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Q32"/>
    <mergeCell ref="S32:T32"/>
    <mergeCell ref="P33:U33"/>
    <mergeCell ref="O34:U34"/>
    <mergeCell ref="O35:R35"/>
    <mergeCell ref="S35:U35"/>
    <mergeCell ref="O36:P36"/>
    <mergeCell ref="O37:P37"/>
    <mergeCell ref="O38:P38"/>
    <mergeCell ref="O39:P39"/>
    <mergeCell ref="O40:P40"/>
    <mergeCell ref="O41:P41"/>
    <mergeCell ref="O42:P42"/>
    <mergeCell ref="O43:P43"/>
    <mergeCell ref="B44:L44"/>
    <mergeCell ref="O44:P44"/>
    <mergeCell ref="B45:C45"/>
    <mergeCell ref="F45:L45"/>
    <mergeCell ref="O45:P45"/>
    <mergeCell ref="F46:L46"/>
    <mergeCell ref="F47:L47"/>
    <mergeCell ref="P47:U47"/>
    <mergeCell ref="F48:L48"/>
    <mergeCell ref="P48:U48"/>
    <mergeCell ref="F49:L49"/>
    <mergeCell ref="P49:U49"/>
    <mergeCell ref="B51:M51"/>
    <mergeCell ref="O51:U51"/>
    <mergeCell ref="F52:M52"/>
    <mergeCell ref="R52:U52"/>
    <mergeCell ref="C53:C54"/>
    <mergeCell ref="D53:D54"/>
    <mergeCell ref="E53:L54"/>
    <mergeCell ref="R53:U53"/>
    <mergeCell ref="R54:U54"/>
    <mergeCell ref="E55:L55"/>
    <mergeCell ref="R55:U55"/>
    <mergeCell ref="E56:L56"/>
    <mergeCell ref="P56:P57"/>
    <mergeCell ref="Q56:Q57"/>
    <mergeCell ref="R56:U57"/>
    <mergeCell ref="E57:L57"/>
    <mergeCell ref="E58:L58"/>
    <mergeCell ref="R58:U58"/>
    <mergeCell ref="E59:L59"/>
    <mergeCell ref="R59:U59"/>
    <mergeCell ref="E60:L60"/>
    <mergeCell ref="R60:U60"/>
    <mergeCell ref="E61:L61"/>
    <mergeCell ref="R61:U61"/>
    <mergeCell ref="E62:L62"/>
    <mergeCell ref="R62:U62"/>
    <mergeCell ref="F63:L63"/>
    <mergeCell ref="B121:C121"/>
  </mergeCells>
  <conditionalFormatting sqref="I8:L27 D8:H23 D25:H27">
    <cfRule type="expression" priority="2" aboveAverage="0" equalAverage="0" bottom="0" percent="0" rank="0" text="" dxfId="0">
      <formula>IF(COUNTIF(E8,"*FA*"),1,0)</formula>
    </cfRule>
  </conditionalFormatting>
  <conditionalFormatting sqref="I8:L27 D8:H23 D25:H27">
    <cfRule type="expression" priority="3" aboveAverage="0" equalAverage="0" bottom="0" percent="0" rank="0" text="" dxfId="1">
      <formula>IF(COUNTIF(E8,"*Guaranteed*"),1,0)</formula>
    </cfRule>
  </conditionalFormatting>
  <conditionalFormatting sqref="I8:L27 D8:H23 D25:H27">
    <cfRule type="expression" priority="4" aboveAverage="0" equalAverage="0" bottom="0" percent="0" rank="0" text="" dxfId="2">
      <formula>IF(COUNTIF(E8,"*Club Option*"),1,0)</formula>
    </cfRule>
  </conditionalFormatting>
  <conditionalFormatting sqref="I8:L27 D8:H23 D25:H27">
    <cfRule type="expression" priority="5" aboveAverage="0" equalAverage="0" bottom="0" percent="0" rank="0" text="" dxfId="3">
      <formula>IF(COUNTIF(E8,"*Player Option*"),1,0)</formula>
    </cfRule>
  </conditionalFormatting>
  <conditionalFormatting sqref="Q7:Q10">
    <cfRule type="cellIs" priority="6" operator="greaterThan" aboveAverage="0" equalAverage="0" bottom="0" percent="0" rank="0" text="" dxfId="4">
      <formula>0</formula>
    </cfRule>
  </conditionalFormatting>
  <conditionalFormatting sqref="Q7:Q10">
    <cfRule type="cellIs" priority="7" operator="lessThan" aboveAverage="0" equalAverage="0" bottom="0" percent="0" rank="0" text="" dxfId="0">
      <formula>0</formula>
    </cfRule>
  </conditionalFormatting>
  <conditionalFormatting sqref="I8:L27 D8:H23 D25:H27">
    <cfRule type="expression" priority="8" aboveAverage="0" equalAverage="0" bottom="0" percent="0" rank="0" text="" dxfId="5">
      <formula>IF(COUNTIF(E8,"*Estimated*"),1,0)</formula>
    </cfRule>
  </conditionalFormatting>
  <conditionalFormatting sqref="D35:L37">
    <cfRule type="expression" priority="9" aboveAverage="0" equalAverage="0" bottom="0" percent="0" rank="0" text="" dxfId="6">
      <formula>LEN(TRIM(D35))=0</formula>
    </cfRule>
  </conditionalFormatting>
  <conditionalFormatting sqref="D35:L37">
    <cfRule type="containsText" priority="10" operator="containsText" aboveAverage="0" equalAverage="0" bottom="0" percent="0" rank="0" text="$" dxfId="0">
      <formula>NOT(ISERROR(SEARCH("$",D35)))</formula>
    </cfRule>
  </conditionalFormatting>
  <conditionalFormatting sqref="R13:R16">
    <cfRule type="cellIs" priority="11" operator="equal" aboveAverage="0" equalAverage="0" bottom="0" percent="0" rank="0" text="" dxfId="7">
      <formula>"YES"</formula>
    </cfRule>
  </conditionalFormatting>
  <conditionalFormatting sqref="R13:R16">
    <cfRule type="cellIs" priority="12" operator="equal" aboveAverage="0" equalAverage="0" bottom="0" percent="0" rank="0" text="" dxfId="8">
      <formula>"NO"</formula>
    </cfRule>
  </conditionalFormatting>
  <conditionalFormatting sqref="C25:C27 C8:C23">
    <cfRule type="expression" priority="13" aboveAverage="0" equalAverage="0" bottom="0" percent="0" rank="0" text="" dxfId="9">
      <formula>IF(SEARCH("~*", C8),1,0)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93" t="str">
        <f aca="false">IFERROR(__xludf.dummyfunction("IFERROR(FILTER(IMPORTRANGE(""https://docs.google.com/spreadsheets/d/12OM_DeBCvNTEZ9LjYJwdNoDqg6ZrZOBB1dEVuPqpo20/edit?gid=1981759013#gid=1981759013"",""Pending Trades!B:B""),ISNUMBER(SEARCH(Roster!B6&amp;"" get"",IMPORTRANGE(""https://docs.google.com/spreadsh"&amp;"eets/d/12OM_DeBCvNTEZ9LjYJwdNoDqg6ZrZOBB1dEVuPqpo20/edit?gid=1981759013#gid=1981759013"",""Pending Trades!B:B""),1))*(IMPORTRANGE(""https://docs.google.com/spreadsheets/d/12OM_DeBCvNTEZ9LjYJwdNoDqg6ZrZOBB1dEVuPqpo20/edit?gid=1981759013#gid=1981759013"","""&amp;"Pending Trades!C:C"")=""Team sheets updated"")),"""")"),"Charlotte Hornets Get:  Zach Collins, Simone Fontecchio, creates a $4,346,629 TPE (Josh Green)
Atlanta Hawks Get: Jusuf Nurkic, Josh Green, 2030 2nd Round Pick via Charlotte Hornets")</f>
        <v>Charlotte Hornets Get:  Zach Collins, Simone Fontecchio, creates a $4,346,629 TPE (Josh Green)
Atlanta Hawks Get: Jusuf Nurkic, Josh Green, 2030 2nd Round Pick via Charlotte Hornets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24.63"/>
  </cols>
  <sheetData>
    <row r="1" customFormat="false" ht="15.75" hidden="false" customHeight="false" outlineLevel="0" collapsed="false">
      <c r="A1" s="194"/>
      <c r="B1" s="195"/>
      <c r="C1" s="196"/>
      <c r="D1" s="194"/>
      <c r="E1" s="195"/>
      <c r="F1" s="195"/>
      <c r="G1" s="195"/>
      <c r="H1" s="194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4"/>
      <c r="V1" s="194"/>
      <c r="W1" s="194"/>
      <c r="X1" s="194"/>
      <c r="Y1" s="194"/>
    </row>
    <row r="2" customFormat="false" ht="15.75" hidden="false" customHeight="false" outlineLevel="0" collapsed="false">
      <c r="A2" s="197"/>
      <c r="B2" s="198" t="s">
        <v>114</v>
      </c>
      <c r="C2" s="198"/>
      <c r="D2" s="197"/>
      <c r="E2" s="199" t="s">
        <v>115</v>
      </c>
      <c r="F2" s="199"/>
      <c r="G2" s="200" t="s">
        <v>116</v>
      </c>
      <c r="H2" s="197"/>
      <c r="I2" s="201" t="s">
        <v>117</v>
      </c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194"/>
      <c r="V2" s="194"/>
      <c r="W2" s="194"/>
      <c r="X2" s="194"/>
      <c r="Y2" s="194"/>
    </row>
    <row r="3" customFormat="false" ht="15.75" hidden="false" customHeight="true" outlineLevel="0" collapsed="false">
      <c r="A3" s="197"/>
      <c r="B3" s="202" t="s">
        <v>118</v>
      </c>
      <c r="C3" s="202"/>
      <c r="D3" s="197"/>
      <c r="E3" s="203" t="s">
        <v>119</v>
      </c>
      <c r="F3" s="204" t="n">
        <f aca="false">SUM(F4:F8)</f>
        <v>10</v>
      </c>
      <c r="G3" s="205" t="s">
        <v>120</v>
      </c>
      <c r="H3" s="197"/>
      <c r="I3" s="205" t="s">
        <v>121</v>
      </c>
      <c r="J3" s="205"/>
      <c r="K3" s="205"/>
      <c r="L3" s="205"/>
      <c r="M3" s="205"/>
      <c r="N3" s="205"/>
      <c r="O3" s="205" t="s">
        <v>122</v>
      </c>
      <c r="P3" s="205"/>
      <c r="Q3" s="205"/>
      <c r="R3" s="205"/>
      <c r="S3" s="205"/>
      <c r="T3" s="205"/>
      <c r="U3" s="194"/>
      <c r="V3" s="194"/>
      <c r="W3" s="194"/>
      <c r="X3" s="194"/>
      <c r="Y3" s="194"/>
    </row>
    <row r="4" customFormat="false" ht="15.75" hidden="false" customHeight="false" outlineLevel="0" collapsed="false">
      <c r="A4" s="197"/>
      <c r="B4" s="202"/>
      <c r="C4" s="202"/>
      <c r="D4" s="197"/>
      <c r="E4" s="206" t="n">
        <v>1</v>
      </c>
      <c r="F4" s="207" t="n">
        <f aca="false">IF(G2="Year 1",C11,(IF(E4&gt;$C$9,0,IF($C$10="Yes",$C$14*1,$C$18*1))))</f>
        <v>3.086419753</v>
      </c>
      <c r="G4" s="208" t="n">
        <f aca="false">IF(F4&gt;0,F4/$F$4,"0%")</f>
        <v>1</v>
      </c>
      <c r="H4" s="197"/>
      <c r="I4" s="194"/>
      <c r="J4" s="206" t="s">
        <v>123</v>
      </c>
      <c r="K4" s="206" t="s">
        <v>124</v>
      </c>
      <c r="L4" s="206" t="s">
        <v>125</v>
      </c>
      <c r="M4" s="206" t="s">
        <v>126</v>
      </c>
      <c r="N4" s="209" t="s">
        <v>127</v>
      </c>
      <c r="O4" s="194"/>
      <c r="P4" s="206" t="s">
        <v>123</v>
      </c>
      <c r="Q4" s="206" t="s">
        <v>124</v>
      </c>
      <c r="R4" s="206" t="s">
        <v>125</v>
      </c>
      <c r="S4" s="206" t="s">
        <v>126</v>
      </c>
      <c r="T4" s="209" t="s">
        <v>127</v>
      </c>
      <c r="U4" s="194"/>
      <c r="V4" s="194"/>
      <c r="W4" s="194"/>
      <c r="X4" s="194"/>
      <c r="Y4" s="194"/>
    </row>
    <row r="5" customFormat="false" ht="15.75" hidden="false" customHeight="false" outlineLevel="0" collapsed="false">
      <c r="A5" s="197"/>
      <c r="B5" s="202"/>
      <c r="C5" s="202"/>
      <c r="D5" s="197"/>
      <c r="E5" s="206" t="n">
        <v>2</v>
      </c>
      <c r="F5" s="207" t="n">
        <f aca="false">(IF(E5&gt;$C$9,0,(IF(G2="Year 1",IF(C10="Yes",C11*1.08,C11*1.05),IF($C$10="Yes",$C$14*1.08,$C$18*1.05)))))</f>
        <v>3.333333333</v>
      </c>
      <c r="G5" s="208" t="n">
        <f aca="false">IF(F5&gt;0,F5/$F$4,"0%")</f>
        <v>1.07999999992224</v>
      </c>
      <c r="H5" s="197"/>
      <c r="I5" s="210" t="s">
        <v>128</v>
      </c>
      <c r="J5" s="206" t="n">
        <v>100</v>
      </c>
      <c r="K5" s="206" t="n">
        <v>100</v>
      </c>
      <c r="L5" s="206" t="n">
        <v>100</v>
      </c>
      <c r="M5" s="206" t="n">
        <v>100</v>
      </c>
      <c r="N5" s="209" t="n">
        <v>100</v>
      </c>
      <c r="O5" s="210" t="s">
        <v>128</v>
      </c>
      <c r="P5" s="206" t="n">
        <v>100</v>
      </c>
      <c r="Q5" s="206" t="n">
        <v>100</v>
      </c>
      <c r="R5" s="206" t="n">
        <v>100</v>
      </c>
      <c r="S5" s="206" t="n">
        <v>100</v>
      </c>
      <c r="T5" s="209" t="n">
        <v>100</v>
      </c>
      <c r="U5" s="194"/>
      <c r="V5" s="194"/>
      <c r="W5" s="194"/>
      <c r="X5" s="194"/>
      <c r="Y5" s="194"/>
    </row>
    <row r="6" customFormat="false" ht="15.75" hidden="false" customHeight="false" outlineLevel="0" collapsed="false">
      <c r="A6" s="194"/>
      <c r="B6" s="211" t="s">
        <v>129</v>
      </c>
      <c r="C6" s="196"/>
      <c r="D6" s="197"/>
      <c r="E6" s="206" t="n">
        <v>3</v>
      </c>
      <c r="F6" s="207" t="n">
        <f aca="false">IF(E6&gt;$C$9,0,IF(G2="Year 1",IF(C10="Yes",C11*1.16,C11*1.1),IF($C$10="Yes",$C$14*1.16,$C$18*1.1)))</f>
        <v>3.580246914</v>
      </c>
      <c r="G6" s="208" t="n">
        <f aca="false">IF(F6&gt;0,F6/$F$4,"0%")</f>
        <v>1.16000000016848</v>
      </c>
      <c r="H6" s="197"/>
      <c r="I6" s="210" t="s">
        <v>130</v>
      </c>
      <c r="J6" s="212"/>
      <c r="K6" s="206" t="n">
        <v>105</v>
      </c>
      <c r="L6" s="206" t="n">
        <v>105</v>
      </c>
      <c r="M6" s="206" t="n">
        <v>105</v>
      </c>
      <c r="N6" s="209" t="n">
        <v>105</v>
      </c>
      <c r="O6" s="210" t="s">
        <v>130</v>
      </c>
      <c r="P6" s="212"/>
      <c r="Q6" s="206" t="n">
        <v>95</v>
      </c>
      <c r="R6" s="206" t="n">
        <v>95</v>
      </c>
      <c r="S6" s="206" t="n">
        <v>95</v>
      </c>
      <c r="T6" s="209" t="n">
        <v>95</v>
      </c>
      <c r="U6" s="194"/>
      <c r="V6" s="194"/>
      <c r="W6" s="194"/>
      <c r="X6" s="194"/>
      <c r="Y6" s="194"/>
    </row>
    <row r="7" customFormat="false" ht="15.75" hidden="false" customHeight="false" outlineLevel="0" collapsed="false">
      <c r="A7" s="197"/>
      <c r="B7" s="199" t="s">
        <v>131</v>
      </c>
      <c r="C7" s="199"/>
      <c r="D7" s="197"/>
      <c r="E7" s="206" t="n">
        <v>4</v>
      </c>
      <c r="F7" s="207" t="n">
        <f aca="false">IF(E7&gt;$C$9,0,IF(G2="Year 1",IF(C10="Yes",C11*1.24,C11*1.15),IF($C$10="Yes",$C$14*1.24,$C$18*1.15)))</f>
        <v>0</v>
      </c>
      <c r="G7" s="208" t="str">
        <f aca="false">IF(F7&gt;0,F7/$F$4,"0%")</f>
        <v>0%</v>
      </c>
      <c r="H7" s="197"/>
      <c r="I7" s="210" t="s">
        <v>132</v>
      </c>
      <c r="J7" s="212"/>
      <c r="K7" s="212"/>
      <c r="L7" s="206" t="n">
        <v>110</v>
      </c>
      <c r="M7" s="206" t="n">
        <v>110</v>
      </c>
      <c r="N7" s="209" t="n">
        <v>110</v>
      </c>
      <c r="O7" s="210" t="s">
        <v>132</v>
      </c>
      <c r="P7" s="212"/>
      <c r="Q7" s="212"/>
      <c r="R7" s="206" t="n">
        <v>90</v>
      </c>
      <c r="S7" s="206" t="n">
        <v>90</v>
      </c>
      <c r="T7" s="209" t="n">
        <v>90</v>
      </c>
      <c r="U7" s="194"/>
      <c r="V7" s="194"/>
      <c r="W7" s="194"/>
      <c r="X7" s="194"/>
      <c r="Y7" s="194"/>
    </row>
    <row r="8" customFormat="false" ht="15.75" hidden="false" customHeight="false" outlineLevel="0" collapsed="false">
      <c r="A8" s="197"/>
      <c r="B8" s="210" t="s">
        <v>133</v>
      </c>
      <c r="C8" s="213" t="n">
        <v>10</v>
      </c>
      <c r="D8" s="197"/>
      <c r="E8" s="214" t="n">
        <v>5</v>
      </c>
      <c r="F8" s="215" t="n">
        <f aca="false">IF(E8&gt;$C$9,0,IF(G2="Year 1",IF(C10="Yes",C11*1.32,C11*1.2),IF($C$10="Yes",$C$14*1.32,$C$18*1.2)))</f>
        <v>0</v>
      </c>
      <c r="G8" s="216" t="str">
        <f aca="false">IF(F8&gt;0,F8/$F$4,"0%")</f>
        <v>0%</v>
      </c>
      <c r="H8" s="197"/>
      <c r="I8" s="210" t="s">
        <v>134</v>
      </c>
      <c r="J8" s="212"/>
      <c r="K8" s="212"/>
      <c r="L8" s="212"/>
      <c r="M8" s="206" t="n">
        <v>115</v>
      </c>
      <c r="N8" s="209" t="n">
        <v>115</v>
      </c>
      <c r="O8" s="210" t="s">
        <v>134</v>
      </c>
      <c r="P8" s="212"/>
      <c r="Q8" s="212"/>
      <c r="R8" s="212"/>
      <c r="S8" s="206" t="n">
        <v>85</v>
      </c>
      <c r="T8" s="209" t="n">
        <v>85</v>
      </c>
      <c r="U8" s="194"/>
      <c r="V8" s="194"/>
      <c r="W8" s="194"/>
      <c r="X8" s="194"/>
      <c r="Y8" s="194"/>
    </row>
    <row r="9" customFormat="false" ht="15.75" hidden="false" customHeight="false" outlineLevel="0" collapsed="false">
      <c r="A9" s="197"/>
      <c r="B9" s="210" t="s">
        <v>135</v>
      </c>
      <c r="C9" s="217" t="n">
        <v>3</v>
      </c>
      <c r="D9" s="197"/>
      <c r="E9" s="203" t="s">
        <v>136</v>
      </c>
      <c r="F9" s="204" t="n">
        <f aca="false">SUM(F10:F14)</f>
        <v>10.00000000056</v>
      </c>
      <c r="G9" s="205" t="s">
        <v>120</v>
      </c>
      <c r="H9" s="197"/>
      <c r="I9" s="218" t="s">
        <v>137</v>
      </c>
      <c r="J9" s="212"/>
      <c r="K9" s="212"/>
      <c r="L9" s="212"/>
      <c r="M9" s="212"/>
      <c r="N9" s="219" t="n">
        <v>120</v>
      </c>
      <c r="O9" s="218" t="s">
        <v>137</v>
      </c>
      <c r="P9" s="212"/>
      <c r="Q9" s="212"/>
      <c r="R9" s="212"/>
      <c r="S9" s="212"/>
      <c r="T9" s="219" t="n">
        <v>80</v>
      </c>
      <c r="U9" s="194"/>
      <c r="V9" s="194"/>
      <c r="W9" s="194"/>
      <c r="X9" s="194"/>
      <c r="Y9" s="194"/>
    </row>
    <row r="10" customFormat="false" ht="15.75" hidden="false" customHeight="false" outlineLevel="0" collapsed="false">
      <c r="A10" s="197"/>
      <c r="B10" s="210" t="s">
        <v>138</v>
      </c>
      <c r="C10" s="217" t="s">
        <v>139</v>
      </c>
      <c r="D10" s="197"/>
      <c r="E10" s="206" t="n">
        <v>1</v>
      </c>
      <c r="F10" s="207" t="n">
        <f aca="false">IF(E10&gt;$C$9,0,IF(G2="Year 1",C11,(IF($C$10="Yes",$C$15*1,$C$19*1))))</f>
        <v>3.623188406</v>
      </c>
      <c r="G10" s="208" t="n">
        <f aca="false">IF(F10&gt;0,F10/$F$10,"0%")</f>
        <v>1</v>
      </c>
      <c r="H10" s="197"/>
      <c r="I10" s="220" t="s">
        <v>140</v>
      </c>
      <c r="J10" s="221" t="n">
        <f aca="false">SUM(J5:J9)</f>
        <v>100</v>
      </c>
      <c r="K10" s="221" t="n">
        <f aca="false">SUM(K5:K9)</f>
        <v>205</v>
      </c>
      <c r="L10" s="221" t="n">
        <f aca="false">SUM(L5:L9)</f>
        <v>315</v>
      </c>
      <c r="M10" s="221" t="n">
        <f aca="false">SUM(M5:M9)</f>
        <v>430</v>
      </c>
      <c r="N10" s="222" t="n">
        <f aca="false">SUM(N5:N9)</f>
        <v>550</v>
      </c>
      <c r="O10" s="220" t="s">
        <v>140</v>
      </c>
      <c r="P10" s="221" t="n">
        <f aca="false">SUM(P5:P9)</f>
        <v>100</v>
      </c>
      <c r="Q10" s="221" t="n">
        <f aca="false">SUM(Q5:Q9)</f>
        <v>195</v>
      </c>
      <c r="R10" s="221" t="n">
        <f aca="false">SUM(R5:R9)</f>
        <v>285</v>
      </c>
      <c r="S10" s="221" t="n">
        <f aca="false">SUM(S5:S9)</f>
        <v>370</v>
      </c>
      <c r="T10" s="222" t="n">
        <f aca="false">SUM(T5:T9)</f>
        <v>450</v>
      </c>
      <c r="U10" s="194"/>
      <c r="V10" s="194"/>
      <c r="W10" s="194"/>
      <c r="X10" s="194"/>
      <c r="Y10" s="194"/>
    </row>
    <row r="11" customFormat="false" ht="15.75" hidden="false" customHeight="false" outlineLevel="0" collapsed="false">
      <c r="A11" s="197"/>
      <c r="B11" s="223" t="s">
        <v>141</v>
      </c>
      <c r="C11" s="224" t="n">
        <v>1</v>
      </c>
      <c r="D11" s="197"/>
      <c r="E11" s="206" t="n">
        <v>2</v>
      </c>
      <c r="F11" s="207" t="n">
        <f aca="false">(IF(E11&gt;$C$9,0,(IF(G2="Year 1",IF(C10="Yes",C11*0.92,C11*0.95),IF($C$10="Yes",$C$15*0.92,$C$19*0.95)))))</f>
        <v>3.33333333352</v>
      </c>
      <c r="G11" s="208" t="n">
        <f aca="false">IF(F11&gt;0,F11/$F$10,"0%")</f>
        <v>0.92</v>
      </c>
      <c r="H11" s="197"/>
      <c r="I11" s="205" t="s">
        <v>142</v>
      </c>
      <c r="J11" s="205"/>
      <c r="K11" s="205"/>
      <c r="L11" s="205"/>
      <c r="M11" s="205"/>
      <c r="N11" s="205"/>
      <c r="O11" s="205" t="s">
        <v>143</v>
      </c>
      <c r="P11" s="205"/>
      <c r="Q11" s="205"/>
      <c r="R11" s="205"/>
      <c r="S11" s="205"/>
      <c r="T11" s="205"/>
      <c r="U11" s="194"/>
      <c r="V11" s="194"/>
      <c r="W11" s="194"/>
      <c r="X11" s="194"/>
      <c r="Y11" s="194"/>
    </row>
    <row r="12" customFormat="false" ht="15.75" hidden="false" customHeight="false" outlineLevel="0" collapsed="false">
      <c r="A12" s="197"/>
      <c r="B12" s="199" t="s">
        <v>144</v>
      </c>
      <c r="C12" s="199"/>
      <c r="D12" s="197"/>
      <c r="E12" s="206" t="n">
        <v>3</v>
      </c>
      <c r="F12" s="207" t="n">
        <f aca="false">IF(E12&gt;$C$9,0,IF(G2="Year 1",IF(C10="Yes",C11*0.84,C11*0.9),IF($C$10="Yes",$C$15*0.84,$C$19*0.9)))</f>
        <v>3.04347826104</v>
      </c>
      <c r="G12" s="208" t="n">
        <f aca="false">IF(F12&gt;0,F12/$F$10,"0%")</f>
        <v>0.84</v>
      </c>
      <c r="H12" s="197"/>
      <c r="I12" s="194"/>
      <c r="J12" s="206" t="s">
        <v>123</v>
      </c>
      <c r="K12" s="206" t="s">
        <v>124</v>
      </c>
      <c r="L12" s="206" t="s">
        <v>125</v>
      </c>
      <c r="M12" s="206" t="s">
        <v>126</v>
      </c>
      <c r="N12" s="209" t="s">
        <v>127</v>
      </c>
      <c r="O12" s="194"/>
      <c r="P12" s="206" t="s">
        <v>123</v>
      </c>
      <c r="Q12" s="206" t="s">
        <v>124</v>
      </c>
      <c r="R12" s="206" t="s">
        <v>125</v>
      </c>
      <c r="S12" s="206" t="s">
        <v>126</v>
      </c>
      <c r="T12" s="209" t="s">
        <v>127</v>
      </c>
      <c r="U12" s="194"/>
      <c r="V12" s="194"/>
      <c r="W12" s="194"/>
      <c r="X12" s="194"/>
      <c r="Y12" s="194"/>
    </row>
    <row r="13" customFormat="false" ht="15.75" hidden="false" customHeight="false" outlineLevel="0" collapsed="false">
      <c r="A13" s="197"/>
      <c r="B13" s="205" t="s">
        <v>145</v>
      </c>
      <c r="C13" s="205"/>
      <c r="D13" s="197"/>
      <c r="E13" s="206" t="n">
        <v>4</v>
      </c>
      <c r="F13" s="207" t="n">
        <f aca="false">IF(E13&gt;$C$9,0,IF(G2="Year 1",IF(C10="Yes",C11*0.76,C11*0.85),IF($C$10="Yes",$C$15*0.76,$C$19*0.85)))</f>
        <v>0</v>
      </c>
      <c r="G13" s="208" t="str">
        <f aca="false">IF(F13&gt;0,F13/$F$10,"0%")</f>
        <v>0%</v>
      </c>
      <c r="H13" s="197"/>
      <c r="I13" s="210" t="s">
        <v>128</v>
      </c>
      <c r="J13" s="206" t="n">
        <v>100</v>
      </c>
      <c r="K13" s="206" t="n">
        <v>100</v>
      </c>
      <c r="L13" s="206" t="n">
        <v>100</v>
      </c>
      <c r="M13" s="206" t="n">
        <v>100</v>
      </c>
      <c r="N13" s="209" t="n">
        <v>100</v>
      </c>
      <c r="O13" s="210" t="s">
        <v>128</v>
      </c>
      <c r="P13" s="206" t="n">
        <v>100</v>
      </c>
      <c r="Q13" s="206" t="n">
        <v>100</v>
      </c>
      <c r="R13" s="206" t="n">
        <v>100</v>
      </c>
      <c r="S13" s="206" t="n">
        <v>100</v>
      </c>
      <c r="T13" s="209" t="n">
        <v>100</v>
      </c>
      <c r="U13" s="194"/>
      <c r="V13" s="194"/>
      <c r="W13" s="194"/>
      <c r="X13" s="194"/>
      <c r="Y13" s="194"/>
    </row>
    <row r="14" customFormat="false" ht="15.75" hidden="false" customHeight="false" outlineLevel="0" collapsed="false">
      <c r="A14" s="197"/>
      <c r="B14" s="210" t="s">
        <v>119</v>
      </c>
      <c r="C14" s="225" t="n">
        <f aca="false">IF(C9=1,C8,IF(C9=2,C8/2.08,IF(C9=3,C8/3.24,IF(C9=4,C8/4.48,IF(C9=5,C8/5.8,0)))))</f>
        <v>3.086419753</v>
      </c>
      <c r="D14" s="197"/>
      <c r="E14" s="214" t="n">
        <v>5</v>
      </c>
      <c r="F14" s="215" t="n">
        <f aca="false">IF(E14&gt;$C$9,0,IF(G2="Year 1",IF(C10="Yes",C11*0.68,C11*0.8),IF($C$10="Yes",$C$15*0.68,$C$19*0.8)))</f>
        <v>0</v>
      </c>
      <c r="G14" s="216" t="str">
        <f aca="false">IF(F14&gt;0,F14/$F$10,"0%")</f>
        <v>0%</v>
      </c>
      <c r="H14" s="197"/>
      <c r="I14" s="210" t="s">
        <v>130</v>
      </c>
      <c r="J14" s="212"/>
      <c r="K14" s="206" t="n">
        <v>108</v>
      </c>
      <c r="L14" s="206" t="n">
        <v>108</v>
      </c>
      <c r="M14" s="206" t="n">
        <v>108</v>
      </c>
      <c r="N14" s="209" t="n">
        <v>108</v>
      </c>
      <c r="O14" s="210" t="s">
        <v>130</v>
      </c>
      <c r="P14" s="226"/>
      <c r="Q14" s="206" t="n">
        <v>92</v>
      </c>
      <c r="R14" s="206" t="n">
        <v>92</v>
      </c>
      <c r="S14" s="206" t="n">
        <v>92</v>
      </c>
      <c r="T14" s="209" t="n">
        <v>92</v>
      </c>
      <c r="U14" s="194"/>
      <c r="V14" s="194"/>
      <c r="W14" s="194"/>
      <c r="X14" s="194"/>
      <c r="Y14" s="194"/>
    </row>
    <row r="15" customFormat="false" ht="15.75" hidden="false" customHeight="false" outlineLevel="0" collapsed="false">
      <c r="A15" s="197"/>
      <c r="B15" s="210" t="s">
        <v>136</v>
      </c>
      <c r="C15" s="225" t="n">
        <f aca="false">IF(C9=1,C8,IF(C9=2,C8/1.92,IF(C9=3,C8/2.76,IF(C9=4,C8/3.52,IF(C9=5,C8/4.2,0)))))</f>
        <v>3.623188406</v>
      </c>
      <c r="D15" s="197"/>
      <c r="E15" s="203" t="s">
        <v>146</v>
      </c>
      <c r="F15" s="204" t="n">
        <f aca="false">SUM(F16:F20)</f>
        <v>9.999999999</v>
      </c>
      <c r="G15" s="205" t="s">
        <v>120</v>
      </c>
      <c r="H15" s="197"/>
      <c r="I15" s="210" t="s">
        <v>132</v>
      </c>
      <c r="J15" s="212"/>
      <c r="K15" s="212"/>
      <c r="L15" s="206" t="n">
        <v>116</v>
      </c>
      <c r="M15" s="206" t="n">
        <v>116</v>
      </c>
      <c r="N15" s="209" t="n">
        <v>116</v>
      </c>
      <c r="O15" s="210" t="s">
        <v>132</v>
      </c>
      <c r="P15" s="226"/>
      <c r="Q15" s="226"/>
      <c r="R15" s="206" t="n">
        <v>84</v>
      </c>
      <c r="S15" s="206" t="n">
        <v>84</v>
      </c>
      <c r="T15" s="209" t="n">
        <v>84</v>
      </c>
      <c r="U15" s="194"/>
      <c r="V15" s="194"/>
      <c r="W15" s="194"/>
      <c r="X15" s="194"/>
      <c r="Y15" s="194"/>
    </row>
    <row r="16" customFormat="false" ht="15.75" hidden="false" customHeight="false" outlineLevel="0" collapsed="false">
      <c r="A16" s="197"/>
      <c r="B16" s="227" t="s">
        <v>146</v>
      </c>
      <c r="C16" s="228" t="n">
        <f aca="false">$C$8/$C$9</f>
        <v>3.333333333</v>
      </c>
      <c r="D16" s="197"/>
      <c r="E16" s="206" t="n">
        <v>1</v>
      </c>
      <c r="F16" s="207" t="n">
        <f aca="false">IF(E16&gt;$C$9,0,IF(G2="Year 1",C11,$C$8/$C$9))</f>
        <v>3.333333333</v>
      </c>
      <c r="G16" s="208" t="str">
        <f aca="false">IF(F16&gt;0,"100%","0%")</f>
        <v>100%</v>
      </c>
      <c r="H16" s="197"/>
      <c r="I16" s="210" t="s">
        <v>134</v>
      </c>
      <c r="J16" s="212"/>
      <c r="K16" s="212"/>
      <c r="L16" s="212"/>
      <c r="M16" s="206" t="n">
        <v>124</v>
      </c>
      <c r="N16" s="209" t="n">
        <v>124</v>
      </c>
      <c r="O16" s="210" t="s">
        <v>134</v>
      </c>
      <c r="P16" s="226"/>
      <c r="Q16" s="226"/>
      <c r="R16" s="226"/>
      <c r="S16" s="206" t="n">
        <v>76</v>
      </c>
      <c r="T16" s="209" t="n">
        <v>76</v>
      </c>
      <c r="U16" s="194"/>
      <c r="V16" s="194"/>
      <c r="W16" s="194"/>
      <c r="X16" s="194"/>
      <c r="Y16" s="194"/>
    </row>
    <row r="17" customFormat="false" ht="15.75" hidden="false" customHeight="false" outlineLevel="0" collapsed="false">
      <c r="A17" s="197"/>
      <c r="B17" s="205" t="s">
        <v>147</v>
      </c>
      <c r="C17" s="205"/>
      <c r="D17" s="197"/>
      <c r="E17" s="206" t="n">
        <v>2</v>
      </c>
      <c r="F17" s="207" t="n">
        <f aca="false">IF(E17&gt;$C$9,0,$F$16)</f>
        <v>3.333333333</v>
      </c>
      <c r="G17" s="208" t="str">
        <f aca="false">IF(F17&gt;0,"100%","0%")</f>
        <v>100%</v>
      </c>
      <c r="H17" s="197"/>
      <c r="I17" s="218" t="s">
        <v>137</v>
      </c>
      <c r="J17" s="212"/>
      <c r="K17" s="212"/>
      <c r="L17" s="212"/>
      <c r="M17" s="212"/>
      <c r="N17" s="219" t="n">
        <v>132</v>
      </c>
      <c r="O17" s="218" t="s">
        <v>137</v>
      </c>
      <c r="P17" s="212"/>
      <c r="Q17" s="212"/>
      <c r="R17" s="212"/>
      <c r="S17" s="212"/>
      <c r="T17" s="219" t="n">
        <v>68</v>
      </c>
      <c r="U17" s="194"/>
      <c r="V17" s="194"/>
      <c r="W17" s="194"/>
      <c r="X17" s="194"/>
      <c r="Y17" s="194"/>
    </row>
    <row r="18" customFormat="false" ht="15.75" hidden="false" customHeight="false" outlineLevel="0" collapsed="false">
      <c r="A18" s="197"/>
      <c r="B18" s="210" t="s">
        <v>119</v>
      </c>
      <c r="C18" s="225" t="n">
        <f aca="false">IF(C9=1,C8,IF(C9=2,C8/2.05,IF(C9=3,C8/3.15,IF(C9=4,C8/4.3,IF(C9=5,C8/5.5,0)))))</f>
        <v>3.174603175</v>
      </c>
      <c r="D18" s="197"/>
      <c r="E18" s="206" t="n">
        <v>3</v>
      </c>
      <c r="F18" s="207" t="n">
        <f aca="false">IF(E18&gt;$C$9,0,$F$16)</f>
        <v>3.333333333</v>
      </c>
      <c r="G18" s="208" t="str">
        <f aca="false">IF(F18&gt;0,"100%","0%")</f>
        <v>100%</v>
      </c>
      <c r="H18" s="197"/>
      <c r="I18" s="220" t="s">
        <v>140</v>
      </c>
      <c r="J18" s="221" t="n">
        <f aca="false">SUM(J13:J17)</f>
        <v>100</v>
      </c>
      <c r="K18" s="221" t="n">
        <f aca="false">SUM(K13:K17)</f>
        <v>208</v>
      </c>
      <c r="L18" s="221" t="n">
        <f aca="false">SUM(L13:L17)</f>
        <v>324</v>
      </c>
      <c r="M18" s="221" t="n">
        <f aca="false">SUM(M13:M17)</f>
        <v>448</v>
      </c>
      <c r="N18" s="222" t="n">
        <f aca="false">SUM(N13:N17)</f>
        <v>580</v>
      </c>
      <c r="O18" s="220" t="s">
        <v>140</v>
      </c>
      <c r="P18" s="221" t="n">
        <f aca="false">SUM(P13:P17)</f>
        <v>100</v>
      </c>
      <c r="Q18" s="221" t="n">
        <f aca="false">SUM(Q13:Q17)</f>
        <v>192</v>
      </c>
      <c r="R18" s="221" t="n">
        <f aca="false">SUM(R13:R17)</f>
        <v>276</v>
      </c>
      <c r="S18" s="221" t="n">
        <f aca="false">SUM(S13:S17)</f>
        <v>352</v>
      </c>
      <c r="T18" s="222" t="n">
        <f aca="false">SUM(T13:T17)</f>
        <v>420</v>
      </c>
      <c r="U18" s="194"/>
      <c r="V18" s="194"/>
      <c r="W18" s="194"/>
      <c r="X18" s="194"/>
      <c r="Y18" s="194"/>
    </row>
    <row r="19" customFormat="false" ht="15.75" hidden="false" customHeight="false" outlineLevel="0" collapsed="false">
      <c r="A19" s="197"/>
      <c r="B19" s="210" t="s">
        <v>136</v>
      </c>
      <c r="C19" s="225" t="n">
        <f aca="false">IF(C9=1,C8,IF(C9=2,C8/1.95,IF(C9=3,C8/2.85,IF(C9=4,C8/3.7,IF(C9=5,C8/4.5,0)))))</f>
        <v>3.50877193</v>
      </c>
      <c r="D19" s="197"/>
      <c r="E19" s="206" t="n">
        <v>4</v>
      </c>
      <c r="F19" s="207" t="n">
        <f aca="false">IF(E19&gt;$C$9,0,$F$16)</f>
        <v>0</v>
      </c>
      <c r="G19" s="208" t="str">
        <f aca="false">IF(F19&gt;0,"100%","0%")</f>
        <v>0%</v>
      </c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</row>
    <row r="20" customFormat="false" ht="15.75" hidden="false" customHeight="false" outlineLevel="0" collapsed="false">
      <c r="A20" s="197"/>
      <c r="B20" s="227" t="s">
        <v>146</v>
      </c>
      <c r="C20" s="228" t="n">
        <f aca="false">$C$8/$C$9</f>
        <v>3.333333333</v>
      </c>
      <c r="D20" s="197"/>
      <c r="E20" s="214" t="n">
        <v>5</v>
      </c>
      <c r="F20" s="215" t="n">
        <f aca="false">IF(E20&gt;$C$9,0,$F$16)</f>
        <v>0</v>
      </c>
      <c r="G20" s="216" t="str">
        <f aca="false">IF(F20&gt;0,"100%","0%")</f>
        <v>0%</v>
      </c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</row>
    <row r="21" customFormat="false" ht="15.75" hidden="false" customHeight="false" outlineLevel="0" collapsed="false">
      <c r="A21" s="194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</row>
    <row r="22" customFormat="false" ht="15.75" hidden="false" customHeight="false" outlineLevel="0" collapsed="false">
      <c r="A22" s="194"/>
      <c r="B22" s="194"/>
      <c r="C22" s="229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</row>
    <row r="23" customFormat="false" ht="15.75" hidden="false" customHeight="false" outlineLevel="0" collapsed="false">
      <c r="A23" s="194"/>
      <c r="B23" s="194"/>
      <c r="C23" s="194"/>
      <c r="D23" s="194"/>
      <c r="E23" s="194"/>
      <c r="F23" s="229"/>
      <c r="G23" s="194"/>
      <c r="H23" s="194"/>
      <c r="I23" s="230"/>
      <c r="J23" s="230"/>
      <c r="K23" s="230"/>
      <c r="L23" s="230"/>
      <c r="M23" s="230"/>
      <c r="N23" s="230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</row>
    <row r="24" customFormat="false" ht="15.75" hidden="false" customHeight="false" outlineLevel="0" collapsed="false">
      <c r="A24" s="194"/>
      <c r="B24" s="194"/>
      <c r="C24" s="194"/>
      <c r="D24" s="194"/>
      <c r="E24" s="194"/>
      <c r="F24" s="194"/>
      <c r="G24" s="194"/>
      <c r="H24" s="194"/>
      <c r="I24" s="231"/>
      <c r="J24" s="231"/>
      <c r="K24" s="231"/>
      <c r="L24" s="231"/>
      <c r="M24" s="231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</row>
    <row r="25" customFormat="false" ht="15.75" hidden="false" customHeight="false" outlineLevel="0" collapsed="false">
      <c r="A25" s="194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</row>
    <row r="26" customFormat="false" ht="15.75" hidden="false" customHeight="false" outlineLevel="0" collapsed="false">
      <c r="A26" s="194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</row>
    <row r="27" customFormat="false" ht="15.75" hidden="false" customHeight="false" outlineLevel="0" collapsed="false">
      <c r="A27" s="194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</row>
    <row r="28" customFormat="false" ht="15.75" hidden="false" customHeight="false" outlineLevel="0" collapsed="false">
      <c r="A28" s="194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</row>
    <row r="29" customFormat="false" ht="15.75" hidden="false" customHeight="false" outlineLevel="0" collapsed="false">
      <c r="A29" s="194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</row>
    <row r="30" customFormat="false" ht="15.75" hidden="false" customHeight="false" outlineLevel="0" collapsed="false">
      <c r="A30" s="194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</row>
    <row r="31" customFormat="false" ht="15.75" hidden="false" customHeight="false" outlineLevel="0" collapsed="false">
      <c r="A31" s="194"/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</row>
    <row r="32" customFormat="false" ht="15.75" hidden="false" customHeight="false" outlineLevel="0" collapsed="false">
      <c r="A32" s="194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</row>
    <row r="33" customFormat="false" ht="15.75" hidden="false" customHeight="false" outlineLevel="0" collapsed="false">
      <c r="A33" s="194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</row>
    <row r="34" customFormat="false" ht="15.75" hidden="false" customHeight="false" outlineLevel="0" collapsed="false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</row>
    <row r="35" customFormat="false" ht="15.75" hidden="false" customHeight="false" outlineLevel="0" collapsed="false">
      <c r="A35" s="194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</row>
    <row r="36" customFormat="false" ht="15.75" hidden="false" customHeight="false" outlineLevel="0" collapsed="false">
      <c r="A36" s="194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</row>
    <row r="37" customFormat="false" ht="15.75" hidden="false" customHeight="false" outlineLevel="0" collapsed="false">
      <c r="A37" s="194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</row>
    <row r="38" customFormat="false" ht="15.75" hidden="false" customHeight="false" outlineLevel="0" collapsed="false">
      <c r="A38" s="194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</row>
    <row r="39" customFormat="false" ht="15.75" hidden="false" customHeight="false" outlineLevel="0" collapsed="false">
      <c r="A39" s="194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</row>
    <row r="40" customFormat="false" ht="15.75" hidden="false" customHeight="false" outlineLevel="0" collapsed="false">
      <c r="A40" s="194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</row>
    <row r="41" customFormat="false" ht="15.75" hidden="false" customHeight="false" outlineLevel="0" collapsed="false">
      <c r="A41" s="194"/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</row>
    <row r="42" customFormat="false" ht="15.75" hidden="false" customHeight="false" outlineLevel="0" collapsed="false">
      <c r="A42" s="194"/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</row>
    <row r="43" customFormat="false" ht="15.75" hidden="false" customHeight="false" outlineLevel="0" collapsed="false">
      <c r="A43" s="194"/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</row>
    <row r="44" customFormat="false" ht="15.75" hidden="false" customHeight="false" outlineLevel="0" collapsed="false">
      <c r="A44" s="194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</row>
    <row r="45" customFormat="false" ht="15.75" hidden="false" customHeight="false" outlineLevel="0" collapsed="false">
      <c r="A45" s="194"/>
      <c r="B45" s="194"/>
      <c r="C45" s="232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</row>
    <row r="46" customFormat="false" ht="15.75" hidden="false" customHeight="false" outlineLevel="0" collapsed="false">
      <c r="A46" s="194"/>
      <c r="B46" s="194"/>
      <c r="C46" s="232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</row>
    <row r="47" customFormat="false" ht="15.75" hidden="false" customHeight="false" outlineLevel="0" collapsed="false">
      <c r="A47" s="194"/>
      <c r="B47" s="194"/>
      <c r="C47" s="232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</row>
    <row r="48" customFormat="false" ht="15.75" hidden="false" customHeight="false" outlineLevel="0" collapsed="false">
      <c r="A48" s="194"/>
      <c r="B48" s="194"/>
      <c r="C48" s="232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</row>
    <row r="49" customFormat="false" ht="15.75" hidden="false" customHeight="false" outlineLevel="0" collapsed="false">
      <c r="A49" s="194"/>
      <c r="B49" s="194"/>
      <c r="C49" s="232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</row>
    <row r="50" customFormat="false" ht="15.75" hidden="false" customHeight="false" outlineLevel="0" collapsed="false">
      <c r="A50" s="194"/>
      <c r="B50" s="194"/>
      <c r="C50" s="232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</row>
    <row r="51" customFormat="false" ht="15.75" hidden="false" customHeight="false" outlineLevel="0" collapsed="false">
      <c r="A51" s="194"/>
      <c r="B51" s="194"/>
      <c r="C51" s="232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</row>
    <row r="52" customFormat="false" ht="15.75" hidden="false" customHeight="false" outlineLevel="0" collapsed="false">
      <c r="A52" s="194"/>
      <c r="B52" s="194"/>
      <c r="C52" s="232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</row>
    <row r="53" customFormat="false" ht="15.75" hidden="false" customHeight="false" outlineLevel="0" collapsed="false">
      <c r="A53" s="194"/>
      <c r="B53" s="194"/>
      <c r="C53" s="232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</row>
    <row r="54" customFormat="false" ht="15.75" hidden="false" customHeight="false" outlineLevel="0" collapsed="false">
      <c r="A54" s="194"/>
      <c r="B54" s="194"/>
      <c r="C54" s="232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</row>
    <row r="55" customFormat="false" ht="15.75" hidden="false" customHeight="false" outlineLevel="0" collapsed="false">
      <c r="A55" s="194"/>
      <c r="B55" s="194"/>
      <c r="C55" s="232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</row>
    <row r="56" customFormat="false" ht="15.75" hidden="false" customHeight="false" outlineLevel="0" collapsed="false">
      <c r="A56" s="194"/>
      <c r="B56" s="194"/>
      <c r="C56" s="232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</row>
    <row r="57" customFormat="false" ht="15.75" hidden="false" customHeight="false" outlineLevel="0" collapsed="false">
      <c r="A57" s="194"/>
      <c r="B57" s="194"/>
      <c r="C57" s="232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</row>
    <row r="58" customFormat="false" ht="15.75" hidden="false" customHeight="false" outlineLevel="0" collapsed="false">
      <c r="A58" s="194"/>
      <c r="B58" s="194"/>
      <c r="C58" s="232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</row>
    <row r="59" customFormat="false" ht="15.75" hidden="false" customHeight="false" outlineLevel="0" collapsed="false">
      <c r="A59" s="194"/>
      <c r="B59" s="194"/>
      <c r="C59" s="232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</row>
    <row r="60" customFormat="false" ht="15.75" hidden="false" customHeight="false" outlineLevel="0" collapsed="false">
      <c r="A60" s="194"/>
      <c r="B60" s="194"/>
      <c r="C60" s="232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</row>
    <row r="61" customFormat="false" ht="15.75" hidden="false" customHeight="false" outlineLevel="0" collapsed="false">
      <c r="A61" s="194"/>
      <c r="B61" s="194"/>
      <c r="C61" s="232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</row>
    <row r="62" customFormat="false" ht="15.75" hidden="false" customHeight="false" outlineLevel="0" collapsed="false">
      <c r="A62" s="194"/>
      <c r="B62" s="194"/>
      <c r="C62" s="232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</row>
    <row r="63" customFormat="false" ht="15.75" hidden="false" customHeight="false" outlineLevel="0" collapsed="false">
      <c r="A63" s="194"/>
      <c r="B63" s="194"/>
      <c r="C63" s="232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</row>
    <row r="64" customFormat="false" ht="15.75" hidden="false" customHeight="false" outlineLevel="0" collapsed="false">
      <c r="A64" s="194"/>
      <c r="B64" s="194"/>
      <c r="C64" s="232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</row>
    <row r="65" customFormat="false" ht="15.75" hidden="false" customHeight="false" outlineLevel="0" collapsed="false">
      <c r="A65" s="194"/>
      <c r="B65" s="194"/>
      <c r="C65" s="232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</row>
    <row r="66" customFormat="false" ht="15.75" hidden="false" customHeight="false" outlineLevel="0" collapsed="false">
      <c r="A66" s="194"/>
      <c r="B66" s="194"/>
      <c r="C66" s="232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</row>
    <row r="67" customFormat="false" ht="15.75" hidden="false" customHeight="false" outlineLevel="0" collapsed="false">
      <c r="A67" s="194"/>
      <c r="B67" s="194"/>
      <c r="C67" s="232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</row>
    <row r="68" customFormat="false" ht="15.75" hidden="false" customHeight="false" outlineLevel="0" collapsed="false">
      <c r="A68" s="194"/>
      <c r="B68" s="194"/>
      <c r="C68" s="232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</row>
    <row r="69" customFormat="false" ht="15.75" hidden="false" customHeight="false" outlineLevel="0" collapsed="false">
      <c r="A69" s="194"/>
      <c r="B69" s="194"/>
      <c r="C69" s="232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</row>
    <row r="70" customFormat="false" ht="15.75" hidden="false" customHeight="false" outlineLevel="0" collapsed="false">
      <c r="A70" s="194"/>
      <c r="B70" s="194"/>
      <c r="C70" s="232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</row>
    <row r="71" customFormat="false" ht="15.75" hidden="false" customHeight="false" outlineLevel="0" collapsed="false">
      <c r="A71" s="194"/>
      <c r="B71" s="194"/>
      <c r="C71" s="232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</row>
    <row r="72" customFormat="false" ht="15.75" hidden="false" customHeight="false" outlineLevel="0" collapsed="false">
      <c r="A72" s="194"/>
      <c r="B72" s="194"/>
      <c r="C72" s="232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</row>
    <row r="73" customFormat="false" ht="15.75" hidden="false" customHeight="false" outlineLevel="0" collapsed="false">
      <c r="A73" s="194"/>
      <c r="B73" s="194"/>
      <c r="C73" s="232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</row>
    <row r="74" customFormat="false" ht="15.75" hidden="false" customHeight="false" outlineLevel="0" collapsed="false">
      <c r="A74" s="194"/>
      <c r="B74" s="194"/>
      <c r="C74" s="232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</row>
    <row r="75" customFormat="false" ht="15.75" hidden="false" customHeight="false" outlineLevel="0" collapsed="false">
      <c r="A75" s="194"/>
      <c r="B75" s="194"/>
      <c r="C75" s="232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</row>
    <row r="76" customFormat="false" ht="15.75" hidden="false" customHeight="false" outlineLevel="0" collapsed="false">
      <c r="A76" s="194"/>
      <c r="B76" s="194"/>
      <c r="C76" s="232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</row>
    <row r="77" customFormat="false" ht="15.75" hidden="false" customHeight="false" outlineLevel="0" collapsed="false">
      <c r="A77" s="194"/>
      <c r="B77" s="194"/>
      <c r="C77" s="232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</row>
    <row r="78" customFormat="false" ht="15.75" hidden="false" customHeight="false" outlineLevel="0" collapsed="false">
      <c r="A78" s="194"/>
      <c r="B78" s="194"/>
      <c r="C78" s="232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</row>
    <row r="79" customFormat="false" ht="15.75" hidden="false" customHeight="false" outlineLevel="0" collapsed="false">
      <c r="A79" s="194"/>
      <c r="B79" s="194"/>
      <c r="C79" s="232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</row>
    <row r="80" customFormat="false" ht="15.75" hidden="false" customHeight="false" outlineLevel="0" collapsed="false">
      <c r="A80" s="194"/>
      <c r="B80" s="194"/>
      <c r="C80" s="232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</row>
    <row r="81" customFormat="false" ht="15.75" hidden="false" customHeight="false" outlineLevel="0" collapsed="false">
      <c r="A81" s="194"/>
      <c r="B81" s="194"/>
      <c r="C81" s="232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</row>
    <row r="82" customFormat="false" ht="15.75" hidden="false" customHeight="false" outlineLevel="0" collapsed="false">
      <c r="A82" s="194"/>
      <c r="B82" s="194"/>
      <c r="C82" s="232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</row>
    <row r="83" customFormat="false" ht="15.75" hidden="false" customHeight="false" outlineLevel="0" collapsed="false">
      <c r="A83" s="194"/>
      <c r="B83" s="194"/>
      <c r="C83" s="232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</row>
    <row r="84" customFormat="false" ht="15.75" hidden="false" customHeight="false" outlineLevel="0" collapsed="false">
      <c r="A84" s="194"/>
      <c r="B84" s="194"/>
      <c r="C84" s="232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</row>
    <row r="85" customFormat="false" ht="15.75" hidden="false" customHeight="false" outlineLevel="0" collapsed="false">
      <c r="A85" s="194"/>
      <c r="B85" s="194"/>
      <c r="C85" s="232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</row>
    <row r="86" customFormat="false" ht="15.75" hidden="false" customHeight="false" outlineLevel="0" collapsed="false">
      <c r="A86" s="194"/>
      <c r="B86" s="194"/>
      <c r="C86" s="232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</row>
    <row r="87" customFormat="false" ht="15.75" hidden="false" customHeight="false" outlineLevel="0" collapsed="false">
      <c r="A87" s="194"/>
      <c r="B87" s="194"/>
      <c r="C87" s="232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</row>
    <row r="88" customFormat="false" ht="15.75" hidden="false" customHeight="false" outlineLevel="0" collapsed="false">
      <c r="A88" s="194"/>
      <c r="B88" s="194"/>
      <c r="C88" s="232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</row>
    <row r="89" customFormat="false" ht="15.75" hidden="false" customHeight="false" outlineLevel="0" collapsed="false">
      <c r="A89" s="194"/>
      <c r="B89" s="194"/>
      <c r="C89" s="232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</row>
    <row r="90" customFormat="false" ht="15.75" hidden="false" customHeight="false" outlineLevel="0" collapsed="false">
      <c r="A90" s="194"/>
      <c r="B90" s="194"/>
      <c r="C90" s="232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</row>
    <row r="91" customFormat="false" ht="15.75" hidden="false" customHeight="false" outlineLevel="0" collapsed="false">
      <c r="A91" s="194"/>
      <c r="B91" s="194"/>
      <c r="C91" s="232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</row>
    <row r="92" customFormat="false" ht="15.75" hidden="false" customHeight="false" outlineLevel="0" collapsed="false">
      <c r="A92" s="194"/>
      <c r="B92" s="194"/>
      <c r="C92" s="232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</row>
    <row r="93" customFormat="false" ht="15.75" hidden="false" customHeight="false" outlineLevel="0" collapsed="false">
      <c r="A93" s="194"/>
      <c r="B93" s="194"/>
      <c r="C93" s="232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</row>
    <row r="94" customFormat="false" ht="15.75" hidden="false" customHeight="false" outlineLevel="0" collapsed="false">
      <c r="A94" s="194"/>
      <c r="B94" s="194"/>
      <c r="C94" s="232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</row>
    <row r="95" customFormat="false" ht="15.75" hidden="false" customHeight="false" outlineLevel="0" collapsed="false">
      <c r="A95" s="194"/>
      <c r="B95" s="194"/>
      <c r="C95" s="232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</row>
    <row r="96" customFormat="false" ht="15.75" hidden="false" customHeight="false" outlineLevel="0" collapsed="false">
      <c r="A96" s="194"/>
      <c r="B96" s="194"/>
      <c r="C96" s="232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</row>
    <row r="97" customFormat="false" ht="15.75" hidden="false" customHeight="false" outlineLevel="0" collapsed="false">
      <c r="A97" s="194"/>
      <c r="B97" s="194"/>
      <c r="C97" s="232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</row>
    <row r="98" customFormat="false" ht="15.75" hidden="false" customHeight="false" outlineLevel="0" collapsed="false">
      <c r="A98" s="194"/>
      <c r="B98" s="194"/>
      <c r="C98" s="232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</row>
    <row r="99" customFormat="false" ht="15.75" hidden="false" customHeight="false" outlineLevel="0" collapsed="false">
      <c r="A99" s="194"/>
      <c r="B99" s="194"/>
      <c r="C99" s="232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</row>
    <row r="100" customFormat="false" ht="15.75" hidden="false" customHeight="false" outlineLevel="0" collapsed="false">
      <c r="A100" s="194"/>
      <c r="B100" s="194"/>
      <c r="C100" s="232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</row>
    <row r="101" customFormat="false" ht="15.75" hidden="false" customHeight="false" outlineLevel="0" collapsed="false">
      <c r="A101" s="194"/>
      <c r="B101" s="194"/>
      <c r="C101" s="232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</row>
    <row r="102" customFormat="false" ht="15.75" hidden="false" customHeight="false" outlineLevel="0" collapsed="false">
      <c r="A102" s="194"/>
      <c r="B102" s="194"/>
      <c r="C102" s="232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</row>
    <row r="103" customFormat="false" ht="15.75" hidden="false" customHeight="false" outlineLevel="0" collapsed="false">
      <c r="A103" s="194"/>
      <c r="B103" s="194"/>
      <c r="C103" s="232"/>
      <c r="D103" s="194"/>
      <c r="E103" s="194"/>
      <c r="F103" s="194"/>
      <c r="G103" s="194"/>
      <c r="H103" s="194"/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4"/>
    </row>
    <row r="104" customFormat="false" ht="15.75" hidden="false" customHeight="false" outlineLevel="0" collapsed="false">
      <c r="A104" s="194"/>
      <c r="B104" s="194"/>
      <c r="C104" s="232"/>
      <c r="D104" s="194"/>
      <c r="E104" s="194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</row>
    <row r="105" customFormat="false" ht="15.75" hidden="false" customHeight="false" outlineLevel="0" collapsed="false">
      <c r="A105" s="194"/>
      <c r="B105" s="194"/>
      <c r="C105" s="232"/>
      <c r="D105" s="194"/>
      <c r="E105" s="194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</row>
    <row r="106" customFormat="false" ht="15.75" hidden="false" customHeight="false" outlineLevel="0" collapsed="false">
      <c r="A106" s="194"/>
      <c r="B106" s="194"/>
      <c r="C106" s="232"/>
      <c r="D106" s="194"/>
      <c r="E106" s="194"/>
      <c r="F106" s="194"/>
      <c r="G106" s="194"/>
      <c r="H106" s="194"/>
      <c r="I106" s="194"/>
      <c r="J106" s="194"/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</row>
    <row r="107" customFormat="false" ht="15.75" hidden="false" customHeight="false" outlineLevel="0" collapsed="false">
      <c r="A107" s="194"/>
      <c r="B107" s="194"/>
      <c r="C107" s="232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</row>
    <row r="108" customFormat="false" ht="15.75" hidden="false" customHeight="false" outlineLevel="0" collapsed="false">
      <c r="A108" s="194"/>
      <c r="B108" s="194"/>
      <c r="C108" s="232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</row>
    <row r="109" customFormat="false" ht="15.75" hidden="false" customHeight="false" outlineLevel="0" collapsed="false">
      <c r="A109" s="194"/>
      <c r="B109" s="194"/>
      <c r="C109" s="232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4"/>
    </row>
    <row r="110" customFormat="false" ht="15.75" hidden="false" customHeight="false" outlineLevel="0" collapsed="false">
      <c r="A110" s="194"/>
      <c r="B110" s="194"/>
      <c r="C110" s="232"/>
      <c r="D110" s="194"/>
      <c r="E110" s="194"/>
      <c r="F110" s="194"/>
      <c r="G110" s="194"/>
      <c r="H110" s="194"/>
      <c r="I110" s="194"/>
      <c r="J110" s="194"/>
      <c r="K110" s="194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</row>
    <row r="111" customFormat="false" ht="15.75" hidden="false" customHeight="false" outlineLevel="0" collapsed="false">
      <c r="A111" s="194"/>
      <c r="B111" s="194"/>
      <c r="C111" s="232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</row>
    <row r="112" customFormat="false" ht="15.75" hidden="false" customHeight="false" outlineLevel="0" collapsed="false">
      <c r="A112" s="194"/>
      <c r="B112" s="194"/>
      <c r="C112" s="232"/>
      <c r="D112" s="194"/>
      <c r="E112" s="194"/>
      <c r="F112" s="194"/>
      <c r="G112" s="194"/>
      <c r="H112" s="194"/>
      <c r="I112" s="194"/>
      <c r="J112" s="194"/>
      <c r="K112" s="194"/>
      <c r="L112" s="194"/>
      <c r="M112" s="194"/>
      <c r="N112" s="194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4"/>
    </row>
    <row r="113" customFormat="false" ht="15.75" hidden="false" customHeight="false" outlineLevel="0" collapsed="false">
      <c r="A113" s="194"/>
      <c r="B113" s="194"/>
      <c r="C113" s="232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</row>
    <row r="114" customFormat="false" ht="15.75" hidden="false" customHeight="false" outlineLevel="0" collapsed="false">
      <c r="A114" s="194"/>
      <c r="B114" s="194"/>
      <c r="C114" s="232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</row>
    <row r="115" customFormat="false" ht="15.75" hidden="false" customHeight="false" outlineLevel="0" collapsed="false">
      <c r="A115" s="194"/>
      <c r="B115" s="194"/>
      <c r="C115" s="232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</row>
    <row r="116" customFormat="false" ht="15.75" hidden="false" customHeight="false" outlineLevel="0" collapsed="false">
      <c r="A116" s="194"/>
      <c r="B116" s="194"/>
      <c r="C116" s="232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</row>
    <row r="117" customFormat="false" ht="15.75" hidden="false" customHeight="false" outlineLevel="0" collapsed="false">
      <c r="A117" s="194"/>
      <c r="B117" s="194"/>
      <c r="C117" s="232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</row>
    <row r="118" customFormat="false" ht="15.75" hidden="false" customHeight="false" outlineLevel="0" collapsed="false">
      <c r="A118" s="194"/>
      <c r="B118" s="194"/>
      <c r="C118" s="232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</row>
    <row r="119" customFormat="false" ht="15.75" hidden="false" customHeight="false" outlineLevel="0" collapsed="false">
      <c r="A119" s="194"/>
      <c r="B119" s="194"/>
      <c r="C119" s="232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</row>
    <row r="120" customFormat="false" ht="15.75" hidden="false" customHeight="false" outlineLevel="0" collapsed="false">
      <c r="A120" s="194"/>
      <c r="B120" s="194"/>
      <c r="C120" s="232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</row>
    <row r="121" customFormat="false" ht="15.75" hidden="false" customHeight="false" outlineLevel="0" collapsed="false">
      <c r="A121" s="194"/>
      <c r="B121" s="194"/>
      <c r="C121" s="232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</row>
    <row r="122" customFormat="false" ht="15.75" hidden="false" customHeight="false" outlineLevel="0" collapsed="false">
      <c r="A122" s="194"/>
      <c r="B122" s="194"/>
      <c r="C122" s="232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</row>
    <row r="123" customFormat="false" ht="15.75" hidden="false" customHeight="false" outlineLevel="0" collapsed="false">
      <c r="A123" s="194"/>
      <c r="B123" s="194"/>
      <c r="C123" s="232"/>
      <c r="D123" s="194"/>
      <c r="E123" s="194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</row>
    <row r="124" customFormat="false" ht="15.75" hidden="false" customHeight="false" outlineLevel="0" collapsed="false">
      <c r="A124" s="194"/>
      <c r="B124" s="194"/>
      <c r="C124" s="232"/>
      <c r="D124" s="194"/>
      <c r="E124" s="194"/>
      <c r="F124" s="194"/>
      <c r="G124" s="194"/>
      <c r="H124" s="194"/>
      <c r="I124" s="194"/>
      <c r="J124" s="194"/>
      <c r="K124" s="194"/>
      <c r="L124" s="194"/>
      <c r="M124" s="194"/>
      <c r="N124" s="194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4"/>
    </row>
    <row r="125" customFormat="false" ht="15.75" hidden="false" customHeight="false" outlineLevel="0" collapsed="false">
      <c r="A125" s="194"/>
      <c r="B125" s="194"/>
      <c r="C125" s="232"/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4"/>
    </row>
    <row r="126" customFormat="false" ht="15.75" hidden="false" customHeight="false" outlineLevel="0" collapsed="false">
      <c r="A126" s="194"/>
      <c r="B126" s="194"/>
      <c r="C126" s="232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4"/>
    </row>
    <row r="127" customFormat="false" ht="15.75" hidden="false" customHeight="false" outlineLevel="0" collapsed="false">
      <c r="A127" s="194"/>
      <c r="B127" s="194"/>
      <c r="C127" s="232"/>
      <c r="D127" s="194"/>
      <c r="E127" s="194"/>
      <c r="F127" s="194"/>
      <c r="G127" s="194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</row>
    <row r="128" customFormat="false" ht="15.75" hidden="false" customHeight="false" outlineLevel="0" collapsed="false">
      <c r="A128" s="194"/>
      <c r="B128" s="194"/>
      <c r="C128" s="232"/>
      <c r="D128" s="194"/>
      <c r="E128" s="194"/>
      <c r="F128" s="194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4"/>
    </row>
    <row r="129" customFormat="false" ht="15.75" hidden="false" customHeight="false" outlineLevel="0" collapsed="false">
      <c r="A129" s="194"/>
      <c r="B129" s="194"/>
      <c r="C129" s="232"/>
      <c r="D129" s="194"/>
      <c r="E129" s="194"/>
      <c r="F129" s="194"/>
      <c r="G129" s="194"/>
      <c r="H129" s="194"/>
      <c r="I129" s="194"/>
      <c r="J129" s="194"/>
      <c r="K129" s="194"/>
      <c r="L129" s="194"/>
      <c r="M129" s="194"/>
      <c r="N129" s="194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4"/>
    </row>
    <row r="130" customFormat="false" ht="15.75" hidden="false" customHeight="false" outlineLevel="0" collapsed="false">
      <c r="A130" s="194"/>
      <c r="B130" s="194"/>
      <c r="C130" s="232"/>
      <c r="D130" s="194"/>
      <c r="E130" s="194"/>
      <c r="F130" s="194"/>
      <c r="G130" s="194"/>
      <c r="H130" s="194"/>
      <c r="I130" s="194"/>
      <c r="J130" s="194"/>
      <c r="K130" s="194"/>
      <c r="L130" s="194"/>
      <c r="M130" s="194"/>
      <c r="N130" s="194"/>
      <c r="O130" s="194"/>
      <c r="P130" s="194"/>
      <c r="Q130" s="194"/>
      <c r="R130" s="194"/>
      <c r="S130" s="194"/>
      <c r="T130" s="194"/>
      <c r="U130" s="194"/>
      <c r="V130" s="194"/>
      <c r="W130" s="194"/>
      <c r="X130" s="194"/>
      <c r="Y130" s="194"/>
    </row>
    <row r="131" customFormat="false" ht="15.75" hidden="false" customHeight="false" outlineLevel="0" collapsed="false">
      <c r="A131" s="194"/>
      <c r="B131" s="194"/>
      <c r="C131" s="232"/>
      <c r="D131" s="194"/>
      <c r="E131" s="194"/>
      <c r="F131" s="194"/>
      <c r="G131" s="194"/>
      <c r="H131" s="194"/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</row>
    <row r="132" customFormat="false" ht="15.75" hidden="false" customHeight="false" outlineLevel="0" collapsed="false">
      <c r="A132" s="194"/>
      <c r="B132" s="194"/>
      <c r="C132" s="232"/>
      <c r="D132" s="194"/>
      <c r="E132" s="194"/>
      <c r="F132" s="194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</row>
    <row r="133" customFormat="false" ht="15.75" hidden="false" customHeight="false" outlineLevel="0" collapsed="false">
      <c r="A133" s="194"/>
      <c r="B133" s="194"/>
      <c r="C133" s="232"/>
      <c r="D133" s="194"/>
      <c r="E133" s="194"/>
      <c r="F133" s="194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</row>
    <row r="134" customFormat="false" ht="15.75" hidden="false" customHeight="false" outlineLevel="0" collapsed="false">
      <c r="A134" s="194"/>
      <c r="B134" s="194"/>
      <c r="C134" s="232"/>
      <c r="D134" s="194"/>
      <c r="E134" s="194"/>
      <c r="F134" s="194"/>
      <c r="G134" s="194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</row>
    <row r="135" customFormat="false" ht="15.75" hidden="false" customHeight="false" outlineLevel="0" collapsed="false">
      <c r="A135" s="194"/>
      <c r="B135" s="194"/>
      <c r="C135" s="232"/>
      <c r="D135" s="194"/>
      <c r="E135" s="194"/>
      <c r="F135" s="194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</row>
    <row r="136" customFormat="false" ht="15.75" hidden="false" customHeight="false" outlineLevel="0" collapsed="false">
      <c r="A136" s="194"/>
      <c r="B136" s="194"/>
      <c r="C136" s="232"/>
      <c r="D136" s="194"/>
      <c r="E136" s="194"/>
      <c r="F136" s="194"/>
      <c r="G136" s="194"/>
      <c r="H136" s="194"/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</row>
    <row r="137" customFormat="false" ht="15.75" hidden="false" customHeight="false" outlineLevel="0" collapsed="false">
      <c r="A137" s="194"/>
      <c r="B137" s="194"/>
      <c r="C137" s="232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</row>
    <row r="138" customFormat="false" ht="15.75" hidden="false" customHeight="false" outlineLevel="0" collapsed="false">
      <c r="A138" s="194"/>
      <c r="B138" s="194"/>
      <c r="C138" s="232"/>
      <c r="D138" s="194"/>
      <c r="E138" s="194"/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</row>
    <row r="139" customFormat="false" ht="15.75" hidden="false" customHeight="false" outlineLevel="0" collapsed="false">
      <c r="A139" s="194"/>
      <c r="B139" s="194"/>
      <c r="C139" s="232"/>
      <c r="D139" s="194"/>
      <c r="E139" s="194"/>
      <c r="F139" s="194"/>
      <c r="G139" s="194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</row>
    <row r="140" customFormat="false" ht="15.75" hidden="false" customHeight="false" outlineLevel="0" collapsed="false">
      <c r="A140" s="194"/>
      <c r="B140" s="194"/>
      <c r="C140" s="232"/>
      <c r="D140" s="194"/>
      <c r="E140" s="194"/>
      <c r="F140" s="194"/>
      <c r="G140" s="194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</row>
    <row r="141" customFormat="false" ht="15.75" hidden="false" customHeight="false" outlineLevel="0" collapsed="false">
      <c r="A141" s="194"/>
      <c r="B141" s="194"/>
      <c r="C141" s="232"/>
      <c r="D141" s="194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</row>
    <row r="142" customFormat="false" ht="15.75" hidden="false" customHeight="false" outlineLevel="0" collapsed="false">
      <c r="A142" s="194"/>
      <c r="B142" s="194"/>
      <c r="C142" s="232"/>
      <c r="D142" s="194"/>
      <c r="E142" s="194"/>
      <c r="F142" s="194"/>
      <c r="G142" s="194"/>
      <c r="H142" s="194"/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</row>
    <row r="143" customFormat="false" ht="15.75" hidden="false" customHeight="false" outlineLevel="0" collapsed="false">
      <c r="A143" s="194"/>
      <c r="B143" s="194"/>
      <c r="C143" s="232"/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</row>
    <row r="144" customFormat="false" ht="15.75" hidden="false" customHeight="false" outlineLevel="0" collapsed="false">
      <c r="A144" s="194"/>
      <c r="B144" s="194"/>
      <c r="C144" s="232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</row>
    <row r="145" customFormat="false" ht="15.75" hidden="false" customHeight="false" outlineLevel="0" collapsed="false">
      <c r="A145" s="194"/>
      <c r="B145" s="194"/>
      <c r="C145" s="232"/>
      <c r="D145" s="194"/>
      <c r="E145" s="194"/>
      <c r="F145" s="194"/>
      <c r="G145" s="194"/>
      <c r="H145" s="194"/>
      <c r="I145" s="194"/>
      <c r="J145" s="194"/>
      <c r="K145" s="194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</row>
    <row r="146" customFormat="false" ht="15.75" hidden="false" customHeight="false" outlineLevel="0" collapsed="false">
      <c r="A146" s="194"/>
      <c r="B146" s="194"/>
      <c r="C146" s="232"/>
      <c r="D146" s="194"/>
      <c r="E146" s="194"/>
      <c r="F146" s="194"/>
      <c r="G146" s="194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</row>
    <row r="147" customFormat="false" ht="15.75" hidden="false" customHeight="false" outlineLevel="0" collapsed="false">
      <c r="A147" s="194"/>
      <c r="B147" s="194"/>
      <c r="C147" s="232"/>
      <c r="D147" s="194"/>
      <c r="E147" s="194"/>
      <c r="F147" s="194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</row>
    <row r="148" customFormat="false" ht="15.75" hidden="false" customHeight="false" outlineLevel="0" collapsed="false">
      <c r="A148" s="194"/>
      <c r="B148" s="194"/>
      <c r="C148" s="232"/>
      <c r="D148" s="194"/>
      <c r="E148" s="194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</row>
    <row r="149" customFormat="false" ht="15.75" hidden="false" customHeight="false" outlineLevel="0" collapsed="false">
      <c r="A149" s="194"/>
      <c r="B149" s="194"/>
      <c r="C149" s="232"/>
      <c r="D149" s="194"/>
      <c r="E149" s="194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</row>
    <row r="150" customFormat="false" ht="15.75" hidden="false" customHeight="false" outlineLevel="0" collapsed="false">
      <c r="A150" s="194"/>
      <c r="B150" s="194"/>
      <c r="C150" s="232"/>
      <c r="D150" s="194"/>
      <c r="E150" s="194"/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</row>
    <row r="151" customFormat="false" ht="15.75" hidden="false" customHeight="false" outlineLevel="0" collapsed="false">
      <c r="A151" s="194"/>
      <c r="B151" s="194"/>
      <c r="C151" s="232"/>
      <c r="D151" s="194"/>
      <c r="E151" s="194"/>
      <c r="F151" s="194"/>
      <c r="G151" s="194"/>
      <c r="H151" s="194"/>
      <c r="I151" s="194"/>
      <c r="J151" s="194"/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</row>
    <row r="152" customFormat="false" ht="15.75" hidden="false" customHeight="false" outlineLevel="0" collapsed="false">
      <c r="A152" s="194"/>
      <c r="B152" s="194"/>
      <c r="C152" s="232"/>
      <c r="D152" s="194"/>
      <c r="E152" s="194"/>
      <c r="F152" s="194"/>
      <c r="G152" s="194"/>
      <c r="H152" s="194"/>
      <c r="I152" s="194"/>
      <c r="J152" s="194"/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</row>
    <row r="153" customFormat="false" ht="15.75" hidden="false" customHeight="false" outlineLevel="0" collapsed="false">
      <c r="A153" s="194"/>
      <c r="B153" s="194"/>
      <c r="C153" s="232"/>
      <c r="D153" s="194"/>
      <c r="E153" s="194"/>
      <c r="F153" s="194"/>
      <c r="G153" s="194"/>
      <c r="H153" s="194"/>
      <c r="I153" s="194"/>
      <c r="J153" s="194"/>
      <c r="K153" s="194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</row>
    <row r="154" customFormat="false" ht="15.75" hidden="false" customHeight="false" outlineLevel="0" collapsed="false">
      <c r="A154" s="194"/>
      <c r="B154" s="194"/>
      <c r="C154" s="232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</row>
    <row r="155" customFormat="false" ht="15.75" hidden="false" customHeight="false" outlineLevel="0" collapsed="false">
      <c r="A155" s="194"/>
      <c r="B155" s="194"/>
      <c r="C155" s="232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</row>
    <row r="156" customFormat="false" ht="15.75" hidden="false" customHeight="false" outlineLevel="0" collapsed="false">
      <c r="A156" s="194"/>
      <c r="B156" s="194"/>
      <c r="C156" s="232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</row>
    <row r="157" customFormat="false" ht="15.75" hidden="false" customHeight="false" outlineLevel="0" collapsed="false">
      <c r="A157" s="194"/>
      <c r="B157" s="194"/>
      <c r="C157" s="232"/>
      <c r="D157" s="194"/>
      <c r="E157" s="194"/>
      <c r="F157" s="194"/>
      <c r="G157" s="194"/>
      <c r="H157" s="194"/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</row>
    <row r="158" customFormat="false" ht="15.75" hidden="false" customHeight="false" outlineLevel="0" collapsed="false">
      <c r="A158" s="194"/>
      <c r="B158" s="194"/>
      <c r="C158" s="232"/>
      <c r="D158" s="194"/>
      <c r="E158" s="194"/>
      <c r="F158" s="194"/>
      <c r="G158" s="194"/>
      <c r="H158" s="194"/>
      <c r="I158" s="194"/>
      <c r="J158" s="194"/>
      <c r="K158" s="194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</row>
    <row r="159" customFormat="false" ht="15.75" hidden="false" customHeight="false" outlineLevel="0" collapsed="false">
      <c r="A159" s="194"/>
      <c r="B159" s="194"/>
      <c r="C159" s="232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</row>
    <row r="160" customFormat="false" ht="15.75" hidden="false" customHeight="false" outlineLevel="0" collapsed="false">
      <c r="A160" s="194"/>
      <c r="B160" s="194"/>
      <c r="C160" s="232"/>
      <c r="D160" s="194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</row>
    <row r="161" customFormat="false" ht="15.75" hidden="false" customHeight="false" outlineLevel="0" collapsed="false">
      <c r="A161" s="194"/>
      <c r="B161" s="194"/>
      <c r="C161" s="232"/>
      <c r="D161" s="194"/>
      <c r="E161" s="194"/>
      <c r="F161" s="194"/>
      <c r="G161" s="194"/>
      <c r="H161" s="194"/>
      <c r="I161" s="194"/>
      <c r="J161" s="194"/>
      <c r="K161" s="194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</row>
    <row r="162" customFormat="false" ht="15.75" hidden="false" customHeight="false" outlineLevel="0" collapsed="false">
      <c r="A162" s="194"/>
      <c r="B162" s="194"/>
      <c r="C162" s="232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</row>
    <row r="163" customFormat="false" ht="15.75" hidden="false" customHeight="false" outlineLevel="0" collapsed="false">
      <c r="A163" s="194"/>
      <c r="B163" s="194"/>
      <c r="C163" s="232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</row>
    <row r="164" customFormat="false" ht="15.75" hidden="false" customHeight="false" outlineLevel="0" collapsed="false">
      <c r="A164" s="194"/>
      <c r="B164" s="194"/>
      <c r="C164" s="232"/>
      <c r="D164" s="194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</row>
    <row r="165" customFormat="false" ht="15.75" hidden="false" customHeight="false" outlineLevel="0" collapsed="false">
      <c r="A165" s="194"/>
      <c r="B165" s="194"/>
      <c r="C165" s="232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</row>
    <row r="166" customFormat="false" ht="15.75" hidden="false" customHeight="false" outlineLevel="0" collapsed="false">
      <c r="A166" s="194"/>
      <c r="B166" s="194"/>
      <c r="C166" s="232"/>
      <c r="D166" s="194"/>
      <c r="E166" s="194"/>
      <c r="F166" s="194"/>
      <c r="G166" s="194"/>
      <c r="H166" s="194"/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</row>
    <row r="167" customFormat="false" ht="15.75" hidden="false" customHeight="false" outlineLevel="0" collapsed="false">
      <c r="A167" s="194"/>
      <c r="B167" s="194"/>
      <c r="C167" s="232"/>
      <c r="D167" s="194"/>
      <c r="E167" s="194"/>
      <c r="F167" s="194"/>
      <c r="G167" s="194"/>
      <c r="H167" s="194"/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</row>
    <row r="168" customFormat="false" ht="15.75" hidden="false" customHeight="false" outlineLevel="0" collapsed="false">
      <c r="A168" s="194"/>
      <c r="B168" s="194"/>
      <c r="C168" s="232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</row>
    <row r="169" customFormat="false" ht="15.75" hidden="false" customHeight="false" outlineLevel="0" collapsed="false">
      <c r="A169" s="194"/>
      <c r="B169" s="194"/>
      <c r="C169" s="232"/>
      <c r="D169" s="194"/>
      <c r="E169" s="194"/>
      <c r="F169" s="194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</row>
    <row r="170" customFormat="false" ht="15.75" hidden="false" customHeight="false" outlineLevel="0" collapsed="false">
      <c r="A170" s="194"/>
      <c r="B170" s="194"/>
      <c r="C170" s="232"/>
      <c r="D170" s="194"/>
      <c r="E170" s="194"/>
      <c r="F170" s="194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</row>
    <row r="171" customFormat="false" ht="15.75" hidden="false" customHeight="false" outlineLevel="0" collapsed="false">
      <c r="A171" s="194"/>
      <c r="B171" s="194"/>
      <c r="C171" s="232"/>
      <c r="D171" s="194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</row>
    <row r="172" customFormat="false" ht="15.75" hidden="false" customHeight="false" outlineLevel="0" collapsed="false">
      <c r="A172" s="194"/>
      <c r="B172" s="194"/>
      <c r="C172" s="232"/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</row>
    <row r="173" customFormat="false" ht="15.75" hidden="false" customHeight="false" outlineLevel="0" collapsed="false">
      <c r="A173" s="194"/>
      <c r="B173" s="194"/>
      <c r="C173" s="232"/>
      <c r="D173" s="194"/>
      <c r="E173" s="194"/>
      <c r="F173" s="194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</row>
    <row r="174" customFormat="false" ht="15.75" hidden="false" customHeight="false" outlineLevel="0" collapsed="false">
      <c r="A174" s="194"/>
      <c r="B174" s="194"/>
      <c r="C174" s="232"/>
      <c r="D174" s="194"/>
      <c r="E174" s="194"/>
      <c r="F174" s="194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</row>
    <row r="175" customFormat="false" ht="15.75" hidden="false" customHeight="false" outlineLevel="0" collapsed="false">
      <c r="A175" s="194"/>
      <c r="B175" s="194"/>
      <c r="C175" s="232"/>
      <c r="D175" s="194"/>
      <c r="E175" s="194"/>
      <c r="F175" s="194"/>
      <c r="G175" s="194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</row>
    <row r="176" customFormat="false" ht="15.75" hidden="false" customHeight="false" outlineLevel="0" collapsed="false">
      <c r="A176" s="194"/>
      <c r="B176" s="194"/>
      <c r="C176" s="232"/>
      <c r="D176" s="194"/>
      <c r="E176" s="194"/>
      <c r="F176" s="194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</row>
    <row r="177" customFormat="false" ht="15.75" hidden="false" customHeight="false" outlineLevel="0" collapsed="false">
      <c r="A177" s="194"/>
      <c r="B177" s="194"/>
      <c r="C177" s="232"/>
      <c r="D177" s="194"/>
      <c r="E177" s="194"/>
      <c r="F177" s="194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</row>
    <row r="178" customFormat="false" ht="15.75" hidden="false" customHeight="false" outlineLevel="0" collapsed="false">
      <c r="A178" s="194"/>
      <c r="B178" s="194"/>
      <c r="C178" s="232"/>
      <c r="D178" s="194"/>
      <c r="E178" s="194"/>
      <c r="F178" s="194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</row>
    <row r="179" customFormat="false" ht="15.75" hidden="false" customHeight="false" outlineLevel="0" collapsed="false">
      <c r="A179" s="194"/>
      <c r="B179" s="194"/>
      <c r="C179" s="232"/>
      <c r="D179" s="194"/>
      <c r="E179" s="194"/>
      <c r="F179" s="194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</row>
    <row r="180" customFormat="false" ht="15.75" hidden="false" customHeight="false" outlineLevel="0" collapsed="false">
      <c r="A180" s="194"/>
      <c r="B180" s="194"/>
      <c r="C180" s="232"/>
      <c r="D180" s="194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</row>
    <row r="181" customFormat="false" ht="15.75" hidden="false" customHeight="false" outlineLevel="0" collapsed="false">
      <c r="A181" s="194"/>
      <c r="B181" s="194"/>
      <c r="C181" s="232"/>
      <c r="D181" s="194"/>
      <c r="E181" s="194"/>
      <c r="F181" s="194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</row>
    <row r="182" customFormat="false" ht="15.75" hidden="false" customHeight="false" outlineLevel="0" collapsed="false">
      <c r="A182" s="194"/>
      <c r="B182" s="194"/>
      <c r="C182" s="232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</row>
    <row r="183" customFormat="false" ht="15.75" hidden="false" customHeight="false" outlineLevel="0" collapsed="false">
      <c r="A183" s="194"/>
      <c r="B183" s="194"/>
      <c r="C183" s="232"/>
      <c r="D183" s="194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</row>
    <row r="184" customFormat="false" ht="15.75" hidden="false" customHeight="false" outlineLevel="0" collapsed="false">
      <c r="A184" s="194"/>
      <c r="B184" s="194"/>
      <c r="C184" s="232"/>
      <c r="D184" s="194"/>
      <c r="E184" s="194"/>
      <c r="F184" s="194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</row>
    <row r="185" customFormat="false" ht="15.75" hidden="false" customHeight="false" outlineLevel="0" collapsed="false">
      <c r="A185" s="194"/>
      <c r="B185" s="194"/>
      <c r="C185" s="232"/>
      <c r="D185" s="194"/>
      <c r="E185" s="194"/>
      <c r="F185" s="194"/>
      <c r="G185" s="194"/>
      <c r="H185" s="194"/>
      <c r="I185" s="194"/>
      <c r="J185" s="194"/>
      <c r="K185" s="194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</row>
    <row r="186" customFormat="false" ht="15.75" hidden="false" customHeight="false" outlineLevel="0" collapsed="false">
      <c r="A186" s="194"/>
      <c r="B186" s="194"/>
      <c r="C186" s="232"/>
      <c r="D186" s="194"/>
      <c r="E186" s="194"/>
      <c r="F186" s="194"/>
      <c r="G186" s="194"/>
      <c r="H186" s="194"/>
      <c r="I186" s="194"/>
      <c r="J186" s="194"/>
      <c r="K186" s="194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</row>
    <row r="187" customFormat="false" ht="15.75" hidden="false" customHeight="false" outlineLevel="0" collapsed="false">
      <c r="A187" s="194"/>
      <c r="B187" s="194"/>
      <c r="C187" s="232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</row>
    <row r="188" customFormat="false" ht="15.75" hidden="false" customHeight="false" outlineLevel="0" collapsed="false">
      <c r="A188" s="194"/>
      <c r="B188" s="194"/>
      <c r="C188" s="232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</row>
    <row r="189" customFormat="false" ht="15.75" hidden="false" customHeight="false" outlineLevel="0" collapsed="false">
      <c r="A189" s="194"/>
      <c r="B189" s="194"/>
      <c r="C189" s="232"/>
      <c r="D189" s="194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</row>
    <row r="190" customFormat="false" ht="15.75" hidden="false" customHeight="false" outlineLevel="0" collapsed="false">
      <c r="A190" s="194"/>
      <c r="B190" s="194"/>
      <c r="C190" s="232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</row>
    <row r="191" customFormat="false" ht="15.75" hidden="false" customHeight="false" outlineLevel="0" collapsed="false">
      <c r="A191" s="194"/>
      <c r="B191" s="194"/>
      <c r="C191" s="232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</row>
    <row r="192" customFormat="false" ht="15.75" hidden="false" customHeight="false" outlineLevel="0" collapsed="false">
      <c r="A192" s="194"/>
      <c r="B192" s="194"/>
      <c r="C192" s="232"/>
      <c r="D192" s="194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</row>
    <row r="193" customFormat="false" ht="15.75" hidden="false" customHeight="false" outlineLevel="0" collapsed="false">
      <c r="A193" s="194"/>
      <c r="B193" s="194"/>
      <c r="C193" s="232"/>
      <c r="D193" s="194"/>
      <c r="E193" s="194"/>
      <c r="F193" s="194"/>
      <c r="G193" s="194"/>
      <c r="H193" s="194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</row>
    <row r="194" customFormat="false" ht="15.75" hidden="false" customHeight="false" outlineLevel="0" collapsed="false">
      <c r="A194" s="194"/>
      <c r="B194" s="194"/>
      <c r="C194" s="232"/>
      <c r="D194" s="194"/>
      <c r="E194" s="194"/>
      <c r="F194" s="194"/>
      <c r="G194" s="194"/>
      <c r="H194" s="194"/>
      <c r="I194" s="194"/>
      <c r="J194" s="194"/>
      <c r="K194" s="194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</row>
    <row r="195" customFormat="false" ht="15.75" hidden="false" customHeight="false" outlineLevel="0" collapsed="false">
      <c r="A195" s="194"/>
      <c r="B195" s="194"/>
      <c r="C195" s="232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</row>
    <row r="196" customFormat="false" ht="15.75" hidden="false" customHeight="false" outlineLevel="0" collapsed="false">
      <c r="A196" s="194"/>
      <c r="B196" s="194"/>
      <c r="C196" s="232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</row>
    <row r="197" customFormat="false" ht="15.75" hidden="false" customHeight="false" outlineLevel="0" collapsed="false">
      <c r="A197" s="194"/>
      <c r="B197" s="194"/>
      <c r="C197" s="232"/>
      <c r="D197" s="194"/>
      <c r="E197" s="194"/>
      <c r="F197" s="194"/>
      <c r="G197" s="194"/>
      <c r="H197" s="194"/>
      <c r="I197" s="194"/>
      <c r="J197" s="194"/>
      <c r="K197" s="194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</row>
    <row r="198" customFormat="false" ht="15.75" hidden="false" customHeight="false" outlineLevel="0" collapsed="false">
      <c r="A198" s="194"/>
      <c r="B198" s="194"/>
      <c r="C198" s="232"/>
      <c r="D198" s="194"/>
      <c r="E198" s="194"/>
      <c r="F198" s="194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</row>
    <row r="199" customFormat="false" ht="15.75" hidden="false" customHeight="false" outlineLevel="0" collapsed="false">
      <c r="A199" s="194"/>
      <c r="B199" s="194"/>
      <c r="C199" s="232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</row>
    <row r="200" customFormat="false" ht="15.75" hidden="false" customHeight="false" outlineLevel="0" collapsed="false">
      <c r="A200" s="194"/>
      <c r="B200" s="194"/>
      <c r="C200" s="232"/>
      <c r="D200" s="194"/>
      <c r="E200" s="194"/>
      <c r="F200" s="194"/>
      <c r="G200" s="194"/>
      <c r="H200" s="194"/>
      <c r="I200" s="194"/>
      <c r="J200" s="194"/>
      <c r="K200" s="194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</row>
    <row r="201" customFormat="false" ht="15.75" hidden="false" customHeight="false" outlineLevel="0" collapsed="false">
      <c r="A201" s="194"/>
      <c r="B201" s="194"/>
      <c r="C201" s="232"/>
      <c r="D201" s="194"/>
      <c r="E201" s="194"/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</row>
    <row r="202" customFormat="false" ht="15.75" hidden="false" customHeight="false" outlineLevel="0" collapsed="false">
      <c r="A202" s="194"/>
      <c r="B202" s="194"/>
      <c r="C202" s="232"/>
      <c r="D202" s="194"/>
      <c r="E202" s="194"/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</row>
    <row r="203" customFormat="false" ht="15.75" hidden="false" customHeight="false" outlineLevel="0" collapsed="false">
      <c r="A203" s="194"/>
      <c r="B203" s="194"/>
      <c r="C203" s="232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</row>
    <row r="204" customFormat="false" ht="15.75" hidden="false" customHeight="false" outlineLevel="0" collapsed="false">
      <c r="A204" s="194"/>
      <c r="B204" s="194"/>
      <c r="C204" s="232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</row>
    <row r="205" customFormat="false" ht="15.75" hidden="false" customHeight="false" outlineLevel="0" collapsed="false">
      <c r="A205" s="194"/>
      <c r="B205" s="194"/>
      <c r="C205" s="232"/>
      <c r="D205" s="194"/>
      <c r="E205" s="194"/>
      <c r="F205" s="194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</row>
    <row r="206" customFormat="false" ht="15.75" hidden="false" customHeight="false" outlineLevel="0" collapsed="false">
      <c r="A206" s="194"/>
      <c r="B206" s="194"/>
      <c r="C206" s="232"/>
      <c r="D206" s="194"/>
      <c r="E206" s="194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</row>
    <row r="207" customFormat="false" ht="15.75" hidden="false" customHeight="false" outlineLevel="0" collapsed="false">
      <c r="A207" s="194"/>
      <c r="B207" s="194"/>
      <c r="C207" s="232"/>
      <c r="D207" s="194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</row>
    <row r="208" customFormat="false" ht="15.75" hidden="false" customHeight="false" outlineLevel="0" collapsed="false">
      <c r="A208" s="194"/>
      <c r="B208" s="194"/>
      <c r="C208" s="232"/>
      <c r="D208" s="194"/>
      <c r="E208" s="194"/>
      <c r="F208" s="194"/>
      <c r="G208" s="194"/>
      <c r="H208" s="194"/>
      <c r="I208" s="194"/>
      <c r="J208" s="194"/>
      <c r="K208" s="194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</row>
    <row r="209" customFormat="false" ht="15.75" hidden="false" customHeight="false" outlineLevel="0" collapsed="false">
      <c r="A209" s="194"/>
      <c r="B209" s="194"/>
      <c r="C209" s="232"/>
      <c r="D209" s="194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</row>
    <row r="210" customFormat="false" ht="15.75" hidden="false" customHeight="false" outlineLevel="0" collapsed="false">
      <c r="A210" s="194"/>
      <c r="B210" s="194"/>
      <c r="C210" s="232"/>
      <c r="D210" s="194"/>
      <c r="E210" s="194"/>
      <c r="F210" s="194"/>
      <c r="G210" s="194"/>
      <c r="H210" s="194"/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</row>
    <row r="211" customFormat="false" ht="15.75" hidden="false" customHeight="false" outlineLevel="0" collapsed="false">
      <c r="A211" s="194"/>
      <c r="B211" s="194"/>
      <c r="C211" s="232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</row>
    <row r="212" customFormat="false" ht="15.75" hidden="false" customHeight="false" outlineLevel="0" collapsed="false">
      <c r="A212" s="194"/>
      <c r="B212" s="194"/>
      <c r="C212" s="232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</row>
    <row r="213" customFormat="false" ht="15.75" hidden="false" customHeight="false" outlineLevel="0" collapsed="false">
      <c r="A213" s="194"/>
      <c r="B213" s="194"/>
      <c r="C213" s="232"/>
      <c r="D213" s="194"/>
      <c r="E213" s="194"/>
      <c r="F213" s="194"/>
      <c r="G213" s="194"/>
      <c r="H213" s="194"/>
      <c r="I213" s="194"/>
      <c r="J213" s="194"/>
      <c r="K213" s="194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</row>
    <row r="214" customFormat="false" ht="15.75" hidden="false" customHeight="false" outlineLevel="0" collapsed="false">
      <c r="A214" s="194"/>
      <c r="B214" s="194"/>
      <c r="C214" s="232"/>
      <c r="D214" s="194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</row>
    <row r="215" customFormat="false" ht="15.75" hidden="false" customHeight="false" outlineLevel="0" collapsed="false">
      <c r="A215" s="194"/>
      <c r="B215" s="194"/>
      <c r="C215" s="232"/>
      <c r="D215" s="194"/>
      <c r="E215" s="194"/>
      <c r="F215" s="194"/>
      <c r="G215" s="194"/>
      <c r="H215" s="194"/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</row>
    <row r="216" customFormat="false" ht="15.75" hidden="false" customHeight="false" outlineLevel="0" collapsed="false">
      <c r="A216" s="194"/>
      <c r="B216" s="194"/>
      <c r="C216" s="232"/>
      <c r="D216" s="194"/>
      <c r="E216" s="194"/>
      <c r="F216" s="194"/>
      <c r="G216" s="194"/>
      <c r="H216" s="194"/>
      <c r="I216" s="194"/>
      <c r="J216" s="194"/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</row>
    <row r="217" customFormat="false" ht="15.75" hidden="false" customHeight="false" outlineLevel="0" collapsed="false">
      <c r="A217" s="194"/>
      <c r="B217" s="194"/>
      <c r="C217" s="232"/>
      <c r="D217" s="194"/>
      <c r="E217" s="194"/>
      <c r="F217" s="194"/>
      <c r="G217" s="194"/>
      <c r="H217" s="194"/>
      <c r="I217" s="194"/>
      <c r="J217" s="194"/>
      <c r="K217" s="194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</row>
    <row r="218" customFormat="false" ht="15.75" hidden="false" customHeight="false" outlineLevel="0" collapsed="false">
      <c r="A218" s="194"/>
      <c r="B218" s="194"/>
      <c r="C218" s="232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</row>
    <row r="219" customFormat="false" ht="15.75" hidden="false" customHeight="false" outlineLevel="0" collapsed="false">
      <c r="A219" s="194"/>
      <c r="B219" s="194"/>
      <c r="C219" s="232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</row>
    <row r="220" customFormat="false" ht="15.75" hidden="false" customHeight="false" outlineLevel="0" collapsed="false">
      <c r="A220" s="194"/>
      <c r="B220" s="194"/>
      <c r="C220" s="232"/>
      <c r="D220" s="194"/>
      <c r="E220" s="194"/>
      <c r="F220" s="194"/>
      <c r="G220" s="194"/>
      <c r="H220" s="194"/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</row>
    <row r="221" customFormat="false" ht="15.75" hidden="false" customHeight="false" outlineLevel="0" collapsed="false">
      <c r="A221" s="194"/>
      <c r="B221" s="194"/>
      <c r="C221" s="232"/>
      <c r="D221" s="194"/>
      <c r="E221" s="194"/>
      <c r="F221" s="194"/>
      <c r="G221" s="194"/>
      <c r="H221" s="194"/>
      <c r="I221" s="194"/>
      <c r="J221" s="194"/>
      <c r="K221" s="194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</row>
    <row r="222" customFormat="false" ht="15.75" hidden="false" customHeight="false" outlineLevel="0" collapsed="false">
      <c r="A222" s="194"/>
      <c r="B222" s="194"/>
      <c r="C222" s="232"/>
      <c r="D222" s="194"/>
      <c r="E222" s="194"/>
      <c r="F222" s="194"/>
      <c r="G222" s="194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</row>
    <row r="223" customFormat="false" ht="15.75" hidden="false" customHeight="false" outlineLevel="0" collapsed="false">
      <c r="A223" s="194"/>
      <c r="B223" s="194"/>
      <c r="C223" s="232"/>
      <c r="D223" s="194"/>
      <c r="E223" s="194"/>
      <c r="F223" s="194"/>
      <c r="G223" s="194"/>
      <c r="H223" s="194"/>
      <c r="I223" s="194"/>
      <c r="J223" s="194"/>
      <c r="K223" s="194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</row>
    <row r="224" customFormat="false" ht="15.75" hidden="false" customHeight="false" outlineLevel="0" collapsed="false">
      <c r="A224" s="194"/>
      <c r="B224" s="194"/>
      <c r="C224" s="232"/>
      <c r="D224" s="194"/>
      <c r="E224" s="194"/>
      <c r="F224" s="194"/>
      <c r="G224" s="194"/>
      <c r="H224" s="194"/>
      <c r="I224" s="194"/>
      <c r="J224" s="194"/>
      <c r="K224" s="194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</row>
    <row r="225" customFormat="false" ht="15.75" hidden="false" customHeight="false" outlineLevel="0" collapsed="false">
      <c r="A225" s="194"/>
      <c r="B225" s="194"/>
      <c r="C225" s="232"/>
      <c r="D225" s="194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</row>
    <row r="226" customFormat="false" ht="15.75" hidden="false" customHeight="false" outlineLevel="0" collapsed="false">
      <c r="A226" s="194"/>
      <c r="B226" s="194"/>
      <c r="C226" s="232"/>
      <c r="D226" s="194"/>
      <c r="E226" s="194"/>
      <c r="F226" s="194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</row>
    <row r="227" customFormat="false" ht="15.75" hidden="false" customHeight="false" outlineLevel="0" collapsed="false">
      <c r="A227" s="194"/>
      <c r="B227" s="194"/>
      <c r="C227" s="232"/>
      <c r="D227" s="194"/>
      <c r="E227" s="194"/>
      <c r="F227" s="194"/>
      <c r="G227" s="194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</row>
    <row r="228" customFormat="false" ht="15.75" hidden="false" customHeight="false" outlineLevel="0" collapsed="false">
      <c r="A228" s="194"/>
      <c r="B228" s="194"/>
      <c r="C228" s="232"/>
      <c r="D228" s="194"/>
      <c r="E228" s="194"/>
      <c r="F228" s="194"/>
      <c r="G228" s="194"/>
      <c r="H228" s="194"/>
      <c r="I228" s="194"/>
      <c r="J228" s="194"/>
      <c r="K228" s="194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</row>
    <row r="229" customFormat="false" ht="15.75" hidden="false" customHeight="false" outlineLevel="0" collapsed="false">
      <c r="A229" s="194"/>
      <c r="B229" s="194"/>
      <c r="C229" s="232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</row>
    <row r="230" customFormat="false" ht="15.75" hidden="false" customHeight="false" outlineLevel="0" collapsed="false">
      <c r="A230" s="194"/>
      <c r="B230" s="194"/>
      <c r="C230" s="232"/>
      <c r="D230" s="194"/>
      <c r="E230" s="194"/>
      <c r="F230" s="194"/>
      <c r="G230" s="194"/>
      <c r="H230" s="194"/>
      <c r="I230" s="194"/>
      <c r="J230" s="194"/>
      <c r="K230" s="194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</row>
    <row r="231" customFormat="false" ht="15.75" hidden="false" customHeight="false" outlineLevel="0" collapsed="false">
      <c r="A231" s="194"/>
      <c r="B231" s="194"/>
      <c r="C231" s="232"/>
      <c r="D231" s="194"/>
      <c r="E231" s="194"/>
      <c r="F231" s="194"/>
      <c r="G231" s="194"/>
      <c r="H231" s="194"/>
      <c r="I231" s="194"/>
      <c r="J231" s="194"/>
      <c r="K231" s="194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</row>
    <row r="232" customFormat="false" ht="15.75" hidden="false" customHeight="false" outlineLevel="0" collapsed="false">
      <c r="A232" s="194"/>
      <c r="B232" s="194"/>
      <c r="C232" s="232"/>
      <c r="D232" s="194"/>
      <c r="E232" s="194"/>
      <c r="F232" s="194"/>
      <c r="G232" s="194"/>
      <c r="H232" s="194"/>
      <c r="I232" s="194"/>
      <c r="J232" s="194"/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</row>
    <row r="233" customFormat="false" ht="15.75" hidden="false" customHeight="false" outlineLevel="0" collapsed="false">
      <c r="A233" s="194"/>
      <c r="B233" s="194"/>
      <c r="C233" s="232"/>
      <c r="D233" s="194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</row>
    <row r="234" customFormat="false" ht="15.75" hidden="false" customHeight="false" outlineLevel="0" collapsed="false">
      <c r="A234" s="194"/>
      <c r="B234" s="194"/>
      <c r="C234" s="232"/>
      <c r="D234" s="194"/>
      <c r="E234" s="194"/>
      <c r="F234" s="194"/>
      <c r="G234" s="194"/>
      <c r="H234" s="194"/>
      <c r="I234" s="194"/>
      <c r="J234" s="194"/>
      <c r="K234" s="194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</row>
    <row r="235" customFormat="false" ht="15.75" hidden="false" customHeight="false" outlineLevel="0" collapsed="false">
      <c r="A235" s="194"/>
      <c r="B235" s="194"/>
      <c r="C235" s="232"/>
      <c r="D235" s="194"/>
      <c r="E235" s="194"/>
      <c r="F235" s="194"/>
      <c r="G235" s="194"/>
      <c r="H235" s="194"/>
      <c r="I235" s="194"/>
      <c r="J235" s="194"/>
      <c r="K235" s="194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</row>
    <row r="236" customFormat="false" ht="15.75" hidden="false" customHeight="false" outlineLevel="0" collapsed="false">
      <c r="A236" s="194"/>
      <c r="B236" s="194"/>
      <c r="C236" s="232"/>
      <c r="D236" s="194"/>
      <c r="E236" s="194"/>
      <c r="F236" s="194"/>
      <c r="G236" s="194"/>
      <c r="H236" s="194"/>
      <c r="I236" s="194"/>
      <c r="J236" s="194"/>
      <c r="K236" s="194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</row>
    <row r="237" customFormat="false" ht="15.75" hidden="false" customHeight="false" outlineLevel="0" collapsed="false">
      <c r="A237" s="194"/>
      <c r="B237" s="194"/>
      <c r="C237" s="232"/>
      <c r="D237" s="194"/>
      <c r="E237" s="194"/>
      <c r="F237" s="194"/>
      <c r="G237" s="194"/>
      <c r="H237" s="194"/>
      <c r="I237" s="194"/>
      <c r="J237" s="194"/>
      <c r="K237" s="194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</row>
    <row r="238" customFormat="false" ht="15.75" hidden="false" customHeight="false" outlineLevel="0" collapsed="false">
      <c r="A238" s="194"/>
      <c r="B238" s="194"/>
      <c r="C238" s="232"/>
      <c r="D238" s="194"/>
      <c r="E238" s="194"/>
      <c r="F238" s="194"/>
      <c r="G238" s="194"/>
      <c r="H238" s="194"/>
      <c r="I238" s="194"/>
      <c r="J238" s="194"/>
      <c r="K238" s="194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</row>
    <row r="239" customFormat="false" ht="15.75" hidden="false" customHeight="false" outlineLevel="0" collapsed="false">
      <c r="A239" s="194"/>
      <c r="B239" s="194"/>
      <c r="C239" s="232"/>
      <c r="D239" s="194"/>
      <c r="E239" s="194"/>
      <c r="F239" s="194"/>
      <c r="G239" s="194"/>
      <c r="H239" s="194"/>
      <c r="I239" s="194"/>
      <c r="J239" s="194"/>
      <c r="K239" s="194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</row>
    <row r="240" customFormat="false" ht="15.75" hidden="false" customHeight="false" outlineLevel="0" collapsed="false">
      <c r="A240" s="194"/>
      <c r="B240" s="194"/>
      <c r="C240" s="232"/>
      <c r="D240" s="194"/>
      <c r="E240" s="194"/>
      <c r="F240" s="194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</row>
    <row r="241" customFormat="false" ht="15.75" hidden="false" customHeight="false" outlineLevel="0" collapsed="false">
      <c r="A241" s="194"/>
      <c r="B241" s="194"/>
      <c r="C241" s="232"/>
      <c r="D241" s="194"/>
      <c r="E241" s="194"/>
      <c r="F241" s="194"/>
      <c r="G241" s="194"/>
      <c r="H241" s="194"/>
      <c r="I241" s="194"/>
      <c r="J241" s="194"/>
      <c r="K241" s="194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</row>
    <row r="242" customFormat="false" ht="15.75" hidden="false" customHeight="false" outlineLevel="0" collapsed="false">
      <c r="A242" s="194"/>
      <c r="B242" s="194"/>
      <c r="C242" s="232"/>
      <c r="D242" s="194"/>
      <c r="E242" s="194"/>
      <c r="F242" s="194"/>
      <c r="G242" s="194"/>
      <c r="H242" s="194"/>
      <c r="I242" s="194"/>
      <c r="J242" s="194"/>
      <c r="K242" s="194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</row>
    <row r="243" customFormat="false" ht="15.75" hidden="false" customHeight="false" outlineLevel="0" collapsed="false">
      <c r="A243" s="194"/>
      <c r="B243" s="194"/>
      <c r="C243" s="232"/>
      <c r="D243" s="194"/>
      <c r="E243" s="194"/>
      <c r="F243" s="194"/>
      <c r="G243" s="194"/>
      <c r="H243" s="194"/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</row>
    <row r="244" customFormat="false" ht="15.75" hidden="false" customHeight="false" outlineLevel="0" collapsed="false">
      <c r="A244" s="194"/>
      <c r="B244" s="194"/>
      <c r="C244" s="232"/>
      <c r="D244" s="194"/>
      <c r="E244" s="194"/>
      <c r="F244" s="194"/>
      <c r="G244" s="194"/>
      <c r="H244" s="194"/>
      <c r="I244" s="194"/>
      <c r="J244" s="194"/>
      <c r="K244" s="194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</row>
    <row r="245" customFormat="false" ht="15.75" hidden="false" customHeight="false" outlineLevel="0" collapsed="false">
      <c r="A245" s="194"/>
      <c r="B245" s="194"/>
      <c r="C245" s="232"/>
      <c r="D245" s="194"/>
      <c r="E245" s="194"/>
      <c r="F245" s="194"/>
      <c r="G245" s="194"/>
      <c r="H245" s="194"/>
      <c r="I245" s="194"/>
      <c r="J245" s="194"/>
      <c r="K245" s="194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</row>
    <row r="246" customFormat="false" ht="15.75" hidden="false" customHeight="false" outlineLevel="0" collapsed="false">
      <c r="A246" s="194"/>
      <c r="B246" s="194"/>
      <c r="C246" s="232"/>
      <c r="D246" s="194"/>
      <c r="E246" s="194"/>
      <c r="F246" s="194"/>
      <c r="G246" s="194"/>
      <c r="H246" s="194"/>
      <c r="I246" s="194"/>
      <c r="J246" s="194"/>
      <c r="K246" s="194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</row>
    <row r="247" customFormat="false" ht="15.75" hidden="false" customHeight="false" outlineLevel="0" collapsed="false">
      <c r="A247" s="194"/>
      <c r="B247" s="194"/>
      <c r="C247" s="232"/>
      <c r="D247" s="194"/>
      <c r="E247" s="194"/>
      <c r="F247" s="194"/>
      <c r="G247" s="194"/>
      <c r="H247" s="194"/>
      <c r="I247" s="194"/>
      <c r="J247" s="194"/>
      <c r="K247" s="194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</row>
    <row r="248" customFormat="false" ht="15.75" hidden="false" customHeight="false" outlineLevel="0" collapsed="false">
      <c r="A248" s="194"/>
      <c r="B248" s="194"/>
      <c r="C248" s="232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</row>
    <row r="249" customFormat="false" ht="15.75" hidden="false" customHeight="false" outlineLevel="0" collapsed="false">
      <c r="A249" s="194"/>
      <c r="B249" s="194"/>
      <c r="C249" s="232"/>
      <c r="D249" s="194"/>
      <c r="E249" s="194"/>
      <c r="F249" s="194"/>
      <c r="G249" s="194"/>
      <c r="H249" s="194"/>
      <c r="I249" s="194"/>
      <c r="J249" s="194"/>
      <c r="K249" s="194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</row>
    <row r="250" customFormat="false" ht="15.75" hidden="false" customHeight="false" outlineLevel="0" collapsed="false">
      <c r="A250" s="194"/>
      <c r="B250" s="194"/>
      <c r="C250" s="232"/>
      <c r="D250" s="194"/>
      <c r="E250" s="194"/>
      <c r="F250" s="194"/>
      <c r="G250" s="194"/>
      <c r="H250" s="194"/>
      <c r="I250" s="194"/>
      <c r="J250" s="194"/>
      <c r="K250" s="194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</row>
    <row r="251" customFormat="false" ht="15.75" hidden="false" customHeight="false" outlineLevel="0" collapsed="false">
      <c r="A251" s="194"/>
      <c r="B251" s="194"/>
      <c r="C251" s="232"/>
      <c r="D251" s="194"/>
      <c r="E251" s="194"/>
      <c r="F251" s="194"/>
      <c r="G251" s="194"/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</row>
    <row r="252" customFormat="false" ht="15.75" hidden="false" customHeight="false" outlineLevel="0" collapsed="false">
      <c r="A252" s="194"/>
      <c r="B252" s="194"/>
      <c r="C252" s="232"/>
      <c r="D252" s="194"/>
      <c r="E252" s="194"/>
      <c r="F252" s="194"/>
      <c r="G252" s="194"/>
      <c r="H252" s="194"/>
      <c r="I252" s="194"/>
      <c r="J252" s="194"/>
      <c r="K252" s="194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</row>
    <row r="253" customFormat="false" ht="15.75" hidden="false" customHeight="false" outlineLevel="0" collapsed="false">
      <c r="A253" s="194"/>
      <c r="B253" s="194"/>
      <c r="C253" s="232"/>
      <c r="D253" s="194"/>
      <c r="E253" s="194"/>
      <c r="F253" s="194"/>
      <c r="G253" s="194"/>
      <c r="H253" s="194"/>
      <c r="I253" s="194"/>
      <c r="J253" s="194"/>
      <c r="K253" s="194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</row>
    <row r="254" customFormat="false" ht="15.75" hidden="false" customHeight="false" outlineLevel="0" collapsed="false">
      <c r="A254" s="194"/>
      <c r="B254" s="194"/>
      <c r="C254" s="232"/>
      <c r="D254" s="194"/>
      <c r="E254" s="194"/>
      <c r="F254" s="194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</row>
    <row r="255" customFormat="false" ht="15.75" hidden="false" customHeight="false" outlineLevel="0" collapsed="false">
      <c r="A255" s="194"/>
      <c r="B255" s="194"/>
      <c r="C255" s="232"/>
      <c r="D255" s="194"/>
      <c r="E255" s="194"/>
      <c r="F255" s="194"/>
      <c r="G255" s="194"/>
      <c r="H255" s="194"/>
      <c r="I255" s="194"/>
      <c r="J255" s="194"/>
      <c r="K255" s="194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</row>
    <row r="256" customFormat="false" ht="15.75" hidden="false" customHeight="false" outlineLevel="0" collapsed="false">
      <c r="A256" s="194"/>
      <c r="B256" s="194"/>
      <c r="C256" s="232"/>
      <c r="D256" s="194"/>
      <c r="E256" s="194"/>
      <c r="F256" s="194"/>
      <c r="G256" s="194"/>
      <c r="H256" s="194"/>
      <c r="I256" s="194"/>
      <c r="J256" s="194"/>
      <c r="K256" s="194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</row>
    <row r="257" customFormat="false" ht="15.75" hidden="false" customHeight="false" outlineLevel="0" collapsed="false">
      <c r="A257" s="194"/>
      <c r="B257" s="194"/>
      <c r="C257" s="232"/>
      <c r="D257" s="194"/>
      <c r="E257" s="194"/>
      <c r="F257" s="194"/>
      <c r="G257" s="194"/>
      <c r="H257" s="194"/>
      <c r="I257" s="194"/>
      <c r="J257" s="194"/>
      <c r="K257" s="194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</row>
    <row r="258" customFormat="false" ht="15.75" hidden="false" customHeight="false" outlineLevel="0" collapsed="false">
      <c r="A258" s="194"/>
      <c r="B258" s="194"/>
      <c r="C258" s="232"/>
      <c r="D258" s="194"/>
      <c r="E258" s="194"/>
      <c r="F258" s="194"/>
      <c r="G258" s="194"/>
      <c r="H258" s="194"/>
      <c r="I258" s="194"/>
      <c r="J258" s="194"/>
      <c r="K258" s="194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</row>
    <row r="259" customFormat="false" ht="15.75" hidden="false" customHeight="false" outlineLevel="0" collapsed="false">
      <c r="A259" s="194"/>
      <c r="B259" s="194"/>
      <c r="C259" s="232"/>
      <c r="D259" s="194"/>
      <c r="E259" s="194"/>
      <c r="F259" s="194"/>
      <c r="G259" s="194"/>
      <c r="H259" s="194"/>
      <c r="I259" s="194"/>
      <c r="J259" s="194"/>
      <c r="K259" s="194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</row>
    <row r="260" customFormat="false" ht="15.75" hidden="false" customHeight="false" outlineLevel="0" collapsed="false">
      <c r="A260" s="194"/>
      <c r="B260" s="194"/>
      <c r="C260" s="232"/>
      <c r="D260" s="194"/>
      <c r="E260" s="194"/>
      <c r="F260" s="194"/>
      <c r="G260" s="194"/>
      <c r="H260" s="194"/>
      <c r="I260" s="194"/>
      <c r="J260" s="194"/>
      <c r="K260" s="194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</row>
    <row r="261" customFormat="false" ht="15.75" hidden="false" customHeight="false" outlineLevel="0" collapsed="false">
      <c r="A261" s="194"/>
      <c r="B261" s="194"/>
      <c r="C261" s="232"/>
      <c r="D261" s="194"/>
      <c r="E261" s="194"/>
      <c r="F261" s="194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</row>
    <row r="262" customFormat="false" ht="15.75" hidden="false" customHeight="false" outlineLevel="0" collapsed="false">
      <c r="A262" s="194"/>
      <c r="B262" s="194"/>
      <c r="C262" s="232"/>
      <c r="D262" s="194"/>
      <c r="E262" s="194"/>
      <c r="F262" s="194"/>
      <c r="G262" s="194"/>
      <c r="H262" s="194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</row>
    <row r="263" customFormat="false" ht="15.75" hidden="false" customHeight="false" outlineLevel="0" collapsed="false">
      <c r="A263" s="194"/>
      <c r="B263" s="194"/>
      <c r="C263" s="232"/>
      <c r="D263" s="194"/>
      <c r="E263" s="194"/>
      <c r="F263" s="194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</row>
    <row r="264" customFormat="false" ht="15.75" hidden="false" customHeight="false" outlineLevel="0" collapsed="false">
      <c r="A264" s="194"/>
      <c r="B264" s="194"/>
      <c r="C264" s="232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</row>
    <row r="265" customFormat="false" ht="15.75" hidden="false" customHeight="false" outlineLevel="0" collapsed="false">
      <c r="A265" s="194"/>
      <c r="B265" s="194"/>
      <c r="C265" s="232"/>
      <c r="D265" s="194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</row>
    <row r="266" customFormat="false" ht="15.75" hidden="false" customHeight="false" outlineLevel="0" collapsed="false">
      <c r="A266" s="194"/>
      <c r="B266" s="194"/>
      <c r="C266" s="232"/>
      <c r="D266" s="194"/>
      <c r="E266" s="194"/>
      <c r="F266" s="194"/>
      <c r="G266" s="194"/>
      <c r="H266" s="194"/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</row>
    <row r="267" customFormat="false" ht="15.75" hidden="false" customHeight="false" outlineLevel="0" collapsed="false">
      <c r="A267" s="194"/>
      <c r="B267" s="194"/>
      <c r="C267" s="232"/>
      <c r="D267" s="194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</row>
    <row r="268" customFormat="false" ht="15.75" hidden="false" customHeight="false" outlineLevel="0" collapsed="false">
      <c r="A268" s="194"/>
      <c r="B268" s="194"/>
      <c r="C268" s="232"/>
      <c r="D268" s="194"/>
      <c r="E268" s="194"/>
      <c r="F268" s="194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</row>
    <row r="269" customFormat="false" ht="15.75" hidden="false" customHeight="false" outlineLevel="0" collapsed="false">
      <c r="A269" s="194"/>
      <c r="B269" s="194"/>
      <c r="C269" s="232"/>
      <c r="D269" s="194"/>
      <c r="E269" s="194"/>
      <c r="F269" s="194"/>
      <c r="G269" s="194"/>
      <c r="H269" s="194"/>
      <c r="I269" s="194"/>
      <c r="J269" s="194"/>
      <c r="K269" s="194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</row>
    <row r="270" customFormat="false" ht="15.75" hidden="false" customHeight="false" outlineLevel="0" collapsed="false">
      <c r="A270" s="194"/>
      <c r="B270" s="194"/>
      <c r="C270" s="232"/>
      <c r="D270" s="194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</row>
    <row r="271" customFormat="false" ht="15.75" hidden="false" customHeight="false" outlineLevel="0" collapsed="false">
      <c r="A271" s="194"/>
      <c r="B271" s="194"/>
      <c r="C271" s="232"/>
      <c r="D271" s="194"/>
      <c r="E271" s="194"/>
      <c r="F271" s="194"/>
      <c r="G271" s="194"/>
      <c r="H271" s="194"/>
      <c r="I271" s="194"/>
      <c r="J271" s="194"/>
      <c r="K271" s="194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</row>
    <row r="272" customFormat="false" ht="15.75" hidden="false" customHeight="false" outlineLevel="0" collapsed="false">
      <c r="A272" s="194"/>
      <c r="B272" s="194"/>
      <c r="C272" s="232"/>
      <c r="D272" s="194"/>
      <c r="E272" s="194"/>
      <c r="F272" s="194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</row>
    <row r="273" customFormat="false" ht="15.75" hidden="false" customHeight="false" outlineLevel="0" collapsed="false">
      <c r="A273" s="194"/>
      <c r="B273" s="194"/>
      <c r="C273" s="232"/>
      <c r="D273" s="194"/>
      <c r="E273" s="194"/>
      <c r="F273" s="194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</row>
    <row r="274" customFormat="false" ht="15.75" hidden="false" customHeight="false" outlineLevel="0" collapsed="false">
      <c r="A274" s="194"/>
      <c r="B274" s="194"/>
      <c r="C274" s="232"/>
      <c r="D274" s="194"/>
      <c r="E274" s="194"/>
      <c r="F274" s="194"/>
      <c r="G274" s="194"/>
      <c r="H274" s="194"/>
      <c r="I274" s="194"/>
      <c r="J274" s="194"/>
      <c r="K274" s="194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</row>
    <row r="275" customFormat="false" ht="15.75" hidden="false" customHeight="false" outlineLevel="0" collapsed="false">
      <c r="A275" s="194"/>
      <c r="B275" s="194"/>
      <c r="C275" s="232"/>
      <c r="D275" s="194"/>
      <c r="E275" s="194"/>
      <c r="F275" s="194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</row>
    <row r="276" customFormat="false" ht="15.75" hidden="false" customHeight="false" outlineLevel="0" collapsed="false">
      <c r="A276" s="194"/>
      <c r="B276" s="194"/>
      <c r="C276" s="232"/>
      <c r="D276" s="194"/>
      <c r="E276" s="194"/>
      <c r="F276" s="194"/>
      <c r="G276" s="194"/>
      <c r="H276" s="194"/>
      <c r="I276" s="194"/>
      <c r="J276" s="194"/>
      <c r="K276" s="194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</row>
    <row r="277" customFormat="false" ht="15.75" hidden="false" customHeight="false" outlineLevel="0" collapsed="false">
      <c r="A277" s="194"/>
      <c r="B277" s="194"/>
      <c r="C277" s="232"/>
      <c r="D277" s="194"/>
      <c r="E277" s="194"/>
      <c r="F277" s="194"/>
      <c r="G277" s="194"/>
      <c r="H277" s="194"/>
      <c r="I277" s="194"/>
      <c r="J277" s="194"/>
      <c r="K277" s="194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</row>
    <row r="278" customFormat="false" ht="15.75" hidden="false" customHeight="false" outlineLevel="0" collapsed="false">
      <c r="A278" s="194"/>
      <c r="B278" s="194"/>
      <c r="C278" s="232"/>
      <c r="D278" s="194"/>
      <c r="E278" s="194"/>
      <c r="F278" s="194"/>
      <c r="G278" s="194"/>
      <c r="H278" s="194"/>
      <c r="I278" s="194"/>
      <c r="J278" s="194"/>
      <c r="K278" s="194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</row>
    <row r="279" customFormat="false" ht="15.75" hidden="false" customHeight="false" outlineLevel="0" collapsed="false">
      <c r="A279" s="194"/>
      <c r="B279" s="194"/>
      <c r="C279" s="232"/>
      <c r="D279" s="194"/>
      <c r="E279" s="194"/>
      <c r="F279" s="194"/>
      <c r="G279" s="194"/>
      <c r="H279" s="194"/>
      <c r="I279" s="194"/>
      <c r="J279" s="194"/>
      <c r="K279" s="194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</row>
    <row r="280" customFormat="false" ht="15.75" hidden="false" customHeight="false" outlineLevel="0" collapsed="false">
      <c r="A280" s="194"/>
      <c r="B280" s="194"/>
      <c r="C280" s="232"/>
      <c r="D280" s="194"/>
      <c r="E280" s="194"/>
      <c r="F280" s="194"/>
      <c r="G280" s="194"/>
      <c r="H280" s="194"/>
      <c r="I280" s="194"/>
      <c r="J280" s="194"/>
      <c r="K280" s="194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</row>
    <row r="281" customFormat="false" ht="15.75" hidden="false" customHeight="false" outlineLevel="0" collapsed="false">
      <c r="A281" s="194"/>
      <c r="B281" s="194"/>
      <c r="C281" s="232"/>
      <c r="D281" s="194"/>
      <c r="E281" s="194"/>
      <c r="F281" s="194"/>
      <c r="G281" s="194"/>
      <c r="H281" s="194"/>
      <c r="I281" s="194"/>
      <c r="J281" s="194"/>
      <c r="K281" s="194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</row>
    <row r="282" customFormat="false" ht="15.75" hidden="false" customHeight="false" outlineLevel="0" collapsed="false">
      <c r="A282" s="194"/>
      <c r="B282" s="194"/>
      <c r="C282" s="232"/>
      <c r="D282" s="194"/>
      <c r="E282" s="194"/>
      <c r="F282" s="194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</row>
    <row r="283" customFormat="false" ht="15.75" hidden="false" customHeight="false" outlineLevel="0" collapsed="false">
      <c r="A283" s="194"/>
      <c r="B283" s="194"/>
      <c r="C283" s="232"/>
      <c r="D283" s="194"/>
      <c r="E283" s="194"/>
      <c r="F283" s="194"/>
      <c r="G283" s="194"/>
      <c r="H283" s="194"/>
      <c r="I283" s="194"/>
      <c r="J283" s="194"/>
      <c r="K283" s="194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</row>
    <row r="284" customFormat="false" ht="15.75" hidden="false" customHeight="false" outlineLevel="0" collapsed="false">
      <c r="A284" s="194"/>
      <c r="B284" s="194"/>
      <c r="C284" s="232"/>
      <c r="D284" s="194"/>
      <c r="E284" s="194"/>
      <c r="F284" s="194"/>
      <c r="G284" s="194"/>
      <c r="H284" s="194"/>
      <c r="I284" s="194"/>
      <c r="J284" s="194"/>
      <c r="K284" s="194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</row>
    <row r="285" customFormat="false" ht="15.75" hidden="false" customHeight="false" outlineLevel="0" collapsed="false">
      <c r="A285" s="194"/>
      <c r="B285" s="194"/>
      <c r="C285" s="232"/>
      <c r="D285" s="194"/>
      <c r="E285" s="194"/>
      <c r="F285" s="194"/>
      <c r="G285" s="194"/>
      <c r="H285" s="194"/>
      <c r="I285" s="194"/>
      <c r="J285" s="194"/>
      <c r="K285" s="194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</row>
    <row r="286" customFormat="false" ht="15.75" hidden="false" customHeight="false" outlineLevel="0" collapsed="false">
      <c r="A286" s="194"/>
      <c r="B286" s="194"/>
      <c r="C286" s="232"/>
      <c r="D286" s="194"/>
      <c r="E286" s="194"/>
      <c r="F286" s="194"/>
      <c r="G286" s="194"/>
      <c r="H286" s="194"/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</row>
    <row r="287" customFormat="false" ht="15.75" hidden="false" customHeight="false" outlineLevel="0" collapsed="false">
      <c r="A287" s="194"/>
      <c r="B287" s="194"/>
      <c r="C287" s="232"/>
      <c r="D287" s="194"/>
      <c r="E287" s="194"/>
      <c r="F287" s="194"/>
      <c r="G287" s="194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</row>
    <row r="288" customFormat="false" ht="15.75" hidden="false" customHeight="false" outlineLevel="0" collapsed="false">
      <c r="A288" s="194"/>
      <c r="B288" s="194"/>
      <c r="C288" s="232"/>
      <c r="D288" s="194"/>
      <c r="E288" s="194"/>
      <c r="F288" s="194"/>
      <c r="G288" s="194"/>
      <c r="H288" s="194"/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</row>
    <row r="289" customFormat="false" ht="15.75" hidden="false" customHeight="false" outlineLevel="0" collapsed="false">
      <c r="A289" s="194"/>
      <c r="B289" s="194"/>
      <c r="C289" s="232"/>
      <c r="D289" s="194"/>
      <c r="E289" s="194"/>
      <c r="F289" s="194"/>
      <c r="G289" s="194"/>
      <c r="H289" s="194"/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</row>
    <row r="290" customFormat="false" ht="15.75" hidden="false" customHeight="false" outlineLevel="0" collapsed="false">
      <c r="A290" s="194"/>
      <c r="B290" s="194"/>
      <c r="C290" s="232"/>
      <c r="D290" s="194"/>
      <c r="E290" s="194"/>
      <c r="F290" s="194"/>
      <c r="G290" s="194"/>
      <c r="H290" s="194"/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</row>
    <row r="291" customFormat="false" ht="15.75" hidden="false" customHeight="false" outlineLevel="0" collapsed="false">
      <c r="A291" s="194"/>
      <c r="B291" s="194"/>
      <c r="C291" s="232"/>
      <c r="D291" s="194"/>
      <c r="E291" s="194"/>
      <c r="F291" s="194"/>
      <c r="G291" s="194"/>
      <c r="H291" s="194"/>
      <c r="I291" s="194"/>
      <c r="J291" s="194"/>
      <c r="K291" s="194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</row>
    <row r="292" customFormat="false" ht="15.75" hidden="false" customHeight="false" outlineLevel="0" collapsed="false">
      <c r="A292" s="194"/>
      <c r="B292" s="194"/>
      <c r="C292" s="232"/>
      <c r="D292" s="194"/>
      <c r="E292" s="194"/>
      <c r="F292" s="194"/>
      <c r="G292" s="194"/>
      <c r="H292" s="194"/>
      <c r="I292" s="194"/>
      <c r="J292" s="194"/>
      <c r="K292" s="194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</row>
    <row r="293" customFormat="false" ht="15.75" hidden="false" customHeight="false" outlineLevel="0" collapsed="false">
      <c r="A293" s="194"/>
      <c r="B293" s="194"/>
      <c r="C293" s="232"/>
      <c r="D293" s="194"/>
      <c r="E293" s="194"/>
      <c r="F293" s="194"/>
      <c r="G293" s="194"/>
      <c r="H293" s="194"/>
      <c r="I293" s="194"/>
      <c r="J293" s="194"/>
      <c r="K293" s="194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</row>
    <row r="294" customFormat="false" ht="15.75" hidden="false" customHeight="false" outlineLevel="0" collapsed="false">
      <c r="A294" s="194"/>
      <c r="B294" s="194"/>
      <c r="C294" s="232"/>
      <c r="D294" s="194"/>
      <c r="E294" s="194"/>
      <c r="F294" s="194"/>
      <c r="G294" s="194"/>
      <c r="H294" s="194"/>
      <c r="I294" s="194"/>
      <c r="J294" s="194"/>
      <c r="K294" s="194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</row>
    <row r="295" customFormat="false" ht="15.75" hidden="false" customHeight="false" outlineLevel="0" collapsed="false">
      <c r="A295" s="194"/>
      <c r="B295" s="194"/>
      <c r="C295" s="232"/>
      <c r="D295" s="194"/>
      <c r="E295" s="194"/>
      <c r="F295" s="194"/>
      <c r="G295" s="194"/>
      <c r="H295" s="194"/>
      <c r="I295" s="194"/>
      <c r="J295" s="194"/>
      <c r="K295" s="194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</row>
    <row r="296" customFormat="false" ht="15.75" hidden="false" customHeight="false" outlineLevel="0" collapsed="false">
      <c r="A296" s="194"/>
      <c r="B296" s="194"/>
      <c r="C296" s="232"/>
      <c r="D296" s="194"/>
      <c r="E296" s="194"/>
      <c r="F296" s="194"/>
      <c r="G296" s="194"/>
      <c r="H296" s="194"/>
      <c r="I296" s="194"/>
      <c r="J296" s="194"/>
      <c r="K296" s="194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</row>
    <row r="297" customFormat="false" ht="15.75" hidden="false" customHeight="false" outlineLevel="0" collapsed="false">
      <c r="A297" s="194"/>
      <c r="B297" s="194"/>
      <c r="C297" s="232"/>
      <c r="D297" s="194"/>
      <c r="E297" s="194"/>
      <c r="F297" s="194"/>
      <c r="G297" s="194"/>
      <c r="H297" s="194"/>
      <c r="I297" s="194"/>
      <c r="J297" s="194"/>
      <c r="K297" s="194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</row>
    <row r="298" customFormat="false" ht="15.75" hidden="false" customHeight="false" outlineLevel="0" collapsed="false">
      <c r="A298" s="194"/>
      <c r="B298" s="194"/>
      <c r="C298" s="232"/>
      <c r="D298" s="194"/>
      <c r="E298" s="194"/>
      <c r="F298" s="194"/>
      <c r="G298" s="194"/>
      <c r="H298" s="194"/>
      <c r="I298" s="194"/>
      <c r="J298" s="194"/>
      <c r="K298" s="194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</row>
    <row r="299" customFormat="false" ht="15.75" hidden="false" customHeight="false" outlineLevel="0" collapsed="false">
      <c r="A299" s="194"/>
      <c r="B299" s="194"/>
      <c r="C299" s="232"/>
      <c r="D299" s="194"/>
      <c r="E299" s="194"/>
      <c r="F299" s="194"/>
      <c r="G299" s="194"/>
      <c r="H299" s="194"/>
      <c r="I299" s="194"/>
      <c r="J299" s="194"/>
      <c r="K299" s="194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</row>
    <row r="300" customFormat="false" ht="15.75" hidden="false" customHeight="false" outlineLevel="0" collapsed="false">
      <c r="A300" s="194"/>
      <c r="B300" s="194"/>
      <c r="C300" s="232"/>
      <c r="D300" s="194"/>
      <c r="E300" s="194"/>
      <c r="F300" s="194"/>
      <c r="G300" s="194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</row>
    <row r="301" customFormat="false" ht="15.75" hidden="false" customHeight="false" outlineLevel="0" collapsed="false">
      <c r="A301" s="194"/>
      <c r="B301" s="194"/>
      <c r="C301" s="232"/>
      <c r="D301" s="194"/>
      <c r="E301" s="194"/>
      <c r="F301" s="194"/>
      <c r="G301" s="194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</row>
    <row r="302" customFormat="false" ht="15.75" hidden="false" customHeight="false" outlineLevel="0" collapsed="false">
      <c r="A302" s="194"/>
      <c r="B302" s="194"/>
      <c r="C302" s="232"/>
      <c r="D302" s="194"/>
      <c r="E302" s="194"/>
      <c r="F302" s="194"/>
      <c r="G302" s="194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</row>
    <row r="303" customFormat="false" ht="15.75" hidden="false" customHeight="false" outlineLevel="0" collapsed="false">
      <c r="A303" s="194"/>
      <c r="B303" s="194"/>
      <c r="C303" s="232"/>
      <c r="D303" s="194"/>
      <c r="E303" s="194"/>
      <c r="F303" s="194"/>
      <c r="G303" s="194"/>
      <c r="H303" s="194"/>
      <c r="I303" s="194"/>
      <c r="J303" s="194"/>
      <c r="K303" s="194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</row>
    <row r="304" customFormat="false" ht="15.75" hidden="false" customHeight="false" outlineLevel="0" collapsed="false">
      <c r="A304" s="194"/>
      <c r="B304" s="194"/>
      <c r="C304" s="232"/>
      <c r="D304" s="194"/>
      <c r="E304" s="194"/>
      <c r="F304" s="194"/>
      <c r="G304" s="194"/>
      <c r="H304" s="194"/>
      <c r="I304" s="194"/>
      <c r="J304" s="194"/>
      <c r="K304" s="194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</row>
    <row r="305" customFormat="false" ht="15.75" hidden="false" customHeight="false" outlineLevel="0" collapsed="false">
      <c r="A305" s="194"/>
      <c r="B305" s="194"/>
      <c r="C305" s="232"/>
      <c r="D305" s="194"/>
      <c r="E305" s="194"/>
      <c r="F305" s="194"/>
      <c r="G305" s="194"/>
      <c r="H305" s="194"/>
      <c r="I305" s="194"/>
      <c r="J305" s="194"/>
      <c r="K305" s="194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</row>
    <row r="306" customFormat="false" ht="15.75" hidden="false" customHeight="false" outlineLevel="0" collapsed="false">
      <c r="A306" s="194"/>
      <c r="B306" s="194"/>
      <c r="C306" s="232"/>
      <c r="D306" s="194"/>
      <c r="E306" s="194"/>
      <c r="F306" s="194"/>
      <c r="G306" s="194"/>
      <c r="H306" s="194"/>
      <c r="I306" s="194"/>
      <c r="J306" s="194"/>
      <c r="K306" s="194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</row>
    <row r="307" customFormat="false" ht="15.75" hidden="false" customHeight="false" outlineLevel="0" collapsed="false">
      <c r="A307" s="194"/>
      <c r="B307" s="194"/>
      <c r="C307" s="232"/>
      <c r="D307" s="194"/>
      <c r="E307" s="194"/>
      <c r="F307" s="194"/>
      <c r="G307" s="194"/>
      <c r="H307" s="194"/>
      <c r="I307" s="194"/>
      <c r="J307" s="194"/>
      <c r="K307" s="194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</row>
    <row r="308" customFormat="false" ht="15.75" hidden="false" customHeight="false" outlineLevel="0" collapsed="false">
      <c r="A308" s="194"/>
      <c r="B308" s="194"/>
      <c r="C308" s="232"/>
      <c r="D308" s="194"/>
      <c r="E308" s="194"/>
      <c r="F308" s="194"/>
      <c r="G308" s="194"/>
      <c r="H308" s="194"/>
      <c r="I308" s="194"/>
      <c r="J308" s="194"/>
      <c r="K308" s="194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</row>
    <row r="309" customFormat="false" ht="15.75" hidden="false" customHeight="false" outlineLevel="0" collapsed="false">
      <c r="A309" s="194"/>
      <c r="B309" s="194"/>
      <c r="C309" s="232"/>
      <c r="D309" s="194"/>
      <c r="E309" s="194"/>
      <c r="F309" s="194"/>
      <c r="G309" s="194"/>
      <c r="H309" s="194"/>
      <c r="I309" s="194"/>
      <c r="J309" s="194"/>
      <c r="K309" s="194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</row>
    <row r="310" customFormat="false" ht="15.75" hidden="false" customHeight="false" outlineLevel="0" collapsed="false">
      <c r="A310" s="194"/>
      <c r="B310" s="194"/>
      <c r="C310" s="232"/>
      <c r="D310" s="194"/>
      <c r="E310" s="194"/>
      <c r="F310" s="194"/>
      <c r="G310" s="194"/>
      <c r="H310" s="194"/>
      <c r="I310" s="194"/>
      <c r="J310" s="194"/>
      <c r="K310" s="194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</row>
    <row r="311" customFormat="false" ht="15.75" hidden="false" customHeight="false" outlineLevel="0" collapsed="false">
      <c r="A311" s="194"/>
      <c r="B311" s="194"/>
      <c r="C311" s="232"/>
      <c r="D311" s="194"/>
      <c r="E311" s="194"/>
      <c r="F311" s="194"/>
      <c r="G311" s="194"/>
      <c r="H311" s="194"/>
      <c r="I311" s="194"/>
      <c r="J311" s="194"/>
      <c r="K311" s="194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</row>
    <row r="312" customFormat="false" ht="15.75" hidden="false" customHeight="false" outlineLevel="0" collapsed="false">
      <c r="A312" s="194"/>
      <c r="B312" s="194"/>
      <c r="C312" s="232"/>
      <c r="D312" s="194"/>
      <c r="E312" s="194"/>
      <c r="F312" s="194"/>
      <c r="G312" s="194"/>
      <c r="H312" s="194"/>
      <c r="I312" s="194"/>
      <c r="J312" s="194"/>
      <c r="K312" s="194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</row>
    <row r="313" customFormat="false" ht="15.75" hidden="false" customHeight="false" outlineLevel="0" collapsed="false">
      <c r="A313" s="194"/>
      <c r="B313" s="194"/>
      <c r="C313" s="232"/>
      <c r="D313" s="194"/>
      <c r="E313" s="194"/>
      <c r="F313" s="194"/>
      <c r="G313" s="194"/>
      <c r="H313" s="194"/>
      <c r="I313" s="194"/>
      <c r="J313" s="194"/>
      <c r="K313" s="194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</row>
    <row r="314" customFormat="false" ht="15.75" hidden="false" customHeight="false" outlineLevel="0" collapsed="false">
      <c r="A314" s="194"/>
      <c r="B314" s="194"/>
      <c r="C314" s="232"/>
      <c r="D314" s="194"/>
      <c r="E314" s="194"/>
      <c r="F314" s="194"/>
      <c r="G314" s="194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</row>
    <row r="315" customFormat="false" ht="15.75" hidden="false" customHeight="false" outlineLevel="0" collapsed="false">
      <c r="A315" s="194"/>
      <c r="B315" s="194"/>
      <c r="C315" s="232"/>
      <c r="D315" s="194"/>
      <c r="E315" s="194"/>
      <c r="F315" s="194"/>
      <c r="G315" s="194"/>
      <c r="H315" s="194"/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</row>
    <row r="316" customFormat="false" ht="15.75" hidden="false" customHeight="false" outlineLevel="0" collapsed="false">
      <c r="A316" s="194"/>
      <c r="B316" s="194"/>
      <c r="C316" s="232"/>
      <c r="D316" s="194"/>
      <c r="E316" s="194"/>
      <c r="F316" s="194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</row>
    <row r="317" customFormat="false" ht="15.75" hidden="false" customHeight="false" outlineLevel="0" collapsed="false">
      <c r="A317" s="194"/>
      <c r="B317" s="194"/>
      <c r="C317" s="232"/>
      <c r="D317" s="194"/>
      <c r="E317" s="194"/>
      <c r="F317" s="194"/>
      <c r="G317" s="194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</row>
    <row r="318" customFormat="false" ht="15.75" hidden="false" customHeight="false" outlineLevel="0" collapsed="false">
      <c r="A318" s="194"/>
      <c r="B318" s="194"/>
      <c r="C318" s="232"/>
      <c r="D318" s="194"/>
      <c r="E318" s="194"/>
      <c r="F318" s="194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</row>
    <row r="319" customFormat="false" ht="15.75" hidden="false" customHeight="false" outlineLevel="0" collapsed="false">
      <c r="A319" s="194"/>
      <c r="B319" s="194"/>
      <c r="C319" s="232"/>
      <c r="D319" s="194"/>
      <c r="E319" s="194"/>
      <c r="F319" s="194"/>
      <c r="G319" s="194"/>
      <c r="H319" s="194"/>
      <c r="I319" s="194"/>
      <c r="J319" s="194"/>
      <c r="K319" s="194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</row>
    <row r="320" customFormat="false" ht="15.75" hidden="false" customHeight="false" outlineLevel="0" collapsed="false">
      <c r="A320" s="194"/>
      <c r="B320" s="194"/>
      <c r="C320" s="232"/>
      <c r="D320" s="194"/>
      <c r="E320" s="194"/>
      <c r="F320" s="194"/>
      <c r="G320" s="194"/>
      <c r="H320" s="194"/>
      <c r="I320" s="194"/>
      <c r="J320" s="194"/>
      <c r="K320" s="194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</row>
    <row r="321" customFormat="false" ht="15.75" hidden="false" customHeight="false" outlineLevel="0" collapsed="false">
      <c r="A321" s="194"/>
      <c r="B321" s="194"/>
      <c r="C321" s="232"/>
      <c r="D321" s="194"/>
      <c r="E321" s="194"/>
      <c r="F321" s="194"/>
      <c r="G321" s="194"/>
      <c r="H321" s="194"/>
      <c r="I321" s="194"/>
      <c r="J321" s="194"/>
      <c r="K321" s="194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</row>
    <row r="322" customFormat="false" ht="15.75" hidden="false" customHeight="false" outlineLevel="0" collapsed="false">
      <c r="A322" s="194"/>
      <c r="B322" s="194"/>
      <c r="C322" s="232"/>
      <c r="D322" s="194"/>
      <c r="E322" s="194"/>
      <c r="F322" s="194"/>
      <c r="G322" s="194"/>
      <c r="H322" s="194"/>
      <c r="I322" s="194"/>
      <c r="J322" s="194"/>
      <c r="K322" s="194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</row>
    <row r="323" customFormat="false" ht="15.75" hidden="false" customHeight="false" outlineLevel="0" collapsed="false">
      <c r="A323" s="194"/>
      <c r="B323" s="194"/>
      <c r="C323" s="232"/>
      <c r="D323" s="194"/>
      <c r="E323" s="194"/>
      <c r="F323" s="194"/>
      <c r="G323" s="194"/>
      <c r="H323" s="194"/>
      <c r="I323" s="194"/>
      <c r="J323" s="194"/>
      <c r="K323" s="194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</row>
    <row r="324" customFormat="false" ht="15.75" hidden="false" customHeight="false" outlineLevel="0" collapsed="false">
      <c r="A324" s="194"/>
      <c r="B324" s="194"/>
      <c r="C324" s="232"/>
      <c r="D324" s="194"/>
      <c r="E324" s="194"/>
      <c r="F324" s="194"/>
      <c r="G324" s="194"/>
      <c r="H324" s="194"/>
      <c r="I324" s="194"/>
      <c r="J324" s="194"/>
      <c r="K324" s="194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</row>
    <row r="325" customFormat="false" ht="15.75" hidden="false" customHeight="false" outlineLevel="0" collapsed="false">
      <c r="A325" s="194"/>
      <c r="B325" s="194"/>
      <c r="C325" s="232"/>
      <c r="D325" s="194"/>
      <c r="E325" s="194"/>
      <c r="F325" s="194"/>
      <c r="G325" s="194"/>
      <c r="H325" s="194"/>
      <c r="I325" s="194"/>
      <c r="J325" s="194"/>
      <c r="K325" s="194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</row>
    <row r="326" customFormat="false" ht="15.75" hidden="false" customHeight="false" outlineLevel="0" collapsed="false">
      <c r="A326" s="194"/>
      <c r="B326" s="194"/>
      <c r="C326" s="232"/>
      <c r="D326" s="194"/>
      <c r="E326" s="194"/>
      <c r="F326" s="194"/>
      <c r="G326" s="194"/>
      <c r="H326" s="194"/>
      <c r="I326" s="194"/>
      <c r="J326" s="194"/>
      <c r="K326" s="194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</row>
    <row r="327" customFormat="false" ht="15.75" hidden="false" customHeight="false" outlineLevel="0" collapsed="false">
      <c r="A327" s="194"/>
      <c r="B327" s="194"/>
      <c r="C327" s="232"/>
      <c r="D327" s="194"/>
      <c r="E327" s="194"/>
      <c r="F327" s="194"/>
      <c r="G327" s="194"/>
      <c r="H327" s="194"/>
      <c r="I327" s="194"/>
      <c r="J327" s="194"/>
      <c r="K327" s="194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</row>
    <row r="328" customFormat="false" ht="15.75" hidden="false" customHeight="false" outlineLevel="0" collapsed="false">
      <c r="A328" s="194"/>
      <c r="B328" s="194"/>
      <c r="C328" s="232"/>
      <c r="D328" s="194"/>
      <c r="E328" s="194"/>
      <c r="F328" s="194"/>
      <c r="G328" s="194"/>
      <c r="H328" s="194"/>
      <c r="I328" s="194"/>
      <c r="J328" s="194"/>
      <c r="K328" s="194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</row>
    <row r="329" customFormat="false" ht="15.75" hidden="false" customHeight="false" outlineLevel="0" collapsed="false">
      <c r="A329" s="194"/>
      <c r="B329" s="194"/>
      <c r="C329" s="232"/>
      <c r="D329" s="194"/>
      <c r="E329" s="194"/>
      <c r="F329" s="194"/>
      <c r="G329" s="194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</row>
    <row r="330" customFormat="false" ht="15.75" hidden="false" customHeight="false" outlineLevel="0" collapsed="false">
      <c r="A330" s="194"/>
      <c r="B330" s="194"/>
      <c r="C330" s="232"/>
      <c r="D330" s="194"/>
      <c r="E330" s="194"/>
      <c r="F330" s="194"/>
      <c r="G330" s="194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</row>
    <row r="331" customFormat="false" ht="15.75" hidden="false" customHeight="false" outlineLevel="0" collapsed="false">
      <c r="A331" s="194"/>
      <c r="B331" s="194"/>
      <c r="C331" s="232"/>
      <c r="D331" s="194"/>
      <c r="E331" s="194"/>
      <c r="F331" s="194"/>
      <c r="G331" s="194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</row>
    <row r="332" customFormat="false" ht="15.75" hidden="false" customHeight="false" outlineLevel="0" collapsed="false">
      <c r="A332" s="194"/>
      <c r="B332" s="194"/>
      <c r="C332" s="232"/>
      <c r="D332" s="194"/>
      <c r="E332" s="194"/>
      <c r="F332" s="194"/>
      <c r="G332" s="194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</row>
    <row r="333" customFormat="false" ht="15.75" hidden="false" customHeight="false" outlineLevel="0" collapsed="false">
      <c r="A333" s="194"/>
      <c r="B333" s="194"/>
      <c r="C333" s="232"/>
      <c r="D333" s="194"/>
      <c r="E333" s="194"/>
      <c r="F333" s="194"/>
      <c r="G333" s="194"/>
      <c r="H333" s="194"/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</row>
    <row r="334" customFormat="false" ht="15.75" hidden="false" customHeight="false" outlineLevel="0" collapsed="false">
      <c r="A334" s="194"/>
      <c r="B334" s="194"/>
      <c r="C334" s="232"/>
      <c r="D334" s="194"/>
      <c r="E334" s="194"/>
      <c r="F334" s="194"/>
      <c r="G334" s="194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</row>
    <row r="335" customFormat="false" ht="15.75" hidden="false" customHeight="false" outlineLevel="0" collapsed="false">
      <c r="A335" s="194"/>
      <c r="B335" s="194"/>
      <c r="C335" s="232"/>
      <c r="D335" s="194"/>
      <c r="E335" s="194"/>
      <c r="F335" s="194"/>
      <c r="G335" s="194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</row>
    <row r="336" customFormat="false" ht="15.75" hidden="false" customHeight="false" outlineLevel="0" collapsed="false">
      <c r="A336" s="194"/>
      <c r="B336" s="194"/>
      <c r="C336" s="232"/>
      <c r="D336" s="194"/>
      <c r="E336" s="194"/>
      <c r="F336" s="194"/>
      <c r="G336" s="194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</row>
    <row r="337" customFormat="false" ht="15.75" hidden="false" customHeight="false" outlineLevel="0" collapsed="false">
      <c r="A337" s="194"/>
      <c r="B337" s="194"/>
      <c r="C337" s="232"/>
      <c r="D337" s="194"/>
      <c r="E337" s="194"/>
      <c r="F337" s="194"/>
      <c r="G337" s="194"/>
      <c r="H337" s="194"/>
      <c r="I337" s="194"/>
      <c r="J337" s="194"/>
      <c r="K337" s="194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</row>
    <row r="338" customFormat="false" ht="15.75" hidden="false" customHeight="false" outlineLevel="0" collapsed="false">
      <c r="A338" s="194"/>
      <c r="B338" s="194"/>
      <c r="C338" s="232"/>
      <c r="D338" s="194"/>
      <c r="E338" s="194"/>
      <c r="F338" s="194"/>
      <c r="G338" s="194"/>
      <c r="H338" s="194"/>
      <c r="I338" s="194"/>
      <c r="J338" s="194"/>
      <c r="K338" s="194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</row>
    <row r="339" customFormat="false" ht="15.75" hidden="false" customHeight="false" outlineLevel="0" collapsed="false">
      <c r="A339" s="194"/>
      <c r="B339" s="194"/>
      <c r="C339" s="232"/>
      <c r="D339" s="194"/>
      <c r="E339" s="194"/>
      <c r="F339" s="194"/>
      <c r="G339" s="194"/>
      <c r="H339" s="194"/>
      <c r="I339" s="194"/>
      <c r="J339" s="194"/>
      <c r="K339" s="194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</row>
    <row r="340" customFormat="false" ht="15.75" hidden="false" customHeight="false" outlineLevel="0" collapsed="false">
      <c r="A340" s="194"/>
      <c r="B340" s="194"/>
      <c r="C340" s="232"/>
      <c r="D340" s="194"/>
      <c r="E340" s="194"/>
      <c r="F340" s="194"/>
      <c r="G340" s="194"/>
      <c r="H340" s="194"/>
      <c r="I340" s="194"/>
      <c r="J340" s="194"/>
      <c r="K340" s="194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</row>
    <row r="341" customFormat="false" ht="15.75" hidden="false" customHeight="false" outlineLevel="0" collapsed="false">
      <c r="A341" s="194"/>
      <c r="B341" s="194"/>
      <c r="C341" s="232"/>
      <c r="D341" s="194"/>
      <c r="E341" s="194"/>
      <c r="F341" s="194"/>
      <c r="G341" s="194"/>
      <c r="H341" s="194"/>
      <c r="I341" s="194"/>
      <c r="J341" s="194"/>
      <c r="K341" s="194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</row>
    <row r="342" customFormat="false" ht="15.75" hidden="false" customHeight="false" outlineLevel="0" collapsed="false">
      <c r="A342" s="194"/>
      <c r="B342" s="194"/>
      <c r="C342" s="232"/>
      <c r="D342" s="194"/>
      <c r="E342" s="194"/>
      <c r="F342" s="194"/>
      <c r="G342" s="194"/>
      <c r="H342" s="194"/>
      <c r="I342" s="194"/>
      <c r="J342" s="194"/>
      <c r="K342" s="194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</row>
    <row r="343" customFormat="false" ht="15.75" hidden="false" customHeight="false" outlineLevel="0" collapsed="false">
      <c r="A343" s="194"/>
      <c r="B343" s="194"/>
      <c r="C343" s="232"/>
      <c r="D343" s="194"/>
      <c r="E343" s="194"/>
      <c r="F343" s="194"/>
      <c r="G343" s="194"/>
      <c r="H343" s="194"/>
      <c r="I343" s="194"/>
      <c r="J343" s="194"/>
      <c r="K343" s="194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</row>
    <row r="344" customFormat="false" ht="15.75" hidden="false" customHeight="false" outlineLevel="0" collapsed="false">
      <c r="A344" s="194"/>
      <c r="B344" s="194"/>
      <c r="C344" s="232"/>
      <c r="D344" s="194"/>
      <c r="E344" s="194"/>
      <c r="F344" s="194"/>
      <c r="G344" s="194"/>
      <c r="H344" s="194"/>
      <c r="I344" s="194"/>
      <c r="J344" s="194"/>
      <c r="K344" s="194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</row>
    <row r="345" customFormat="false" ht="15.75" hidden="false" customHeight="false" outlineLevel="0" collapsed="false">
      <c r="A345" s="194"/>
      <c r="B345" s="194"/>
      <c r="C345" s="232"/>
      <c r="D345" s="194"/>
      <c r="E345" s="194"/>
      <c r="F345" s="194"/>
      <c r="G345" s="194"/>
      <c r="H345" s="194"/>
      <c r="I345" s="194"/>
      <c r="J345" s="194"/>
      <c r="K345" s="194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</row>
    <row r="346" customFormat="false" ht="15.75" hidden="false" customHeight="false" outlineLevel="0" collapsed="false">
      <c r="A346" s="194"/>
      <c r="B346" s="194"/>
      <c r="C346" s="232"/>
      <c r="D346" s="194"/>
      <c r="E346" s="194"/>
      <c r="F346" s="194"/>
      <c r="G346" s="194"/>
      <c r="H346" s="194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</row>
    <row r="347" customFormat="false" ht="15.75" hidden="false" customHeight="false" outlineLevel="0" collapsed="false">
      <c r="A347" s="194"/>
      <c r="B347" s="194"/>
      <c r="C347" s="232"/>
      <c r="D347" s="194"/>
      <c r="E347" s="194"/>
      <c r="F347" s="194"/>
      <c r="G347" s="194"/>
      <c r="H347" s="194"/>
      <c r="I347" s="194"/>
      <c r="J347" s="194"/>
      <c r="K347" s="194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</row>
    <row r="348" customFormat="false" ht="15.75" hidden="false" customHeight="false" outlineLevel="0" collapsed="false">
      <c r="A348" s="194"/>
      <c r="B348" s="194"/>
      <c r="C348" s="232"/>
      <c r="D348" s="194"/>
      <c r="E348" s="194"/>
      <c r="F348" s="194"/>
      <c r="G348" s="194"/>
      <c r="H348" s="194"/>
      <c r="I348" s="194"/>
      <c r="J348" s="194"/>
      <c r="K348" s="194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</row>
    <row r="349" customFormat="false" ht="15.75" hidden="false" customHeight="false" outlineLevel="0" collapsed="false">
      <c r="A349" s="194"/>
      <c r="B349" s="194"/>
      <c r="C349" s="232"/>
      <c r="D349" s="194"/>
      <c r="E349" s="194"/>
      <c r="F349" s="194"/>
      <c r="G349" s="194"/>
      <c r="H349" s="194"/>
      <c r="I349" s="194"/>
      <c r="J349" s="194"/>
      <c r="K349" s="194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</row>
    <row r="350" customFormat="false" ht="15.75" hidden="false" customHeight="false" outlineLevel="0" collapsed="false">
      <c r="A350" s="194"/>
      <c r="B350" s="194"/>
      <c r="C350" s="232"/>
      <c r="D350" s="194"/>
      <c r="E350" s="194"/>
      <c r="F350" s="194"/>
      <c r="G350" s="194"/>
      <c r="H350" s="194"/>
      <c r="I350" s="194"/>
      <c r="J350" s="194"/>
      <c r="K350" s="194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</row>
    <row r="351" customFormat="false" ht="15.75" hidden="false" customHeight="false" outlineLevel="0" collapsed="false">
      <c r="A351" s="194"/>
      <c r="B351" s="194"/>
      <c r="C351" s="232"/>
      <c r="D351" s="194"/>
      <c r="E351" s="194"/>
      <c r="F351" s="194"/>
      <c r="G351" s="194"/>
      <c r="H351" s="194"/>
      <c r="I351" s="194"/>
      <c r="J351" s="194"/>
      <c r="K351" s="194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</row>
    <row r="352" customFormat="false" ht="15.75" hidden="false" customHeight="false" outlineLevel="0" collapsed="false">
      <c r="A352" s="194"/>
      <c r="B352" s="194"/>
      <c r="C352" s="232"/>
      <c r="D352" s="194"/>
      <c r="E352" s="194"/>
      <c r="F352" s="194"/>
      <c r="G352" s="194"/>
      <c r="H352" s="194"/>
      <c r="I352" s="194"/>
      <c r="J352" s="194"/>
      <c r="K352" s="194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</row>
    <row r="353" customFormat="false" ht="15.75" hidden="false" customHeight="false" outlineLevel="0" collapsed="false">
      <c r="A353" s="194"/>
      <c r="B353" s="194"/>
      <c r="C353" s="232"/>
      <c r="D353" s="194"/>
      <c r="E353" s="194"/>
      <c r="F353" s="194"/>
      <c r="G353" s="194"/>
      <c r="H353" s="194"/>
      <c r="I353" s="194"/>
      <c r="J353" s="194"/>
      <c r="K353" s="194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</row>
    <row r="354" customFormat="false" ht="15.75" hidden="false" customHeight="false" outlineLevel="0" collapsed="false">
      <c r="A354" s="194"/>
      <c r="B354" s="194"/>
      <c r="C354" s="232"/>
      <c r="D354" s="194"/>
      <c r="E354" s="194"/>
      <c r="F354" s="194"/>
      <c r="G354" s="194"/>
      <c r="H354" s="194"/>
      <c r="I354" s="194"/>
      <c r="J354" s="194"/>
      <c r="K354" s="194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</row>
    <row r="355" customFormat="false" ht="15.75" hidden="false" customHeight="false" outlineLevel="0" collapsed="false">
      <c r="A355" s="194"/>
      <c r="B355" s="194"/>
      <c r="C355" s="232"/>
      <c r="D355" s="194"/>
      <c r="E355" s="194"/>
      <c r="F355" s="194"/>
      <c r="G355" s="194"/>
      <c r="H355" s="194"/>
      <c r="I355" s="194"/>
      <c r="J355" s="194"/>
      <c r="K355" s="194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</row>
    <row r="356" customFormat="false" ht="15.75" hidden="false" customHeight="false" outlineLevel="0" collapsed="false">
      <c r="A356" s="194"/>
      <c r="B356" s="194"/>
      <c r="C356" s="232"/>
      <c r="D356" s="194"/>
      <c r="E356" s="194"/>
      <c r="F356" s="194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</row>
    <row r="357" customFormat="false" ht="15.75" hidden="false" customHeight="false" outlineLevel="0" collapsed="false">
      <c r="A357" s="194"/>
      <c r="B357" s="194"/>
      <c r="C357" s="232"/>
      <c r="D357" s="194"/>
      <c r="E357" s="194"/>
      <c r="F357" s="194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</row>
    <row r="358" customFormat="false" ht="15.75" hidden="false" customHeight="false" outlineLevel="0" collapsed="false">
      <c r="A358" s="194"/>
      <c r="B358" s="194"/>
      <c r="C358" s="232"/>
      <c r="D358" s="194"/>
      <c r="E358" s="194"/>
      <c r="F358" s="194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</row>
    <row r="359" customFormat="false" ht="15.75" hidden="false" customHeight="false" outlineLevel="0" collapsed="false">
      <c r="A359" s="194"/>
      <c r="B359" s="194"/>
      <c r="C359" s="232"/>
      <c r="D359" s="194"/>
      <c r="E359" s="194"/>
      <c r="F359" s="194"/>
      <c r="G359" s="194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</row>
    <row r="360" customFormat="false" ht="15.75" hidden="false" customHeight="false" outlineLevel="0" collapsed="false">
      <c r="A360" s="194"/>
      <c r="B360" s="194"/>
      <c r="C360" s="232"/>
      <c r="D360" s="194"/>
      <c r="E360" s="194"/>
      <c r="F360" s="194"/>
      <c r="G360" s="194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</row>
    <row r="361" customFormat="false" ht="15.75" hidden="false" customHeight="false" outlineLevel="0" collapsed="false">
      <c r="A361" s="194"/>
      <c r="B361" s="194"/>
      <c r="C361" s="232"/>
      <c r="D361" s="194"/>
      <c r="E361" s="194"/>
      <c r="F361" s="194"/>
      <c r="G361" s="194"/>
      <c r="H361" s="194"/>
      <c r="I361" s="194"/>
      <c r="J361" s="194"/>
      <c r="K361" s="194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</row>
    <row r="362" customFormat="false" ht="15.75" hidden="false" customHeight="false" outlineLevel="0" collapsed="false">
      <c r="A362" s="194"/>
      <c r="B362" s="194"/>
      <c r="C362" s="232"/>
      <c r="D362" s="194"/>
      <c r="E362" s="194"/>
      <c r="F362" s="194"/>
      <c r="G362" s="194"/>
      <c r="H362" s="194"/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</row>
    <row r="363" customFormat="false" ht="15.75" hidden="false" customHeight="false" outlineLevel="0" collapsed="false">
      <c r="A363" s="194"/>
      <c r="B363" s="194"/>
      <c r="C363" s="232"/>
      <c r="D363" s="194"/>
      <c r="E363" s="194"/>
      <c r="F363" s="194"/>
      <c r="G363" s="194"/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</row>
    <row r="364" customFormat="false" ht="15.75" hidden="false" customHeight="false" outlineLevel="0" collapsed="false">
      <c r="A364" s="194"/>
      <c r="B364" s="194"/>
      <c r="C364" s="232"/>
      <c r="D364" s="194"/>
      <c r="E364" s="194"/>
      <c r="F364" s="194"/>
      <c r="G364" s="194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</row>
    <row r="365" customFormat="false" ht="15.75" hidden="false" customHeight="false" outlineLevel="0" collapsed="false">
      <c r="A365" s="194"/>
      <c r="B365" s="194"/>
      <c r="C365" s="232"/>
      <c r="D365" s="194"/>
      <c r="E365" s="194"/>
      <c r="F365" s="194"/>
      <c r="G365" s="194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</row>
    <row r="366" customFormat="false" ht="15.75" hidden="false" customHeight="false" outlineLevel="0" collapsed="false">
      <c r="A366" s="194"/>
      <c r="B366" s="194"/>
      <c r="C366" s="232"/>
      <c r="D366" s="194"/>
      <c r="E366" s="194"/>
      <c r="F366" s="194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</row>
    <row r="367" customFormat="false" ht="15.75" hidden="false" customHeight="false" outlineLevel="0" collapsed="false">
      <c r="A367" s="194"/>
      <c r="B367" s="194"/>
      <c r="C367" s="232"/>
      <c r="D367" s="194"/>
      <c r="E367" s="194"/>
      <c r="F367" s="194"/>
      <c r="G367" s="194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</row>
    <row r="368" customFormat="false" ht="15.75" hidden="false" customHeight="false" outlineLevel="0" collapsed="false">
      <c r="A368" s="194"/>
      <c r="B368" s="194"/>
      <c r="C368" s="232"/>
      <c r="D368" s="194"/>
      <c r="E368" s="194"/>
      <c r="F368" s="194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</row>
    <row r="369" customFormat="false" ht="15.75" hidden="false" customHeight="false" outlineLevel="0" collapsed="false">
      <c r="A369" s="194"/>
      <c r="B369" s="194"/>
      <c r="C369" s="232"/>
      <c r="D369" s="194"/>
      <c r="E369" s="194"/>
      <c r="F369" s="194"/>
      <c r="G369" s="194"/>
      <c r="H369" s="194"/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</row>
    <row r="370" customFormat="false" ht="15.75" hidden="false" customHeight="false" outlineLevel="0" collapsed="false">
      <c r="A370" s="194"/>
      <c r="B370" s="194"/>
      <c r="C370" s="232"/>
      <c r="D370" s="194"/>
      <c r="E370" s="194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</row>
    <row r="371" customFormat="false" ht="15.75" hidden="false" customHeight="false" outlineLevel="0" collapsed="false">
      <c r="A371" s="194"/>
      <c r="B371" s="194"/>
      <c r="C371" s="232"/>
      <c r="D371" s="194"/>
      <c r="E371" s="194"/>
      <c r="F371" s="194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</row>
    <row r="372" customFormat="false" ht="15.75" hidden="false" customHeight="false" outlineLevel="0" collapsed="false">
      <c r="A372" s="194"/>
      <c r="B372" s="194"/>
      <c r="C372" s="232"/>
      <c r="D372" s="194"/>
      <c r="E372" s="194"/>
      <c r="F372" s="194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</row>
    <row r="373" customFormat="false" ht="15.75" hidden="false" customHeight="false" outlineLevel="0" collapsed="false">
      <c r="A373" s="194"/>
      <c r="B373" s="194"/>
      <c r="C373" s="232"/>
      <c r="D373" s="194"/>
      <c r="E373" s="194"/>
      <c r="F373" s="194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</row>
    <row r="374" customFormat="false" ht="15.75" hidden="false" customHeight="false" outlineLevel="0" collapsed="false">
      <c r="A374" s="194"/>
      <c r="B374" s="194"/>
      <c r="C374" s="232"/>
      <c r="D374" s="194"/>
      <c r="E374" s="194"/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</row>
    <row r="375" customFormat="false" ht="15.75" hidden="false" customHeight="false" outlineLevel="0" collapsed="false">
      <c r="A375" s="194"/>
      <c r="B375" s="194"/>
      <c r="C375" s="232"/>
      <c r="D375" s="194"/>
      <c r="E375" s="194"/>
      <c r="F375" s="194"/>
      <c r="G375" s="194"/>
      <c r="H375" s="194"/>
      <c r="I375" s="194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</row>
    <row r="376" customFormat="false" ht="15.75" hidden="false" customHeight="false" outlineLevel="0" collapsed="false">
      <c r="A376" s="194"/>
      <c r="B376" s="194"/>
      <c r="C376" s="232"/>
      <c r="D376" s="194"/>
      <c r="E376" s="194"/>
      <c r="F376" s="194"/>
      <c r="G376" s="194"/>
      <c r="H376" s="194"/>
      <c r="I376" s="194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</row>
    <row r="377" customFormat="false" ht="15.75" hidden="false" customHeight="false" outlineLevel="0" collapsed="false">
      <c r="A377" s="194"/>
      <c r="B377" s="194"/>
      <c r="C377" s="232"/>
      <c r="D377" s="194"/>
      <c r="E377" s="194"/>
      <c r="F377" s="194"/>
      <c r="G377" s="194"/>
      <c r="H377" s="194"/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</row>
    <row r="378" customFormat="false" ht="15.75" hidden="false" customHeight="false" outlineLevel="0" collapsed="false">
      <c r="A378" s="194"/>
      <c r="B378" s="194"/>
      <c r="C378" s="232"/>
      <c r="D378" s="194"/>
      <c r="E378" s="194"/>
      <c r="F378" s="194"/>
      <c r="G378" s="194"/>
      <c r="H378" s="194"/>
      <c r="I378" s="194"/>
      <c r="J378" s="194"/>
      <c r="K378" s="194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</row>
    <row r="379" customFormat="false" ht="15.75" hidden="false" customHeight="false" outlineLevel="0" collapsed="false">
      <c r="A379" s="194"/>
      <c r="B379" s="194"/>
      <c r="C379" s="232"/>
      <c r="D379" s="194"/>
      <c r="E379" s="194"/>
      <c r="F379" s="194"/>
      <c r="G379" s="194"/>
      <c r="H379" s="194"/>
      <c r="I379" s="194"/>
      <c r="J379" s="194"/>
      <c r="K379" s="194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</row>
    <row r="380" customFormat="false" ht="15.75" hidden="false" customHeight="false" outlineLevel="0" collapsed="false">
      <c r="A380" s="194"/>
      <c r="B380" s="194"/>
      <c r="C380" s="232"/>
      <c r="D380" s="194"/>
      <c r="E380" s="194"/>
      <c r="F380" s="194"/>
      <c r="G380" s="194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</row>
    <row r="381" customFormat="false" ht="15.75" hidden="false" customHeight="false" outlineLevel="0" collapsed="false">
      <c r="A381" s="194"/>
      <c r="B381" s="194"/>
      <c r="C381" s="232"/>
      <c r="D381" s="194"/>
      <c r="E381" s="194"/>
      <c r="F381" s="194"/>
      <c r="G381" s="194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</row>
    <row r="382" customFormat="false" ht="15.75" hidden="false" customHeight="false" outlineLevel="0" collapsed="false">
      <c r="A382" s="194"/>
      <c r="B382" s="194"/>
      <c r="C382" s="232"/>
      <c r="D382" s="194"/>
      <c r="E382" s="194"/>
      <c r="F382" s="194"/>
      <c r="G382" s="194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</row>
    <row r="383" customFormat="false" ht="15.75" hidden="false" customHeight="false" outlineLevel="0" collapsed="false">
      <c r="A383" s="194"/>
      <c r="B383" s="194"/>
      <c r="C383" s="232"/>
      <c r="D383" s="194"/>
      <c r="E383" s="194"/>
      <c r="F383" s="194"/>
      <c r="G383" s="194"/>
      <c r="H383" s="194"/>
      <c r="I383" s="194"/>
      <c r="J383" s="194"/>
      <c r="K383" s="194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</row>
    <row r="384" customFormat="false" ht="15.75" hidden="false" customHeight="false" outlineLevel="0" collapsed="false">
      <c r="A384" s="194"/>
      <c r="B384" s="194"/>
      <c r="C384" s="232"/>
      <c r="D384" s="194"/>
      <c r="E384" s="194"/>
      <c r="F384" s="194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</row>
    <row r="385" customFormat="false" ht="15.75" hidden="false" customHeight="false" outlineLevel="0" collapsed="false">
      <c r="A385" s="194"/>
      <c r="B385" s="194"/>
      <c r="C385" s="232"/>
      <c r="D385" s="194"/>
      <c r="E385" s="194"/>
      <c r="F385" s="194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</row>
    <row r="386" customFormat="false" ht="15.75" hidden="false" customHeight="false" outlineLevel="0" collapsed="false">
      <c r="A386" s="194"/>
      <c r="B386" s="194"/>
      <c r="C386" s="232"/>
      <c r="D386" s="194"/>
      <c r="E386" s="194"/>
      <c r="F386" s="194"/>
      <c r="G386" s="194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</row>
    <row r="387" customFormat="false" ht="15.75" hidden="false" customHeight="false" outlineLevel="0" collapsed="false">
      <c r="A387" s="194"/>
      <c r="B387" s="194"/>
      <c r="C387" s="232"/>
      <c r="D387" s="194"/>
      <c r="E387" s="194"/>
      <c r="F387" s="194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</row>
    <row r="388" customFormat="false" ht="15.75" hidden="false" customHeight="false" outlineLevel="0" collapsed="false">
      <c r="A388" s="194"/>
      <c r="B388" s="194"/>
      <c r="C388" s="232"/>
      <c r="D388" s="194"/>
      <c r="E388" s="194"/>
      <c r="F388" s="194"/>
      <c r="G388" s="194"/>
      <c r="H388" s="194"/>
      <c r="I388" s="194"/>
      <c r="J388" s="194"/>
      <c r="K388" s="194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</row>
    <row r="389" customFormat="false" ht="15.75" hidden="false" customHeight="false" outlineLevel="0" collapsed="false">
      <c r="A389" s="194"/>
      <c r="B389" s="194"/>
      <c r="C389" s="232"/>
      <c r="D389" s="194"/>
      <c r="E389" s="194"/>
      <c r="F389" s="194"/>
      <c r="G389" s="194"/>
      <c r="H389" s="194"/>
      <c r="I389" s="194"/>
      <c r="J389" s="194"/>
      <c r="K389" s="194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</row>
    <row r="390" customFormat="false" ht="15.75" hidden="false" customHeight="false" outlineLevel="0" collapsed="false">
      <c r="A390" s="194"/>
      <c r="B390" s="194"/>
      <c r="C390" s="232"/>
      <c r="D390" s="194"/>
      <c r="E390" s="194"/>
      <c r="F390" s="194"/>
      <c r="G390" s="194"/>
      <c r="H390" s="194"/>
      <c r="I390" s="194"/>
      <c r="J390" s="194"/>
      <c r="K390" s="194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</row>
    <row r="391" customFormat="false" ht="15.75" hidden="false" customHeight="false" outlineLevel="0" collapsed="false">
      <c r="A391" s="194"/>
      <c r="B391" s="194"/>
      <c r="C391" s="232"/>
      <c r="D391" s="194"/>
      <c r="E391" s="194"/>
      <c r="F391" s="194"/>
      <c r="G391" s="194"/>
      <c r="H391" s="194"/>
      <c r="I391" s="194"/>
      <c r="J391" s="194"/>
      <c r="K391" s="194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</row>
    <row r="392" customFormat="false" ht="15.75" hidden="false" customHeight="false" outlineLevel="0" collapsed="false">
      <c r="A392" s="194"/>
      <c r="B392" s="194"/>
      <c r="C392" s="232"/>
      <c r="D392" s="194"/>
      <c r="E392" s="194"/>
      <c r="F392" s="194"/>
      <c r="G392" s="194"/>
      <c r="H392" s="194"/>
      <c r="I392" s="194"/>
      <c r="J392" s="194"/>
      <c r="K392" s="194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</row>
    <row r="393" customFormat="false" ht="15.75" hidden="false" customHeight="false" outlineLevel="0" collapsed="false">
      <c r="A393" s="194"/>
      <c r="B393" s="194"/>
      <c r="C393" s="232"/>
      <c r="D393" s="194"/>
      <c r="E393" s="194"/>
      <c r="F393" s="194"/>
      <c r="G393" s="194"/>
      <c r="H393" s="194"/>
      <c r="I393" s="194"/>
      <c r="J393" s="194"/>
      <c r="K393" s="194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</row>
    <row r="394" customFormat="false" ht="15.75" hidden="false" customHeight="false" outlineLevel="0" collapsed="false">
      <c r="A394" s="194"/>
      <c r="B394" s="194"/>
      <c r="C394" s="232"/>
      <c r="D394" s="194"/>
      <c r="E394" s="194"/>
      <c r="F394" s="194"/>
      <c r="G394" s="194"/>
      <c r="H394" s="194"/>
      <c r="I394" s="194"/>
      <c r="J394" s="194"/>
      <c r="K394" s="194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</row>
    <row r="395" customFormat="false" ht="15.75" hidden="false" customHeight="false" outlineLevel="0" collapsed="false">
      <c r="A395" s="194"/>
      <c r="B395" s="194"/>
      <c r="C395" s="232"/>
      <c r="D395" s="194"/>
      <c r="E395" s="194"/>
      <c r="F395" s="194"/>
      <c r="G395" s="194"/>
      <c r="H395" s="194"/>
      <c r="I395" s="194"/>
      <c r="J395" s="194"/>
      <c r="K395" s="194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</row>
    <row r="396" customFormat="false" ht="15.75" hidden="false" customHeight="false" outlineLevel="0" collapsed="false">
      <c r="A396" s="194"/>
      <c r="B396" s="194"/>
      <c r="C396" s="232"/>
      <c r="D396" s="194"/>
      <c r="E396" s="194"/>
      <c r="F396" s="194"/>
      <c r="G396" s="194"/>
      <c r="H396" s="194"/>
      <c r="I396" s="194"/>
      <c r="J396" s="194"/>
      <c r="K396" s="194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</row>
    <row r="397" customFormat="false" ht="15.75" hidden="false" customHeight="false" outlineLevel="0" collapsed="false">
      <c r="A397" s="194"/>
      <c r="B397" s="194"/>
      <c r="C397" s="232"/>
      <c r="D397" s="194"/>
      <c r="E397" s="194"/>
      <c r="F397" s="194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</row>
    <row r="398" customFormat="false" ht="15.75" hidden="false" customHeight="false" outlineLevel="0" collapsed="false">
      <c r="A398" s="194"/>
      <c r="B398" s="194"/>
      <c r="C398" s="232"/>
      <c r="D398" s="194"/>
      <c r="E398" s="194"/>
      <c r="F398" s="194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</row>
    <row r="399" customFormat="false" ht="15.75" hidden="false" customHeight="false" outlineLevel="0" collapsed="false">
      <c r="A399" s="194"/>
      <c r="B399" s="194"/>
      <c r="C399" s="232"/>
      <c r="D399" s="194"/>
      <c r="E399" s="194"/>
      <c r="F399" s="194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</row>
    <row r="400" customFormat="false" ht="15.75" hidden="false" customHeight="false" outlineLevel="0" collapsed="false">
      <c r="A400" s="194"/>
      <c r="B400" s="194"/>
      <c r="C400" s="232"/>
      <c r="D400" s="194"/>
      <c r="E400" s="194"/>
      <c r="F400" s="194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</row>
    <row r="401" customFormat="false" ht="15.75" hidden="false" customHeight="false" outlineLevel="0" collapsed="false">
      <c r="A401" s="194"/>
      <c r="B401" s="194"/>
      <c r="C401" s="232"/>
      <c r="D401" s="194"/>
      <c r="E401" s="194"/>
      <c r="F401" s="194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</row>
    <row r="402" customFormat="false" ht="15.75" hidden="false" customHeight="false" outlineLevel="0" collapsed="false">
      <c r="A402" s="194"/>
      <c r="B402" s="194"/>
      <c r="C402" s="232"/>
      <c r="D402" s="194"/>
      <c r="E402" s="194"/>
      <c r="F402" s="194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</row>
    <row r="403" customFormat="false" ht="15.75" hidden="false" customHeight="false" outlineLevel="0" collapsed="false">
      <c r="A403" s="194"/>
      <c r="B403" s="194"/>
      <c r="C403" s="232"/>
      <c r="D403" s="194"/>
      <c r="E403" s="194"/>
      <c r="F403" s="194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</row>
    <row r="404" customFormat="false" ht="15.75" hidden="false" customHeight="false" outlineLevel="0" collapsed="false">
      <c r="A404" s="194"/>
      <c r="B404" s="194"/>
      <c r="C404" s="232"/>
      <c r="D404" s="194"/>
      <c r="E404" s="194"/>
      <c r="F404" s="194"/>
      <c r="G404" s="194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</row>
    <row r="405" customFormat="false" ht="15.75" hidden="false" customHeight="false" outlineLevel="0" collapsed="false">
      <c r="A405" s="194"/>
      <c r="B405" s="194"/>
      <c r="C405" s="232"/>
      <c r="D405" s="194"/>
      <c r="E405" s="194"/>
      <c r="F405" s="194"/>
      <c r="G405" s="194"/>
      <c r="H405" s="194"/>
      <c r="I405" s="194"/>
      <c r="J405" s="194"/>
      <c r="K405" s="194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</row>
    <row r="406" customFormat="false" ht="15.75" hidden="false" customHeight="false" outlineLevel="0" collapsed="false">
      <c r="A406" s="194"/>
      <c r="B406" s="194"/>
      <c r="C406" s="232"/>
      <c r="D406" s="194"/>
      <c r="E406" s="194"/>
      <c r="F406" s="194"/>
      <c r="G406" s="194"/>
      <c r="H406" s="194"/>
      <c r="I406" s="194"/>
      <c r="J406" s="194"/>
      <c r="K406" s="194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</row>
    <row r="407" customFormat="false" ht="15.75" hidden="false" customHeight="false" outlineLevel="0" collapsed="false">
      <c r="A407" s="194"/>
      <c r="B407" s="194"/>
      <c r="C407" s="232"/>
      <c r="D407" s="194"/>
      <c r="E407" s="194"/>
      <c r="F407" s="194"/>
      <c r="G407" s="194"/>
      <c r="H407" s="194"/>
      <c r="I407" s="194"/>
      <c r="J407" s="194"/>
      <c r="K407" s="194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</row>
    <row r="408" customFormat="false" ht="15.75" hidden="false" customHeight="false" outlineLevel="0" collapsed="false">
      <c r="A408" s="194"/>
      <c r="B408" s="194"/>
      <c r="C408" s="232"/>
      <c r="D408" s="194"/>
      <c r="E408" s="194"/>
      <c r="F408" s="194"/>
      <c r="G408" s="194"/>
      <c r="H408" s="194"/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</row>
    <row r="409" customFormat="false" ht="15.75" hidden="false" customHeight="false" outlineLevel="0" collapsed="false">
      <c r="A409" s="194"/>
      <c r="B409" s="194"/>
      <c r="C409" s="232"/>
      <c r="D409" s="194"/>
      <c r="E409" s="194"/>
      <c r="F409" s="194"/>
      <c r="G409" s="194"/>
      <c r="H409" s="194"/>
      <c r="I409" s="194"/>
      <c r="J409" s="194"/>
      <c r="K409" s="194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</row>
    <row r="410" customFormat="false" ht="15.75" hidden="false" customHeight="false" outlineLevel="0" collapsed="false">
      <c r="A410" s="194"/>
      <c r="B410" s="194"/>
      <c r="C410" s="232"/>
      <c r="D410" s="194"/>
      <c r="E410" s="194"/>
      <c r="F410" s="194"/>
      <c r="G410" s="194"/>
      <c r="H410" s="194"/>
      <c r="I410" s="194"/>
      <c r="J410" s="194"/>
      <c r="K410" s="194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</row>
    <row r="411" customFormat="false" ht="15.75" hidden="false" customHeight="false" outlineLevel="0" collapsed="false">
      <c r="A411" s="194"/>
      <c r="B411" s="194"/>
      <c r="C411" s="232"/>
      <c r="D411" s="194"/>
      <c r="E411" s="194"/>
      <c r="F411" s="194"/>
      <c r="G411" s="194"/>
      <c r="H411" s="194"/>
      <c r="I411" s="194"/>
      <c r="J411" s="194"/>
      <c r="K411" s="194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</row>
    <row r="412" customFormat="false" ht="15.75" hidden="false" customHeight="false" outlineLevel="0" collapsed="false">
      <c r="A412" s="194"/>
      <c r="B412" s="194"/>
      <c r="C412" s="232"/>
      <c r="D412" s="194"/>
      <c r="E412" s="194"/>
      <c r="F412" s="194"/>
      <c r="G412" s="194"/>
      <c r="H412" s="194"/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</row>
    <row r="413" customFormat="false" ht="15.75" hidden="false" customHeight="false" outlineLevel="0" collapsed="false">
      <c r="A413" s="194"/>
      <c r="B413" s="194"/>
      <c r="C413" s="232"/>
      <c r="D413" s="194"/>
      <c r="E413" s="194"/>
      <c r="F413" s="194"/>
      <c r="G413" s="194"/>
      <c r="H413" s="194"/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</row>
    <row r="414" customFormat="false" ht="15.75" hidden="false" customHeight="false" outlineLevel="0" collapsed="false">
      <c r="A414" s="194"/>
      <c r="B414" s="194"/>
      <c r="C414" s="232"/>
      <c r="D414" s="194"/>
      <c r="E414" s="194"/>
      <c r="F414" s="194"/>
      <c r="G414" s="194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</row>
    <row r="415" customFormat="false" ht="15.75" hidden="false" customHeight="false" outlineLevel="0" collapsed="false">
      <c r="A415" s="194"/>
      <c r="B415" s="194"/>
      <c r="C415" s="232"/>
      <c r="D415" s="194"/>
      <c r="E415" s="194"/>
      <c r="F415" s="194"/>
      <c r="G415" s="194"/>
      <c r="H415" s="194"/>
      <c r="I415" s="194"/>
      <c r="J415" s="194"/>
      <c r="K415" s="194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</row>
    <row r="416" customFormat="false" ht="15.75" hidden="false" customHeight="false" outlineLevel="0" collapsed="false">
      <c r="A416" s="194"/>
      <c r="B416" s="194"/>
      <c r="C416" s="232"/>
      <c r="D416" s="194"/>
      <c r="E416" s="194"/>
      <c r="F416" s="194"/>
      <c r="G416" s="194"/>
      <c r="H416" s="194"/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</row>
    <row r="417" customFormat="false" ht="15.75" hidden="false" customHeight="false" outlineLevel="0" collapsed="false">
      <c r="A417" s="194"/>
      <c r="B417" s="194"/>
      <c r="C417" s="232"/>
      <c r="D417" s="194"/>
      <c r="E417" s="194"/>
      <c r="F417" s="194"/>
      <c r="G417" s="194"/>
      <c r="H417" s="194"/>
      <c r="I417" s="194"/>
      <c r="J417" s="194"/>
      <c r="K417" s="194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</row>
    <row r="418" customFormat="false" ht="15.75" hidden="false" customHeight="false" outlineLevel="0" collapsed="false">
      <c r="A418" s="194"/>
      <c r="B418" s="194"/>
      <c r="C418" s="232"/>
      <c r="D418" s="194"/>
      <c r="E418" s="194"/>
      <c r="F418" s="194"/>
      <c r="G418" s="194"/>
      <c r="H418" s="194"/>
      <c r="I418" s="194"/>
      <c r="J418" s="194"/>
      <c r="K418" s="194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</row>
    <row r="419" customFormat="false" ht="15.75" hidden="false" customHeight="false" outlineLevel="0" collapsed="false">
      <c r="A419" s="194"/>
      <c r="B419" s="194"/>
      <c r="C419" s="232"/>
      <c r="D419" s="194"/>
      <c r="E419" s="194"/>
      <c r="F419" s="194"/>
      <c r="G419" s="194"/>
      <c r="H419" s="194"/>
      <c r="I419" s="194"/>
      <c r="J419" s="194"/>
      <c r="K419" s="194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</row>
    <row r="420" customFormat="false" ht="15.75" hidden="false" customHeight="false" outlineLevel="0" collapsed="false">
      <c r="A420" s="194"/>
      <c r="B420" s="194"/>
      <c r="C420" s="232"/>
      <c r="D420" s="194"/>
      <c r="E420" s="194"/>
      <c r="F420" s="194"/>
      <c r="G420" s="194"/>
      <c r="H420" s="194"/>
      <c r="I420" s="194"/>
      <c r="J420" s="194"/>
      <c r="K420" s="194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</row>
    <row r="421" customFormat="false" ht="15.75" hidden="false" customHeight="false" outlineLevel="0" collapsed="false">
      <c r="A421" s="194"/>
      <c r="B421" s="194"/>
      <c r="C421" s="232"/>
      <c r="D421" s="194"/>
      <c r="E421" s="194"/>
      <c r="F421" s="194"/>
      <c r="G421" s="194"/>
      <c r="H421" s="194"/>
      <c r="I421" s="194"/>
      <c r="J421" s="194"/>
      <c r="K421" s="194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</row>
    <row r="422" customFormat="false" ht="15.75" hidden="false" customHeight="false" outlineLevel="0" collapsed="false">
      <c r="A422" s="194"/>
      <c r="B422" s="194"/>
      <c r="C422" s="232"/>
      <c r="D422" s="194"/>
      <c r="E422" s="194"/>
      <c r="F422" s="194"/>
      <c r="G422" s="194"/>
      <c r="H422" s="194"/>
      <c r="I422" s="194"/>
      <c r="J422" s="194"/>
      <c r="K422" s="194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</row>
    <row r="423" customFormat="false" ht="15.75" hidden="false" customHeight="false" outlineLevel="0" collapsed="false">
      <c r="A423" s="194"/>
      <c r="B423" s="194"/>
      <c r="C423" s="232"/>
      <c r="D423" s="194"/>
      <c r="E423" s="194"/>
      <c r="F423" s="194"/>
      <c r="G423" s="194"/>
      <c r="H423" s="194"/>
      <c r="I423" s="194"/>
      <c r="J423" s="194"/>
      <c r="K423" s="194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</row>
    <row r="424" customFormat="false" ht="15.75" hidden="false" customHeight="false" outlineLevel="0" collapsed="false">
      <c r="A424" s="194"/>
      <c r="B424" s="194"/>
      <c r="C424" s="232"/>
      <c r="D424" s="194"/>
      <c r="E424" s="194"/>
      <c r="F424" s="194"/>
      <c r="G424" s="194"/>
      <c r="H424" s="194"/>
      <c r="I424" s="194"/>
      <c r="J424" s="194"/>
      <c r="K424" s="194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</row>
    <row r="425" customFormat="false" ht="15.75" hidden="false" customHeight="false" outlineLevel="0" collapsed="false">
      <c r="A425" s="194"/>
      <c r="B425" s="194"/>
      <c r="C425" s="232"/>
      <c r="D425" s="194"/>
      <c r="E425" s="194"/>
      <c r="F425" s="194"/>
      <c r="G425" s="194"/>
      <c r="H425" s="194"/>
      <c r="I425" s="194"/>
      <c r="J425" s="194"/>
      <c r="K425" s="194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</row>
    <row r="426" customFormat="false" ht="15.75" hidden="false" customHeight="false" outlineLevel="0" collapsed="false">
      <c r="A426" s="194"/>
      <c r="B426" s="194"/>
      <c r="C426" s="232"/>
      <c r="D426" s="194"/>
      <c r="E426" s="194"/>
      <c r="F426" s="194"/>
      <c r="G426" s="194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</row>
    <row r="427" customFormat="false" ht="15.75" hidden="false" customHeight="false" outlineLevel="0" collapsed="false">
      <c r="A427" s="194"/>
      <c r="B427" s="194"/>
      <c r="C427" s="232"/>
      <c r="D427" s="194"/>
      <c r="E427" s="194"/>
      <c r="F427" s="194"/>
      <c r="G427" s="194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</row>
    <row r="428" customFormat="false" ht="15.75" hidden="false" customHeight="false" outlineLevel="0" collapsed="false">
      <c r="A428" s="194"/>
      <c r="B428" s="194"/>
      <c r="C428" s="232"/>
      <c r="D428" s="194"/>
      <c r="E428" s="194"/>
      <c r="F428" s="194"/>
      <c r="G428" s="194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</row>
    <row r="429" customFormat="false" ht="15.75" hidden="false" customHeight="false" outlineLevel="0" collapsed="false">
      <c r="A429" s="194"/>
      <c r="B429" s="194"/>
      <c r="C429" s="232"/>
      <c r="D429" s="194"/>
      <c r="E429" s="194"/>
      <c r="F429" s="194"/>
      <c r="G429" s="194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</row>
    <row r="430" customFormat="false" ht="15.75" hidden="false" customHeight="false" outlineLevel="0" collapsed="false">
      <c r="A430" s="194"/>
      <c r="B430" s="194"/>
      <c r="C430" s="232"/>
      <c r="D430" s="194"/>
      <c r="E430" s="194"/>
      <c r="F430" s="194"/>
      <c r="G430" s="194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</row>
    <row r="431" customFormat="false" ht="15.75" hidden="false" customHeight="false" outlineLevel="0" collapsed="false">
      <c r="A431" s="194"/>
      <c r="B431" s="194"/>
      <c r="C431" s="232"/>
      <c r="D431" s="194"/>
      <c r="E431" s="194"/>
      <c r="F431" s="194"/>
      <c r="G431" s="194"/>
      <c r="H431" s="194"/>
      <c r="I431" s="194"/>
      <c r="J431" s="194"/>
      <c r="K431" s="194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</row>
    <row r="432" customFormat="false" ht="15.75" hidden="false" customHeight="false" outlineLevel="0" collapsed="false">
      <c r="A432" s="194"/>
      <c r="B432" s="194"/>
      <c r="C432" s="232"/>
      <c r="D432" s="194"/>
      <c r="E432" s="194"/>
      <c r="F432" s="194"/>
      <c r="G432" s="194"/>
      <c r="H432" s="194"/>
      <c r="I432" s="194"/>
      <c r="J432" s="194"/>
      <c r="K432" s="194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</row>
    <row r="433" customFormat="false" ht="15.75" hidden="false" customHeight="false" outlineLevel="0" collapsed="false">
      <c r="A433" s="194"/>
      <c r="B433" s="194"/>
      <c r="C433" s="232"/>
      <c r="D433" s="194"/>
      <c r="E433" s="194"/>
      <c r="F433" s="194"/>
      <c r="G433" s="194"/>
      <c r="H433" s="194"/>
      <c r="I433" s="194"/>
      <c r="J433" s="194"/>
      <c r="K433" s="194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</row>
    <row r="434" customFormat="false" ht="15.75" hidden="false" customHeight="false" outlineLevel="0" collapsed="false">
      <c r="A434" s="194"/>
      <c r="B434" s="194"/>
      <c r="C434" s="232"/>
      <c r="D434" s="194"/>
      <c r="E434" s="194"/>
      <c r="F434" s="194"/>
      <c r="G434" s="194"/>
      <c r="H434" s="194"/>
      <c r="I434" s="194"/>
      <c r="J434" s="194"/>
      <c r="K434" s="194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</row>
    <row r="435" customFormat="false" ht="15.75" hidden="false" customHeight="false" outlineLevel="0" collapsed="false">
      <c r="A435" s="194"/>
      <c r="B435" s="194"/>
      <c r="C435" s="232"/>
      <c r="D435" s="194"/>
      <c r="E435" s="194"/>
      <c r="F435" s="194"/>
      <c r="G435" s="194"/>
      <c r="H435" s="194"/>
      <c r="I435" s="194"/>
      <c r="J435" s="194"/>
      <c r="K435" s="194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</row>
    <row r="436" customFormat="false" ht="15.75" hidden="false" customHeight="false" outlineLevel="0" collapsed="false">
      <c r="A436" s="194"/>
      <c r="B436" s="194"/>
      <c r="C436" s="232"/>
      <c r="D436" s="194"/>
      <c r="E436" s="194"/>
      <c r="F436" s="194"/>
      <c r="G436" s="194"/>
      <c r="H436" s="194"/>
      <c r="I436" s="194"/>
      <c r="J436" s="194"/>
      <c r="K436" s="194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</row>
    <row r="437" customFormat="false" ht="15.75" hidden="false" customHeight="false" outlineLevel="0" collapsed="false">
      <c r="A437" s="194"/>
      <c r="B437" s="194"/>
      <c r="C437" s="232"/>
      <c r="D437" s="194"/>
      <c r="E437" s="194"/>
      <c r="F437" s="194"/>
      <c r="G437" s="194"/>
      <c r="H437" s="194"/>
      <c r="I437" s="194"/>
      <c r="J437" s="194"/>
      <c r="K437" s="194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</row>
    <row r="438" customFormat="false" ht="15.75" hidden="false" customHeight="false" outlineLevel="0" collapsed="false">
      <c r="A438" s="194"/>
      <c r="B438" s="194"/>
      <c r="C438" s="232"/>
      <c r="D438" s="194"/>
      <c r="E438" s="194"/>
      <c r="F438" s="194"/>
      <c r="G438" s="194"/>
      <c r="H438" s="194"/>
      <c r="I438" s="194"/>
      <c r="J438" s="194"/>
      <c r="K438" s="194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</row>
    <row r="439" customFormat="false" ht="15.75" hidden="false" customHeight="false" outlineLevel="0" collapsed="false">
      <c r="A439" s="194"/>
      <c r="B439" s="194"/>
      <c r="C439" s="232"/>
      <c r="D439" s="194"/>
      <c r="E439" s="194"/>
      <c r="F439" s="194"/>
      <c r="G439" s="194"/>
      <c r="H439" s="194"/>
      <c r="I439" s="194"/>
      <c r="J439" s="194"/>
      <c r="K439" s="194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</row>
    <row r="440" customFormat="false" ht="15.75" hidden="false" customHeight="false" outlineLevel="0" collapsed="false">
      <c r="A440" s="194"/>
      <c r="B440" s="194"/>
      <c r="C440" s="232"/>
      <c r="D440" s="194"/>
      <c r="E440" s="194"/>
      <c r="F440" s="194"/>
      <c r="G440" s="194"/>
      <c r="H440" s="194"/>
      <c r="I440" s="194"/>
      <c r="J440" s="194"/>
      <c r="K440" s="194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</row>
    <row r="441" customFormat="false" ht="15.75" hidden="false" customHeight="false" outlineLevel="0" collapsed="false">
      <c r="A441" s="194"/>
      <c r="B441" s="194"/>
      <c r="C441" s="232"/>
      <c r="D441" s="194"/>
      <c r="E441" s="194"/>
      <c r="F441" s="194"/>
      <c r="G441" s="194"/>
      <c r="H441" s="194"/>
      <c r="I441" s="194"/>
      <c r="J441" s="194"/>
      <c r="K441" s="194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</row>
    <row r="442" customFormat="false" ht="15.75" hidden="false" customHeight="false" outlineLevel="0" collapsed="false">
      <c r="A442" s="194"/>
      <c r="B442" s="194"/>
      <c r="C442" s="232"/>
      <c r="D442" s="194"/>
      <c r="E442" s="194"/>
      <c r="F442" s="194"/>
      <c r="G442" s="194"/>
      <c r="H442" s="194"/>
      <c r="I442" s="194"/>
      <c r="J442" s="194"/>
      <c r="K442" s="194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</row>
    <row r="443" customFormat="false" ht="15.75" hidden="false" customHeight="false" outlineLevel="0" collapsed="false">
      <c r="A443" s="194"/>
      <c r="B443" s="194"/>
      <c r="C443" s="232"/>
      <c r="D443" s="194"/>
      <c r="E443" s="194"/>
      <c r="F443" s="194"/>
      <c r="G443" s="194"/>
      <c r="H443" s="194"/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</row>
    <row r="444" customFormat="false" ht="15.75" hidden="false" customHeight="false" outlineLevel="0" collapsed="false">
      <c r="A444" s="194"/>
      <c r="B444" s="194"/>
      <c r="C444" s="232"/>
      <c r="D444" s="194"/>
      <c r="E444" s="194"/>
      <c r="F444" s="194"/>
      <c r="G444" s="194"/>
      <c r="H444" s="194"/>
      <c r="I444" s="194"/>
      <c r="J444" s="194"/>
      <c r="K444" s="194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</row>
    <row r="445" customFormat="false" ht="15.75" hidden="false" customHeight="false" outlineLevel="0" collapsed="false">
      <c r="A445" s="194"/>
      <c r="B445" s="194"/>
      <c r="C445" s="232"/>
      <c r="D445" s="194"/>
      <c r="E445" s="194"/>
      <c r="F445" s="194"/>
      <c r="G445" s="194"/>
      <c r="H445" s="194"/>
      <c r="I445" s="194"/>
      <c r="J445" s="194"/>
      <c r="K445" s="194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</row>
    <row r="446" customFormat="false" ht="15.75" hidden="false" customHeight="false" outlineLevel="0" collapsed="false">
      <c r="A446" s="194"/>
      <c r="B446" s="194"/>
      <c r="C446" s="232"/>
      <c r="D446" s="194"/>
      <c r="E446" s="194"/>
      <c r="F446" s="194"/>
      <c r="G446" s="194"/>
      <c r="H446" s="194"/>
      <c r="I446" s="194"/>
      <c r="J446" s="194"/>
      <c r="K446" s="194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</row>
    <row r="447" customFormat="false" ht="15.75" hidden="false" customHeight="false" outlineLevel="0" collapsed="false">
      <c r="A447" s="194"/>
      <c r="B447" s="194"/>
      <c r="C447" s="232"/>
      <c r="D447" s="194"/>
      <c r="E447" s="194"/>
      <c r="F447" s="194"/>
      <c r="G447" s="194"/>
      <c r="H447" s="194"/>
      <c r="I447" s="194"/>
      <c r="J447" s="194"/>
      <c r="K447" s="194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</row>
    <row r="448" customFormat="false" ht="15.75" hidden="false" customHeight="false" outlineLevel="0" collapsed="false">
      <c r="A448" s="194"/>
      <c r="B448" s="194"/>
      <c r="C448" s="232"/>
      <c r="D448" s="194"/>
      <c r="E448" s="194"/>
      <c r="F448" s="194"/>
      <c r="G448" s="194"/>
      <c r="H448" s="194"/>
      <c r="I448" s="194"/>
      <c r="J448" s="194"/>
      <c r="K448" s="194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</row>
    <row r="449" customFormat="false" ht="15.75" hidden="false" customHeight="false" outlineLevel="0" collapsed="false">
      <c r="A449" s="194"/>
      <c r="B449" s="194"/>
      <c r="C449" s="232"/>
      <c r="D449" s="194"/>
      <c r="E449" s="194"/>
      <c r="F449" s="194"/>
      <c r="G449" s="194"/>
      <c r="H449" s="194"/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</row>
    <row r="450" customFormat="false" ht="15.75" hidden="false" customHeight="false" outlineLevel="0" collapsed="false">
      <c r="A450" s="194"/>
      <c r="B450" s="194"/>
      <c r="C450" s="232"/>
      <c r="D450" s="194"/>
      <c r="E450" s="194"/>
      <c r="F450" s="194"/>
      <c r="G450" s="194"/>
      <c r="H450" s="194"/>
      <c r="I450" s="194"/>
      <c r="J450" s="194"/>
      <c r="K450" s="194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</row>
    <row r="451" customFormat="false" ht="15.75" hidden="false" customHeight="false" outlineLevel="0" collapsed="false">
      <c r="A451" s="194"/>
      <c r="B451" s="194"/>
      <c r="C451" s="232"/>
      <c r="D451" s="194"/>
      <c r="E451" s="194"/>
      <c r="F451" s="194"/>
      <c r="G451" s="194"/>
      <c r="H451" s="194"/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</row>
    <row r="452" customFormat="false" ht="15.75" hidden="false" customHeight="false" outlineLevel="0" collapsed="false">
      <c r="A452" s="194"/>
      <c r="B452" s="194"/>
      <c r="C452" s="232"/>
      <c r="D452" s="194"/>
      <c r="E452" s="194"/>
      <c r="F452" s="194"/>
      <c r="G452" s="194"/>
      <c r="H452" s="194"/>
      <c r="I452" s="194"/>
      <c r="J452" s="194"/>
      <c r="K452" s="194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</row>
    <row r="453" customFormat="false" ht="15.75" hidden="false" customHeight="false" outlineLevel="0" collapsed="false">
      <c r="A453" s="194"/>
      <c r="B453" s="194"/>
      <c r="C453" s="232"/>
      <c r="D453" s="194"/>
      <c r="E453" s="194"/>
      <c r="F453" s="194"/>
      <c r="G453" s="194"/>
      <c r="H453" s="194"/>
      <c r="I453" s="194"/>
      <c r="J453" s="194"/>
      <c r="K453" s="194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</row>
    <row r="454" customFormat="false" ht="15.75" hidden="false" customHeight="false" outlineLevel="0" collapsed="false">
      <c r="A454" s="194"/>
      <c r="B454" s="194"/>
      <c r="C454" s="232"/>
      <c r="D454" s="194"/>
      <c r="E454" s="194"/>
      <c r="F454" s="194"/>
      <c r="G454" s="194"/>
      <c r="H454" s="194"/>
      <c r="I454" s="194"/>
      <c r="J454" s="194"/>
      <c r="K454" s="194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</row>
    <row r="455" customFormat="false" ht="15.75" hidden="false" customHeight="false" outlineLevel="0" collapsed="false">
      <c r="A455" s="194"/>
      <c r="B455" s="194"/>
      <c r="C455" s="232"/>
      <c r="D455" s="194"/>
      <c r="E455" s="194"/>
      <c r="F455" s="194"/>
      <c r="G455" s="194"/>
      <c r="H455" s="194"/>
      <c r="I455" s="194"/>
      <c r="J455" s="194"/>
      <c r="K455" s="194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</row>
    <row r="456" customFormat="false" ht="15.75" hidden="false" customHeight="false" outlineLevel="0" collapsed="false">
      <c r="A456" s="194"/>
      <c r="B456" s="194"/>
      <c r="C456" s="232"/>
      <c r="D456" s="194"/>
      <c r="E456" s="194"/>
      <c r="F456" s="194"/>
      <c r="G456" s="194"/>
      <c r="H456" s="194"/>
      <c r="I456" s="194"/>
      <c r="J456" s="194"/>
      <c r="K456" s="194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</row>
    <row r="457" customFormat="false" ht="15.75" hidden="false" customHeight="false" outlineLevel="0" collapsed="false">
      <c r="A457" s="194"/>
      <c r="B457" s="194"/>
      <c r="C457" s="232"/>
      <c r="D457" s="194"/>
      <c r="E457" s="194"/>
      <c r="F457" s="194"/>
      <c r="G457" s="194"/>
      <c r="H457" s="194"/>
      <c r="I457" s="194"/>
      <c r="J457" s="194"/>
      <c r="K457" s="194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</row>
    <row r="458" customFormat="false" ht="15.75" hidden="false" customHeight="false" outlineLevel="0" collapsed="false">
      <c r="A458" s="194"/>
      <c r="B458" s="194"/>
      <c r="C458" s="232"/>
      <c r="D458" s="194"/>
      <c r="E458" s="194"/>
      <c r="F458" s="194"/>
      <c r="G458" s="194"/>
      <c r="H458" s="194"/>
      <c r="I458" s="194"/>
      <c r="J458" s="194"/>
      <c r="K458" s="194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</row>
    <row r="459" customFormat="false" ht="15.75" hidden="false" customHeight="false" outlineLevel="0" collapsed="false">
      <c r="A459" s="194"/>
      <c r="B459" s="194"/>
      <c r="C459" s="232"/>
      <c r="D459" s="194"/>
      <c r="E459" s="194"/>
      <c r="F459" s="194"/>
      <c r="G459" s="194"/>
      <c r="H459" s="194"/>
      <c r="I459" s="194"/>
      <c r="J459" s="194"/>
      <c r="K459" s="194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</row>
    <row r="460" customFormat="false" ht="15.75" hidden="false" customHeight="false" outlineLevel="0" collapsed="false">
      <c r="A460" s="194"/>
      <c r="B460" s="194"/>
      <c r="C460" s="232"/>
      <c r="D460" s="194"/>
      <c r="E460" s="194"/>
      <c r="F460" s="194"/>
      <c r="G460" s="194"/>
      <c r="H460" s="194"/>
      <c r="I460" s="194"/>
      <c r="J460" s="194"/>
      <c r="K460" s="194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</row>
    <row r="461" customFormat="false" ht="15.75" hidden="false" customHeight="false" outlineLevel="0" collapsed="false">
      <c r="A461" s="194"/>
      <c r="B461" s="194"/>
      <c r="C461" s="232"/>
      <c r="D461" s="194"/>
      <c r="E461" s="194"/>
      <c r="F461" s="194"/>
      <c r="G461" s="194"/>
      <c r="H461" s="194"/>
      <c r="I461" s="194"/>
      <c r="J461" s="194"/>
      <c r="K461" s="194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</row>
    <row r="462" customFormat="false" ht="15.75" hidden="false" customHeight="false" outlineLevel="0" collapsed="false">
      <c r="A462" s="194"/>
      <c r="B462" s="194"/>
      <c r="C462" s="232"/>
      <c r="D462" s="194"/>
      <c r="E462" s="194"/>
      <c r="F462" s="194"/>
      <c r="G462" s="194"/>
      <c r="H462" s="194"/>
      <c r="I462" s="194"/>
      <c r="J462" s="194"/>
      <c r="K462" s="194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</row>
    <row r="463" customFormat="false" ht="15.75" hidden="false" customHeight="false" outlineLevel="0" collapsed="false">
      <c r="A463" s="194"/>
      <c r="B463" s="194"/>
      <c r="C463" s="232"/>
      <c r="D463" s="194"/>
      <c r="E463" s="194"/>
      <c r="F463" s="194"/>
      <c r="G463" s="194"/>
      <c r="H463" s="194"/>
      <c r="I463" s="194"/>
      <c r="J463" s="194"/>
      <c r="K463" s="194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</row>
    <row r="464" customFormat="false" ht="15.75" hidden="false" customHeight="false" outlineLevel="0" collapsed="false">
      <c r="A464" s="194"/>
      <c r="B464" s="194"/>
      <c r="C464" s="232"/>
      <c r="D464" s="194"/>
      <c r="E464" s="194"/>
      <c r="F464" s="194"/>
      <c r="G464" s="194"/>
      <c r="H464" s="194"/>
      <c r="I464" s="194"/>
      <c r="J464" s="194"/>
      <c r="K464" s="194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</row>
    <row r="465" customFormat="false" ht="15.75" hidden="false" customHeight="false" outlineLevel="0" collapsed="false">
      <c r="A465" s="194"/>
      <c r="B465" s="194"/>
      <c r="C465" s="232"/>
      <c r="D465" s="194"/>
      <c r="E465" s="194"/>
      <c r="F465" s="194"/>
      <c r="G465" s="194"/>
      <c r="H465" s="194"/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</row>
    <row r="466" customFormat="false" ht="15.75" hidden="false" customHeight="false" outlineLevel="0" collapsed="false">
      <c r="A466" s="194"/>
      <c r="B466" s="194"/>
      <c r="C466" s="232"/>
      <c r="D466" s="194"/>
      <c r="E466" s="194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</row>
    <row r="467" customFormat="false" ht="15.75" hidden="false" customHeight="false" outlineLevel="0" collapsed="false">
      <c r="A467" s="194"/>
      <c r="B467" s="194"/>
      <c r="C467" s="232"/>
      <c r="D467" s="194"/>
      <c r="E467" s="194"/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</row>
    <row r="468" customFormat="false" ht="15.75" hidden="false" customHeight="false" outlineLevel="0" collapsed="false">
      <c r="A468" s="194"/>
      <c r="B468" s="194"/>
      <c r="C468" s="232"/>
      <c r="D468" s="194"/>
      <c r="E468" s="194"/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</row>
    <row r="469" customFormat="false" ht="15.75" hidden="false" customHeight="false" outlineLevel="0" collapsed="false">
      <c r="A469" s="194"/>
      <c r="B469" s="194"/>
      <c r="C469" s="232"/>
      <c r="D469" s="194"/>
      <c r="E469" s="194"/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</row>
    <row r="470" customFormat="false" ht="15.75" hidden="false" customHeight="false" outlineLevel="0" collapsed="false">
      <c r="A470" s="194"/>
      <c r="B470" s="194"/>
      <c r="C470" s="232"/>
      <c r="D470" s="194"/>
      <c r="E470" s="194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</row>
    <row r="471" customFormat="false" ht="15.75" hidden="false" customHeight="false" outlineLevel="0" collapsed="false">
      <c r="A471" s="194"/>
      <c r="B471" s="194"/>
      <c r="C471" s="232"/>
      <c r="D471" s="194"/>
      <c r="E471" s="194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</row>
    <row r="472" customFormat="false" ht="15.75" hidden="false" customHeight="false" outlineLevel="0" collapsed="false">
      <c r="A472" s="194"/>
      <c r="B472" s="194"/>
      <c r="C472" s="232"/>
      <c r="D472" s="194"/>
      <c r="E472" s="194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</row>
    <row r="473" customFormat="false" ht="15.75" hidden="false" customHeight="false" outlineLevel="0" collapsed="false">
      <c r="A473" s="194"/>
      <c r="B473" s="194"/>
      <c r="C473" s="232"/>
      <c r="D473" s="194"/>
      <c r="E473" s="194"/>
      <c r="F473" s="194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</row>
    <row r="474" customFormat="false" ht="15.75" hidden="false" customHeight="false" outlineLevel="0" collapsed="false">
      <c r="A474" s="194"/>
      <c r="B474" s="194"/>
      <c r="C474" s="232"/>
      <c r="D474" s="194"/>
      <c r="E474" s="194"/>
      <c r="F474" s="194"/>
      <c r="G474" s="194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</row>
    <row r="475" customFormat="false" ht="15.75" hidden="false" customHeight="false" outlineLevel="0" collapsed="false">
      <c r="A475" s="194"/>
      <c r="B475" s="194"/>
      <c r="C475" s="232"/>
      <c r="D475" s="194"/>
      <c r="E475" s="194"/>
      <c r="F475" s="194"/>
      <c r="G475" s="194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</row>
    <row r="476" customFormat="false" ht="15.75" hidden="false" customHeight="false" outlineLevel="0" collapsed="false">
      <c r="A476" s="194"/>
      <c r="B476" s="194"/>
      <c r="C476" s="232"/>
      <c r="D476" s="194"/>
      <c r="E476" s="194"/>
      <c r="F476" s="194"/>
      <c r="G476" s="194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</row>
    <row r="477" customFormat="false" ht="15.75" hidden="false" customHeight="false" outlineLevel="0" collapsed="false">
      <c r="A477" s="194"/>
      <c r="B477" s="194"/>
      <c r="C477" s="232"/>
      <c r="D477" s="194"/>
      <c r="E477" s="194"/>
      <c r="F477" s="194"/>
      <c r="G477" s="194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</row>
    <row r="478" customFormat="false" ht="15.75" hidden="false" customHeight="false" outlineLevel="0" collapsed="false">
      <c r="A478" s="194"/>
      <c r="B478" s="194"/>
      <c r="C478" s="232"/>
      <c r="D478" s="194"/>
      <c r="E478" s="194"/>
      <c r="F478" s="194"/>
      <c r="G478" s="194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</row>
    <row r="479" customFormat="false" ht="15.75" hidden="false" customHeight="false" outlineLevel="0" collapsed="false">
      <c r="A479" s="194"/>
      <c r="B479" s="194"/>
      <c r="C479" s="232"/>
      <c r="D479" s="194"/>
      <c r="E479" s="194"/>
      <c r="F479" s="194"/>
      <c r="G479" s="194"/>
      <c r="H479" s="194"/>
      <c r="I479" s="194"/>
      <c r="J479" s="194"/>
      <c r="K479" s="194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</row>
    <row r="480" customFormat="false" ht="15.75" hidden="false" customHeight="false" outlineLevel="0" collapsed="false">
      <c r="A480" s="194"/>
      <c r="B480" s="194"/>
      <c r="C480" s="232"/>
      <c r="D480" s="194"/>
      <c r="E480" s="194"/>
      <c r="F480" s="194"/>
      <c r="G480" s="194"/>
      <c r="H480" s="194"/>
      <c r="I480" s="194"/>
      <c r="J480" s="194"/>
      <c r="K480" s="194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</row>
    <row r="481" customFormat="false" ht="15.75" hidden="false" customHeight="false" outlineLevel="0" collapsed="false">
      <c r="A481" s="194"/>
      <c r="B481" s="194"/>
      <c r="C481" s="232"/>
      <c r="D481" s="194"/>
      <c r="E481" s="194"/>
      <c r="F481" s="194"/>
      <c r="G481" s="194"/>
      <c r="H481" s="194"/>
      <c r="I481" s="194"/>
      <c r="J481" s="194"/>
      <c r="K481" s="194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</row>
    <row r="482" customFormat="false" ht="15.75" hidden="false" customHeight="false" outlineLevel="0" collapsed="false">
      <c r="A482" s="194"/>
      <c r="B482" s="194"/>
      <c r="C482" s="232"/>
      <c r="D482" s="194"/>
      <c r="E482" s="194"/>
      <c r="F482" s="194"/>
      <c r="G482" s="194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</row>
    <row r="483" customFormat="false" ht="15.75" hidden="false" customHeight="false" outlineLevel="0" collapsed="false">
      <c r="A483" s="194"/>
      <c r="B483" s="194"/>
      <c r="C483" s="232"/>
      <c r="D483" s="194"/>
      <c r="E483" s="194"/>
      <c r="F483" s="194"/>
      <c r="G483" s="194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</row>
    <row r="484" customFormat="false" ht="15.75" hidden="false" customHeight="false" outlineLevel="0" collapsed="false">
      <c r="A484" s="194"/>
      <c r="B484" s="194"/>
      <c r="C484" s="232"/>
      <c r="D484" s="194"/>
      <c r="E484" s="194"/>
      <c r="F484" s="194"/>
      <c r="G484" s="194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</row>
    <row r="485" customFormat="false" ht="15.75" hidden="false" customHeight="false" outlineLevel="0" collapsed="false">
      <c r="A485" s="194"/>
      <c r="B485" s="194"/>
      <c r="C485" s="232"/>
      <c r="D485" s="194"/>
      <c r="E485" s="194"/>
      <c r="F485" s="194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</row>
    <row r="486" customFormat="false" ht="15.75" hidden="false" customHeight="false" outlineLevel="0" collapsed="false">
      <c r="A486" s="194"/>
      <c r="B486" s="194"/>
      <c r="C486" s="232"/>
      <c r="D486" s="194"/>
      <c r="E486" s="194"/>
      <c r="F486" s="194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</row>
    <row r="487" customFormat="false" ht="15.75" hidden="false" customHeight="false" outlineLevel="0" collapsed="false">
      <c r="A487" s="194"/>
      <c r="B487" s="194"/>
      <c r="C487" s="232"/>
      <c r="D487" s="194"/>
      <c r="E487" s="194"/>
      <c r="F487" s="194"/>
      <c r="G487" s="194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</row>
    <row r="488" customFormat="false" ht="15.75" hidden="false" customHeight="false" outlineLevel="0" collapsed="false">
      <c r="A488" s="194"/>
      <c r="B488" s="194"/>
      <c r="C488" s="232"/>
      <c r="D488" s="194"/>
      <c r="E488" s="194"/>
      <c r="F488" s="194"/>
      <c r="G488" s="194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</row>
    <row r="489" customFormat="false" ht="15.75" hidden="false" customHeight="false" outlineLevel="0" collapsed="false">
      <c r="A489" s="194"/>
      <c r="B489" s="194"/>
      <c r="C489" s="232"/>
      <c r="D489" s="194"/>
      <c r="E489" s="194"/>
      <c r="F489" s="194"/>
      <c r="G489" s="194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</row>
    <row r="490" customFormat="false" ht="15.75" hidden="false" customHeight="false" outlineLevel="0" collapsed="false">
      <c r="A490" s="194"/>
      <c r="B490" s="194"/>
      <c r="C490" s="232"/>
      <c r="D490" s="194"/>
      <c r="E490" s="194"/>
      <c r="F490" s="194"/>
      <c r="G490" s="194"/>
      <c r="H490" s="194"/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</row>
    <row r="491" customFormat="false" ht="15.75" hidden="false" customHeight="false" outlineLevel="0" collapsed="false">
      <c r="A491" s="194"/>
      <c r="B491" s="194"/>
      <c r="C491" s="232"/>
      <c r="D491" s="194"/>
      <c r="E491" s="194"/>
      <c r="F491" s="194"/>
      <c r="G491" s="194"/>
      <c r="H491" s="194"/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</row>
    <row r="492" customFormat="false" ht="15.75" hidden="false" customHeight="false" outlineLevel="0" collapsed="false">
      <c r="A492" s="194"/>
      <c r="B492" s="194"/>
      <c r="C492" s="232"/>
      <c r="D492" s="194"/>
      <c r="E492" s="194"/>
      <c r="F492" s="194"/>
      <c r="G492" s="194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</row>
    <row r="493" customFormat="false" ht="15.75" hidden="false" customHeight="false" outlineLevel="0" collapsed="false">
      <c r="A493" s="194"/>
      <c r="B493" s="194"/>
      <c r="C493" s="232"/>
      <c r="D493" s="194"/>
      <c r="E493" s="194"/>
      <c r="F493" s="194"/>
      <c r="G493" s="194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</row>
    <row r="494" customFormat="false" ht="15.75" hidden="false" customHeight="false" outlineLevel="0" collapsed="false">
      <c r="A494" s="194"/>
      <c r="B494" s="194"/>
      <c r="C494" s="232"/>
      <c r="D494" s="194"/>
      <c r="E494" s="194"/>
      <c r="F494" s="194"/>
      <c r="G494" s="194"/>
      <c r="H494" s="194"/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</row>
    <row r="495" customFormat="false" ht="15.75" hidden="false" customHeight="false" outlineLevel="0" collapsed="false">
      <c r="A495" s="194"/>
      <c r="B495" s="194"/>
      <c r="C495" s="232"/>
      <c r="D495" s="194"/>
      <c r="E495" s="194"/>
      <c r="F495" s="194"/>
      <c r="G495" s="194"/>
      <c r="H495" s="194"/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</row>
    <row r="496" customFormat="false" ht="15.75" hidden="false" customHeight="false" outlineLevel="0" collapsed="false">
      <c r="A496" s="194"/>
      <c r="B496" s="194"/>
      <c r="C496" s="232"/>
      <c r="D496" s="194"/>
      <c r="E496" s="194"/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</row>
    <row r="497" customFormat="false" ht="15.75" hidden="false" customHeight="false" outlineLevel="0" collapsed="false">
      <c r="A497" s="194"/>
      <c r="B497" s="194"/>
      <c r="C497" s="232"/>
      <c r="D497" s="194"/>
      <c r="E497" s="194"/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</row>
    <row r="498" customFormat="false" ht="15.75" hidden="false" customHeight="false" outlineLevel="0" collapsed="false">
      <c r="A498" s="194"/>
      <c r="B498" s="194"/>
      <c r="C498" s="232"/>
      <c r="D498" s="194"/>
      <c r="E498" s="194"/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</row>
    <row r="499" customFormat="false" ht="15.75" hidden="false" customHeight="false" outlineLevel="0" collapsed="false">
      <c r="A499" s="194"/>
      <c r="B499" s="194"/>
      <c r="C499" s="232"/>
      <c r="D499" s="194"/>
      <c r="E499" s="194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</row>
    <row r="500" customFormat="false" ht="15.75" hidden="false" customHeight="false" outlineLevel="0" collapsed="false">
      <c r="A500" s="194"/>
      <c r="B500" s="194"/>
      <c r="C500" s="232"/>
      <c r="D500" s="194"/>
      <c r="E500" s="194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</row>
    <row r="501" customFormat="false" ht="15.75" hidden="false" customHeight="false" outlineLevel="0" collapsed="false">
      <c r="A501" s="194"/>
      <c r="B501" s="194"/>
      <c r="C501" s="232"/>
      <c r="D501" s="194"/>
      <c r="E501" s="194"/>
      <c r="F501" s="194"/>
      <c r="G501" s="194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</row>
    <row r="502" customFormat="false" ht="15.75" hidden="false" customHeight="false" outlineLevel="0" collapsed="false">
      <c r="A502" s="194"/>
      <c r="B502" s="194"/>
      <c r="C502" s="232"/>
      <c r="D502" s="194"/>
      <c r="E502" s="194"/>
      <c r="F502" s="194"/>
      <c r="G502" s="194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</row>
    <row r="503" customFormat="false" ht="15.75" hidden="false" customHeight="false" outlineLevel="0" collapsed="false">
      <c r="A503" s="194"/>
      <c r="B503" s="194"/>
      <c r="C503" s="232"/>
      <c r="D503" s="194"/>
      <c r="E503" s="194"/>
      <c r="F503" s="194"/>
      <c r="G503" s="194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</row>
    <row r="504" customFormat="false" ht="15.75" hidden="false" customHeight="false" outlineLevel="0" collapsed="false">
      <c r="A504" s="194"/>
      <c r="B504" s="194"/>
      <c r="C504" s="232"/>
      <c r="D504" s="194"/>
      <c r="E504" s="194"/>
      <c r="F504" s="194"/>
      <c r="G504" s="194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</row>
    <row r="505" customFormat="false" ht="15.75" hidden="false" customHeight="false" outlineLevel="0" collapsed="false">
      <c r="A505" s="194"/>
      <c r="B505" s="194"/>
      <c r="C505" s="232"/>
      <c r="D505" s="194"/>
      <c r="E505" s="194"/>
      <c r="F505" s="194"/>
      <c r="G505" s="194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</row>
    <row r="506" customFormat="false" ht="15.75" hidden="false" customHeight="false" outlineLevel="0" collapsed="false">
      <c r="A506" s="194"/>
      <c r="B506" s="194"/>
      <c r="C506" s="232"/>
      <c r="D506" s="194"/>
      <c r="E506" s="194"/>
      <c r="F506" s="194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</row>
    <row r="507" customFormat="false" ht="15.75" hidden="false" customHeight="false" outlineLevel="0" collapsed="false">
      <c r="A507" s="194"/>
      <c r="B507" s="194"/>
      <c r="C507" s="232"/>
      <c r="D507" s="194"/>
      <c r="E507" s="194"/>
      <c r="F507" s="194"/>
      <c r="G507" s="194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</row>
    <row r="508" customFormat="false" ht="15.75" hidden="false" customHeight="false" outlineLevel="0" collapsed="false">
      <c r="A508" s="194"/>
      <c r="B508" s="194"/>
      <c r="C508" s="232"/>
      <c r="D508" s="194"/>
      <c r="E508" s="194"/>
      <c r="F508" s="194"/>
      <c r="G508" s="194"/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</row>
    <row r="509" customFormat="false" ht="15.75" hidden="false" customHeight="false" outlineLevel="0" collapsed="false">
      <c r="A509" s="194"/>
      <c r="B509" s="194"/>
      <c r="C509" s="232"/>
      <c r="D509" s="194"/>
      <c r="E509" s="194"/>
      <c r="F509" s="194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</row>
    <row r="510" customFormat="false" ht="15.75" hidden="false" customHeight="false" outlineLevel="0" collapsed="false">
      <c r="A510" s="194"/>
      <c r="B510" s="194"/>
      <c r="C510" s="232"/>
      <c r="D510" s="194"/>
      <c r="E510" s="194"/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</row>
    <row r="511" customFormat="false" ht="15.75" hidden="false" customHeight="false" outlineLevel="0" collapsed="false">
      <c r="A511" s="194"/>
      <c r="B511" s="194"/>
      <c r="C511" s="232"/>
      <c r="D511" s="194"/>
      <c r="E511" s="194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</row>
    <row r="512" customFormat="false" ht="15.75" hidden="false" customHeight="false" outlineLevel="0" collapsed="false">
      <c r="A512" s="194"/>
      <c r="B512" s="194"/>
      <c r="C512" s="232"/>
      <c r="D512" s="194"/>
      <c r="E512" s="194"/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</row>
    <row r="513" customFormat="false" ht="15.75" hidden="false" customHeight="false" outlineLevel="0" collapsed="false">
      <c r="A513" s="194"/>
      <c r="B513" s="194"/>
      <c r="C513" s="232"/>
      <c r="D513" s="194"/>
      <c r="E513" s="194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</row>
    <row r="514" customFormat="false" ht="15.75" hidden="false" customHeight="false" outlineLevel="0" collapsed="false">
      <c r="A514" s="194"/>
      <c r="B514" s="194"/>
      <c r="C514" s="232"/>
      <c r="D514" s="194"/>
      <c r="E514" s="194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</row>
    <row r="515" customFormat="false" ht="15.75" hidden="false" customHeight="false" outlineLevel="0" collapsed="false">
      <c r="A515" s="194"/>
      <c r="B515" s="194"/>
      <c r="C515" s="232"/>
      <c r="D515" s="194"/>
      <c r="E515" s="194"/>
      <c r="F515" s="194"/>
      <c r="G515" s="194"/>
      <c r="H515" s="194"/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</row>
    <row r="516" customFormat="false" ht="15.75" hidden="false" customHeight="false" outlineLevel="0" collapsed="false">
      <c r="A516" s="194"/>
      <c r="B516" s="194"/>
      <c r="C516" s="232"/>
      <c r="D516" s="194"/>
      <c r="E516" s="194"/>
      <c r="F516" s="194"/>
      <c r="G516" s="194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</row>
    <row r="517" customFormat="false" ht="15.75" hidden="false" customHeight="false" outlineLevel="0" collapsed="false">
      <c r="A517" s="194"/>
      <c r="B517" s="194"/>
      <c r="C517" s="232"/>
      <c r="D517" s="194"/>
      <c r="E517" s="194"/>
      <c r="F517" s="194"/>
      <c r="G517" s="194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</row>
    <row r="518" customFormat="false" ht="15.75" hidden="false" customHeight="false" outlineLevel="0" collapsed="false">
      <c r="A518" s="194"/>
      <c r="B518" s="194"/>
      <c r="C518" s="232"/>
      <c r="D518" s="194"/>
      <c r="E518" s="194"/>
      <c r="F518" s="194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</row>
    <row r="519" customFormat="false" ht="15.75" hidden="false" customHeight="false" outlineLevel="0" collapsed="false">
      <c r="A519" s="194"/>
      <c r="B519" s="194"/>
      <c r="C519" s="232"/>
      <c r="D519" s="194"/>
      <c r="E519" s="194"/>
      <c r="F519" s="194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</row>
    <row r="520" customFormat="false" ht="15.75" hidden="false" customHeight="false" outlineLevel="0" collapsed="false">
      <c r="A520" s="194"/>
      <c r="B520" s="194"/>
      <c r="C520" s="232"/>
      <c r="D520" s="194"/>
      <c r="E520" s="194"/>
      <c r="F520" s="194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</row>
    <row r="521" customFormat="false" ht="15.75" hidden="false" customHeight="false" outlineLevel="0" collapsed="false">
      <c r="A521" s="194"/>
      <c r="B521" s="194"/>
      <c r="C521" s="232"/>
      <c r="D521" s="194"/>
      <c r="E521" s="194"/>
      <c r="F521" s="194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</row>
    <row r="522" customFormat="false" ht="15.75" hidden="false" customHeight="false" outlineLevel="0" collapsed="false">
      <c r="A522" s="194"/>
      <c r="B522" s="194"/>
      <c r="C522" s="232"/>
      <c r="D522" s="194"/>
      <c r="E522" s="194"/>
      <c r="F522" s="194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</row>
    <row r="523" customFormat="false" ht="15.75" hidden="false" customHeight="false" outlineLevel="0" collapsed="false">
      <c r="A523" s="194"/>
      <c r="B523" s="194"/>
      <c r="C523" s="232"/>
      <c r="D523" s="194"/>
      <c r="E523" s="194"/>
      <c r="F523" s="194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</row>
    <row r="524" customFormat="false" ht="15.75" hidden="false" customHeight="false" outlineLevel="0" collapsed="false">
      <c r="A524" s="194"/>
      <c r="B524" s="194"/>
      <c r="C524" s="232"/>
      <c r="D524" s="194"/>
      <c r="E524" s="194"/>
      <c r="F524" s="194"/>
      <c r="G524" s="194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</row>
    <row r="525" customFormat="false" ht="15.75" hidden="false" customHeight="false" outlineLevel="0" collapsed="false">
      <c r="A525" s="194"/>
      <c r="B525" s="194"/>
      <c r="C525" s="232"/>
      <c r="D525" s="194"/>
      <c r="E525" s="194"/>
      <c r="F525" s="194"/>
      <c r="G525" s="194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</row>
    <row r="526" customFormat="false" ht="15.75" hidden="false" customHeight="false" outlineLevel="0" collapsed="false">
      <c r="A526" s="194"/>
      <c r="B526" s="194"/>
      <c r="C526" s="232"/>
      <c r="D526" s="194"/>
      <c r="E526" s="194"/>
      <c r="F526" s="194"/>
      <c r="G526" s="194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</row>
    <row r="527" customFormat="false" ht="15.75" hidden="false" customHeight="false" outlineLevel="0" collapsed="false">
      <c r="A527" s="194"/>
      <c r="B527" s="194"/>
      <c r="C527" s="232"/>
      <c r="D527" s="194"/>
      <c r="E527" s="194"/>
      <c r="F527" s="194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</row>
    <row r="528" customFormat="false" ht="15.75" hidden="false" customHeight="false" outlineLevel="0" collapsed="false">
      <c r="A528" s="194"/>
      <c r="B528" s="194"/>
      <c r="C528" s="232"/>
      <c r="D528" s="194"/>
      <c r="E528" s="194"/>
      <c r="F528" s="194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</row>
    <row r="529" customFormat="false" ht="15.75" hidden="false" customHeight="false" outlineLevel="0" collapsed="false">
      <c r="A529" s="194"/>
      <c r="B529" s="194"/>
      <c r="C529" s="232"/>
      <c r="D529" s="194"/>
      <c r="E529" s="194"/>
      <c r="F529" s="194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</row>
    <row r="530" customFormat="false" ht="15.75" hidden="false" customHeight="false" outlineLevel="0" collapsed="false">
      <c r="A530" s="194"/>
      <c r="B530" s="194"/>
      <c r="C530" s="232"/>
      <c r="D530" s="194"/>
      <c r="E530" s="194"/>
      <c r="F530" s="194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</row>
    <row r="531" customFormat="false" ht="15.75" hidden="false" customHeight="false" outlineLevel="0" collapsed="false">
      <c r="A531" s="194"/>
      <c r="B531" s="194"/>
      <c r="C531" s="232"/>
      <c r="D531" s="194"/>
      <c r="E531" s="194"/>
      <c r="F531" s="194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</row>
    <row r="532" customFormat="false" ht="15.75" hidden="false" customHeight="false" outlineLevel="0" collapsed="false">
      <c r="A532" s="194"/>
      <c r="B532" s="194"/>
      <c r="C532" s="232"/>
      <c r="D532" s="194"/>
      <c r="E532" s="194"/>
      <c r="F532" s="194"/>
      <c r="G532" s="194"/>
      <c r="H532" s="194"/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</row>
    <row r="533" customFormat="false" ht="15.75" hidden="false" customHeight="false" outlineLevel="0" collapsed="false">
      <c r="A533" s="194"/>
      <c r="B533" s="194"/>
      <c r="C533" s="232"/>
      <c r="D533" s="194"/>
      <c r="E533" s="194"/>
      <c r="F533" s="194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</row>
    <row r="534" customFormat="false" ht="15.75" hidden="false" customHeight="false" outlineLevel="0" collapsed="false">
      <c r="A534" s="194"/>
      <c r="B534" s="194"/>
      <c r="C534" s="232"/>
      <c r="D534" s="194"/>
      <c r="E534" s="194"/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</row>
    <row r="535" customFormat="false" ht="15.75" hidden="false" customHeight="false" outlineLevel="0" collapsed="false">
      <c r="A535" s="194"/>
      <c r="B535" s="194"/>
      <c r="C535" s="232"/>
      <c r="D535" s="194"/>
      <c r="E535" s="194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</row>
    <row r="536" customFormat="false" ht="15.75" hidden="false" customHeight="false" outlineLevel="0" collapsed="false">
      <c r="A536" s="194"/>
      <c r="B536" s="194"/>
      <c r="C536" s="232"/>
      <c r="D536" s="194"/>
      <c r="E536" s="194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</row>
    <row r="537" customFormat="false" ht="15.75" hidden="false" customHeight="false" outlineLevel="0" collapsed="false">
      <c r="A537" s="194"/>
      <c r="B537" s="194"/>
      <c r="C537" s="232"/>
      <c r="D537" s="194"/>
      <c r="E537" s="194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</row>
    <row r="538" customFormat="false" ht="15.75" hidden="false" customHeight="false" outlineLevel="0" collapsed="false">
      <c r="A538" s="194"/>
      <c r="B538" s="194"/>
      <c r="C538" s="232"/>
      <c r="D538" s="194"/>
      <c r="E538" s="194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</row>
    <row r="539" customFormat="false" ht="15.75" hidden="false" customHeight="false" outlineLevel="0" collapsed="false">
      <c r="A539" s="194"/>
      <c r="B539" s="194"/>
      <c r="C539" s="232"/>
      <c r="D539" s="194"/>
      <c r="E539" s="194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</row>
    <row r="540" customFormat="false" ht="15.75" hidden="false" customHeight="false" outlineLevel="0" collapsed="false">
      <c r="A540" s="194"/>
      <c r="B540" s="194"/>
      <c r="C540" s="232"/>
      <c r="D540" s="194"/>
      <c r="E540" s="194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</row>
    <row r="541" customFormat="false" ht="15.75" hidden="false" customHeight="false" outlineLevel="0" collapsed="false">
      <c r="A541" s="194"/>
      <c r="B541" s="194"/>
      <c r="C541" s="232"/>
      <c r="D541" s="194"/>
      <c r="E541" s="194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</row>
    <row r="542" customFormat="false" ht="15.75" hidden="false" customHeight="false" outlineLevel="0" collapsed="false">
      <c r="A542" s="194"/>
      <c r="B542" s="194"/>
      <c r="C542" s="232"/>
      <c r="D542" s="194"/>
      <c r="E542" s="194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</row>
    <row r="543" customFormat="false" ht="15.75" hidden="false" customHeight="false" outlineLevel="0" collapsed="false">
      <c r="A543" s="194"/>
      <c r="B543" s="194"/>
      <c r="C543" s="232"/>
      <c r="D543" s="194"/>
      <c r="E543" s="194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</row>
    <row r="544" customFormat="false" ht="15.75" hidden="false" customHeight="false" outlineLevel="0" collapsed="false">
      <c r="A544" s="194"/>
      <c r="B544" s="194"/>
      <c r="C544" s="232"/>
      <c r="D544" s="194"/>
      <c r="E544" s="194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</row>
    <row r="545" customFormat="false" ht="15.75" hidden="false" customHeight="false" outlineLevel="0" collapsed="false">
      <c r="A545" s="194"/>
      <c r="B545" s="194"/>
      <c r="C545" s="232"/>
      <c r="D545" s="194"/>
      <c r="E545" s="194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</row>
    <row r="546" customFormat="false" ht="15.75" hidden="false" customHeight="false" outlineLevel="0" collapsed="false">
      <c r="A546" s="194"/>
      <c r="B546" s="194"/>
      <c r="C546" s="232"/>
      <c r="D546" s="194"/>
      <c r="E546" s="194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</row>
    <row r="547" customFormat="false" ht="15.75" hidden="false" customHeight="false" outlineLevel="0" collapsed="false">
      <c r="A547" s="194"/>
      <c r="B547" s="194"/>
      <c r="C547" s="232"/>
      <c r="D547" s="194"/>
      <c r="E547" s="194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</row>
    <row r="548" customFormat="false" ht="15.75" hidden="false" customHeight="false" outlineLevel="0" collapsed="false">
      <c r="A548" s="194"/>
      <c r="B548" s="194"/>
      <c r="C548" s="232"/>
      <c r="D548" s="194"/>
      <c r="E548" s="194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</row>
    <row r="549" customFormat="false" ht="15.75" hidden="false" customHeight="false" outlineLevel="0" collapsed="false">
      <c r="A549" s="194"/>
      <c r="B549" s="194"/>
      <c r="C549" s="232"/>
      <c r="D549" s="194"/>
      <c r="E549" s="194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</row>
    <row r="550" customFormat="false" ht="15.75" hidden="false" customHeight="false" outlineLevel="0" collapsed="false">
      <c r="A550" s="194"/>
      <c r="B550" s="194"/>
      <c r="C550" s="232"/>
      <c r="D550" s="194"/>
      <c r="E550" s="194"/>
      <c r="F550" s="194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</row>
    <row r="551" customFormat="false" ht="15.75" hidden="false" customHeight="false" outlineLevel="0" collapsed="false">
      <c r="A551" s="194"/>
      <c r="B551" s="194"/>
      <c r="C551" s="232"/>
      <c r="D551" s="194"/>
      <c r="E551" s="194"/>
      <c r="F551" s="194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</row>
    <row r="552" customFormat="false" ht="15.75" hidden="false" customHeight="false" outlineLevel="0" collapsed="false">
      <c r="A552" s="194"/>
      <c r="B552" s="194"/>
      <c r="C552" s="232"/>
      <c r="D552" s="194"/>
      <c r="E552" s="194"/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</row>
    <row r="553" customFormat="false" ht="15.75" hidden="false" customHeight="false" outlineLevel="0" collapsed="false">
      <c r="A553" s="194"/>
      <c r="B553" s="194"/>
      <c r="C553" s="232"/>
      <c r="D553" s="194"/>
      <c r="E553" s="194"/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</row>
    <row r="554" customFormat="false" ht="15.75" hidden="false" customHeight="false" outlineLevel="0" collapsed="false">
      <c r="A554" s="194"/>
      <c r="B554" s="194"/>
      <c r="C554" s="232"/>
      <c r="D554" s="194"/>
      <c r="E554" s="194"/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</row>
    <row r="555" customFormat="false" ht="15.75" hidden="false" customHeight="false" outlineLevel="0" collapsed="false">
      <c r="A555" s="194"/>
      <c r="B555" s="194"/>
      <c r="C555" s="232"/>
      <c r="D555" s="194"/>
      <c r="E555" s="194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</row>
    <row r="556" customFormat="false" ht="15.75" hidden="false" customHeight="false" outlineLevel="0" collapsed="false">
      <c r="A556" s="194"/>
      <c r="B556" s="194"/>
      <c r="C556" s="232"/>
      <c r="D556" s="194"/>
      <c r="E556" s="194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</row>
    <row r="557" customFormat="false" ht="15.75" hidden="false" customHeight="false" outlineLevel="0" collapsed="false">
      <c r="A557" s="194"/>
      <c r="B557" s="194"/>
      <c r="C557" s="232"/>
      <c r="D557" s="194"/>
      <c r="E557" s="194"/>
      <c r="F557" s="194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</row>
    <row r="558" customFormat="false" ht="15.75" hidden="false" customHeight="false" outlineLevel="0" collapsed="false">
      <c r="A558" s="194"/>
      <c r="B558" s="194"/>
      <c r="C558" s="232"/>
      <c r="D558" s="194"/>
      <c r="E558" s="194"/>
      <c r="F558" s="194"/>
      <c r="G558" s="194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</row>
    <row r="559" customFormat="false" ht="15.75" hidden="false" customHeight="false" outlineLevel="0" collapsed="false">
      <c r="A559" s="194"/>
      <c r="B559" s="194"/>
      <c r="C559" s="232"/>
      <c r="D559" s="194"/>
      <c r="E559" s="194"/>
      <c r="F559" s="194"/>
      <c r="G559" s="194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</row>
    <row r="560" customFormat="false" ht="15.75" hidden="false" customHeight="false" outlineLevel="0" collapsed="false">
      <c r="A560" s="194"/>
      <c r="B560" s="194"/>
      <c r="C560" s="232"/>
      <c r="D560" s="194"/>
      <c r="E560" s="194"/>
      <c r="F560" s="194"/>
      <c r="G560" s="194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</row>
    <row r="561" customFormat="false" ht="15.75" hidden="false" customHeight="false" outlineLevel="0" collapsed="false">
      <c r="A561" s="194"/>
      <c r="B561" s="194"/>
      <c r="C561" s="232"/>
      <c r="D561" s="194"/>
      <c r="E561" s="194"/>
      <c r="F561" s="194"/>
      <c r="G561" s="194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</row>
    <row r="562" customFormat="false" ht="15.75" hidden="false" customHeight="false" outlineLevel="0" collapsed="false">
      <c r="A562" s="194"/>
      <c r="B562" s="194"/>
      <c r="C562" s="232"/>
      <c r="D562" s="194"/>
      <c r="E562" s="194"/>
      <c r="F562" s="194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</row>
    <row r="563" customFormat="false" ht="15.75" hidden="false" customHeight="false" outlineLevel="0" collapsed="false">
      <c r="A563" s="194"/>
      <c r="B563" s="194"/>
      <c r="C563" s="232"/>
      <c r="D563" s="194"/>
      <c r="E563" s="194"/>
      <c r="F563" s="194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</row>
    <row r="564" customFormat="false" ht="15.75" hidden="false" customHeight="false" outlineLevel="0" collapsed="false">
      <c r="A564" s="194"/>
      <c r="B564" s="194"/>
      <c r="C564" s="232"/>
      <c r="D564" s="194"/>
      <c r="E564" s="194"/>
      <c r="F564" s="194"/>
      <c r="G564" s="194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</row>
    <row r="565" customFormat="false" ht="15.75" hidden="false" customHeight="false" outlineLevel="0" collapsed="false">
      <c r="A565" s="194"/>
      <c r="B565" s="194"/>
      <c r="C565" s="232"/>
      <c r="D565" s="194"/>
      <c r="E565" s="194"/>
      <c r="F565" s="194"/>
      <c r="G565" s="194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</row>
    <row r="566" customFormat="false" ht="15.75" hidden="false" customHeight="false" outlineLevel="0" collapsed="false">
      <c r="A566" s="194"/>
      <c r="B566" s="194"/>
      <c r="C566" s="232"/>
      <c r="D566" s="194"/>
      <c r="E566" s="194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</row>
    <row r="567" customFormat="false" ht="15.75" hidden="false" customHeight="false" outlineLevel="0" collapsed="false">
      <c r="A567" s="194"/>
      <c r="B567" s="194"/>
      <c r="C567" s="232"/>
      <c r="D567" s="194"/>
      <c r="E567" s="194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</row>
    <row r="568" customFormat="false" ht="15.75" hidden="false" customHeight="false" outlineLevel="0" collapsed="false">
      <c r="A568" s="194"/>
      <c r="B568" s="194"/>
      <c r="C568" s="232"/>
      <c r="D568" s="194"/>
      <c r="E568" s="194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</row>
    <row r="569" customFormat="false" ht="15.75" hidden="false" customHeight="false" outlineLevel="0" collapsed="false">
      <c r="A569" s="194"/>
      <c r="B569" s="194"/>
      <c r="C569" s="232"/>
      <c r="D569" s="194"/>
      <c r="E569" s="194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</row>
    <row r="570" customFormat="false" ht="15.75" hidden="false" customHeight="false" outlineLevel="0" collapsed="false">
      <c r="A570" s="194"/>
      <c r="B570" s="194"/>
      <c r="C570" s="232"/>
      <c r="D570" s="194"/>
      <c r="E570" s="194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</row>
    <row r="571" customFormat="false" ht="15.75" hidden="false" customHeight="false" outlineLevel="0" collapsed="false">
      <c r="A571" s="194"/>
      <c r="B571" s="194"/>
      <c r="C571" s="232"/>
      <c r="D571" s="194"/>
      <c r="E571" s="194"/>
      <c r="F571" s="194"/>
      <c r="G571" s="194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</row>
    <row r="572" customFormat="false" ht="15.75" hidden="false" customHeight="false" outlineLevel="0" collapsed="false">
      <c r="A572" s="194"/>
      <c r="B572" s="194"/>
      <c r="C572" s="232"/>
      <c r="D572" s="194"/>
      <c r="E572" s="194"/>
      <c r="F572" s="194"/>
      <c r="G572" s="194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</row>
    <row r="573" customFormat="false" ht="15.75" hidden="false" customHeight="false" outlineLevel="0" collapsed="false">
      <c r="A573" s="194"/>
      <c r="B573" s="194"/>
      <c r="C573" s="232"/>
      <c r="D573" s="194"/>
      <c r="E573" s="194"/>
      <c r="F573" s="194"/>
      <c r="G573" s="194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</row>
    <row r="574" customFormat="false" ht="15.75" hidden="false" customHeight="false" outlineLevel="0" collapsed="false">
      <c r="A574" s="194"/>
      <c r="B574" s="194"/>
      <c r="C574" s="232"/>
      <c r="D574" s="194"/>
      <c r="E574" s="194"/>
      <c r="F574" s="194"/>
      <c r="G574" s="194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</row>
    <row r="575" customFormat="false" ht="15.75" hidden="false" customHeight="false" outlineLevel="0" collapsed="false">
      <c r="A575" s="194"/>
      <c r="B575" s="194"/>
      <c r="C575" s="232"/>
      <c r="D575" s="194"/>
      <c r="E575" s="194"/>
      <c r="F575" s="194"/>
      <c r="G575" s="194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</row>
    <row r="576" customFormat="false" ht="15.75" hidden="false" customHeight="false" outlineLevel="0" collapsed="false">
      <c r="A576" s="194"/>
      <c r="B576" s="194"/>
      <c r="C576" s="232"/>
      <c r="D576" s="194"/>
      <c r="E576" s="194"/>
      <c r="F576" s="194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</row>
    <row r="577" customFormat="false" ht="15.75" hidden="false" customHeight="false" outlineLevel="0" collapsed="false">
      <c r="A577" s="194"/>
      <c r="B577" s="194"/>
      <c r="C577" s="232"/>
      <c r="D577" s="194"/>
      <c r="E577" s="194"/>
      <c r="F577" s="194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</row>
    <row r="578" customFormat="false" ht="15.75" hidden="false" customHeight="false" outlineLevel="0" collapsed="false">
      <c r="A578" s="194"/>
      <c r="B578" s="194"/>
      <c r="C578" s="232"/>
      <c r="D578" s="194"/>
      <c r="E578" s="194"/>
      <c r="F578" s="194"/>
      <c r="G578" s="194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</row>
    <row r="579" customFormat="false" ht="15.75" hidden="false" customHeight="false" outlineLevel="0" collapsed="false">
      <c r="A579" s="194"/>
      <c r="B579" s="194"/>
      <c r="C579" s="232"/>
      <c r="D579" s="194"/>
      <c r="E579" s="194"/>
      <c r="F579" s="194"/>
      <c r="G579" s="194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</row>
    <row r="580" customFormat="false" ht="15.75" hidden="false" customHeight="false" outlineLevel="0" collapsed="false">
      <c r="A580" s="194"/>
      <c r="B580" s="194"/>
      <c r="C580" s="232"/>
      <c r="D580" s="194"/>
      <c r="E580" s="194"/>
      <c r="F580" s="194"/>
      <c r="G580" s="194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</row>
    <row r="581" customFormat="false" ht="15.75" hidden="false" customHeight="false" outlineLevel="0" collapsed="false">
      <c r="A581" s="194"/>
      <c r="B581" s="194"/>
      <c r="C581" s="232"/>
      <c r="D581" s="194"/>
      <c r="E581" s="194"/>
      <c r="F581" s="194"/>
      <c r="G581" s="194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</row>
    <row r="582" customFormat="false" ht="15.75" hidden="false" customHeight="false" outlineLevel="0" collapsed="false">
      <c r="A582" s="194"/>
      <c r="B582" s="194"/>
      <c r="C582" s="232"/>
      <c r="D582" s="194"/>
      <c r="E582" s="194"/>
      <c r="F582" s="194"/>
      <c r="G582" s="194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</row>
    <row r="583" customFormat="false" ht="15.75" hidden="false" customHeight="false" outlineLevel="0" collapsed="false">
      <c r="A583" s="194"/>
      <c r="B583" s="194"/>
      <c r="C583" s="232"/>
      <c r="D583" s="194"/>
      <c r="E583" s="194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</row>
    <row r="584" customFormat="false" ht="15.75" hidden="false" customHeight="false" outlineLevel="0" collapsed="false">
      <c r="A584" s="194"/>
      <c r="B584" s="194"/>
      <c r="C584" s="232"/>
      <c r="D584" s="194"/>
      <c r="E584" s="194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</row>
    <row r="585" customFormat="false" ht="15.75" hidden="false" customHeight="false" outlineLevel="0" collapsed="false">
      <c r="A585" s="194"/>
      <c r="B585" s="194"/>
      <c r="C585" s="232"/>
      <c r="D585" s="194"/>
      <c r="E585" s="194"/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</row>
    <row r="586" customFormat="false" ht="15.75" hidden="false" customHeight="false" outlineLevel="0" collapsed="false">
      <c r="A586" s="194"/>
      <c r="B586" s="194"/>
      <c r="C586" s="232"/>
      <c r="D586" s="194"/>
      <c r="E586" s="194"/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</row>
    <row r="587" customFormat="false" ht="15.75" hidden="false" customHeight="false" outlineLevel="0" collapsed="false">
      <c r="A587" s="194"/>
      <c r="B587" s="194"/>
      <c r="C587" s="232"/>
      <c r="D587" s="194"/>
      <c r="E587" s="194"/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</row>
    <row r="588" customFormat="false" ht="15.75" hidden="false" customHeight="false" outlineLevel="0" collapsed="false">
      <c r="A588" s="194"/>
      <c r="B588" s="194"/>
      <c r="C588" s="232"/>
      <c r="D588" s="194"/>
      <c r="E588" s="194"/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</row>
    <row r="589" customFormat="false" ht="15.75" hidden="false" customHeight="false" outlineLevel="0" collapsed="false">
      <c r="A589" s="194"/>
      <c r="B589" s="194"/>
      <c r="C589" s="232"/>
      <c r="D589" s="194"/>
      <c r="E589" s="194"/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</row>
    <row r="590" customFormat="false" ht="15.75" hidden="false" customHeight="false" outlineLevel="0" collapsed="false">
      <c r="A590" s="194"/>
      <c r="B590" s="194"/>
      <c r="C590" s="232"/>
      <c r="D590" s="194"/>
      <c r="E590" s="194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</row>
    <row r="591" customFormat="false" ht="15.75" hidden="false" customHeight="false" outlineLevel="0" collapsed="false">
      <c r="A591" s="194"/>
      <c r="B591" s="194"/>
      <c r="C591" s="232"/>
      <c r="D591" s="194"/>
      <c r="E591" s="194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</row>
    <row r="592" customFormat="false" ht="15.75" hidden="false" customHeight="false" outlineLevel="0" collapsed="false">
      <c r="A592" s="194"/>
      <c r="B592" s="194"/>
      <c r="C592" s="232"/>
      <c r="D592" s="194"/>
      <c r="E592" s="194"/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</row>
    <row r="593" customFormat="false" ht="15.75" hidden="false" customHeight="false" outlineLevel="0" collapsed="false">
      <c r="A593" s="194"/>
      <c r="B593" s="194"/>
      <c r="C593" s="232"/>
      <c r="D593" s="194"/>
      <c r="E593" s="194"/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</row>
    <row r="594" customFormat="false" ht="15.75" hidden="false" customHeight="false" outlineLevel="0" collapsed="false">
      <c r="A594" s="194"/>
      <c r="B594" s="194"/>
      <c r="C594" s="232"/>
      <c r="D594" s="194"/>
      <c r="E594" s="194"/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</row>
    <row r="595" customFormat="false" ht="15.75" hidden="false" customHeight="false" outlineLevel="0" collapsed="false">
      <c r="A595" s="194"/>
      <c r="B595" s="194"/>
      <c r="C595" s="232"/>
      <c r="D595" s="194"/>
      <c r="E595" s="194"/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</row>
    <row r="596" customFormat="false" ht="15.75" hidden="false" customHeight="false" outlineLevel="0" collapsed="false">
      <c r="A596" s="194"/>
      <c r="B596" s="194"/>
      <c r="C596" s="232"/>
      <c r="D596" s="194"/>
      <c r="E596" s="194"/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</row>
    <row r="597" customFormat="false" ht="15.75" hidden="false" customHeight="false" outlineLevel="0" collapsed="false">
      <c r="A597" s="194"/>
      <c r="B597" s="194"/>
      <c r="C597" s="232"/>
      <c r="D597" s="194"/>
      <c r="E597" s="194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</row>
    <row r="598" customFormat="false" ht="15.75" hidden="false" customHeight="false" outlineLevel="0" collapsed="false">
      <c r="A598" s="194"/>
      <c r="B598" s="194"/>
      <c r="C598" s="232"/>
      <c r="D598" s="194"/>
      <c r="E598" s="194"/>
      <c r="F598" s="194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</row>
    <row r="599" customFormat="false" ht="15.75" hidden="false" customHeight="false" outlineLevel="0" collapsed="false">
      <c r="A599" s="194"/>
      <c r="B599" s="194"/>
      <c r="C599" s="232"/>
      <c r="D599" s="194"/>
      <c r="E599" s="194"/>
      <c r="F599" s="194"/>
      <c r="G599" s="194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</row>
    <row r="600" customFormat="false" ht="15.75" hidden="false" customHeight="false" outlineLevel="0" collapsed="false">
      <c r="A600" s="194"/>
      <c r="B600" s="194"/>
      <c r="C600" s="232"/>
      <c r="D600" s="194"/>
      <c r="E600" s="194"/>
      <c r="F600" s="194"/>
      <c r="G600" s="194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</row>
    <row r="601" customFormat="false" ht="15.75" hidden="false" customHeight="false" outlineLevel="0" collapsed="false">
      <c r="A601" s="194"/>
      <c r="B601" s="194"/>
      <c r="C601" s="232"/>
      <c r="D601" s="194"/>
      <c r="E601" s="194"/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</row>
    <row r="602" customFormat="false" ht="15.75" hidden="false" customHeight="false" outlineLevel="0" collapsed="false">
      <c r="A602" s="194"/>
      <c r="B602" s="194"/>
      <c r="C602" s="232"/>
      <c r="D602" s="194"/>
      <c r="E602" s="194"/>
      <c r="F602" s="194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</row>
    <row r="603" customFormat="false" ht="15.75" hidden="false" customHeight="false" outlineLevel="0" collapsed="false">
      <c r="A603" s="194"/>
      <c r="B603" s="194"/>
      <c r="C603" s="232"/>
      <c r="D603" s="194"/>
      <c r="E603" s="194"/>
      <c r="F603" s="194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</row>
    <row r="604" customFormat="false" ht="15.75" hidden="false" customHeight="false" outlineLevel="0" collapsed="false">
      <c r="A604" s="194"/>
      <c r="B604" s="194"/>
      <c r="C604" s="232"/>
      <c r="D604" s="194"/>
      <c r="E604" s="194"/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</row>
    <row r="605" customFormat="false" ht="15.75" hidden="false" customHeight="false" outlineLevel="0" collapsed="false">
      <c r="A605" s="194"/>
      <c r="B605" s="194"/>
      <c r="C605" s="232"/>
      <c r="D605" s="194"/>
      <c r="E605" s="194"/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</row>
    <row r="606" customFormat="false" ht="15.75" hidden="false" customHeight="false" outlineLevel="0" collapsed="false">
      <c r="A606" s="194"/>
      <c r="B606" s="194"/>
      <c r="C606" s="232"/>
      <c r="D606" s="194"/>
      <c r="E606" s="194"/>
      <c r="F606" s="194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</row>
    <row r="607" customFormat="false" ht="15.75" hidden="false" customHeight="false" outlineLevel="0" collapsed="false">
      <c r="A607" s="194"/>
      <c r="B607" s="194"/>
      <c r="C607" s="232"/>
      <c r="D607" s="194"/>
      <c r="E607" s="194"/>
      <c r="F607" s="194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</row>
    <row r="608" customFormat="false" ht="15.75" hidden="false" customHeight="false" outlineLevel="0" collapsed="false">
      <c r="A608" s="194"/>
      <c r="B608" s="194"/>
      <c r="C608" s="232"/>
      <c r="D608" s="194"/>
      <c r="E608" s="194"/>
      <c r="F608" s="194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</row>
    <row r="609" customFormat="false" ht="15.75" hidden="false" customHeight="false" outlineLevel="0" collapsed="false">
      <c r="A609" s="194"/>
      <c r="B609" s="194"/>
      <c r="C609" s="232"/>
      <c r="D609" s="194"/>
      <c r="E609" s="194"/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</row>
    <row r="610" customFormat="false" ht="15.75" hidden="false" customHeight="false" outlineLevel="0" collapsed="false">
      <c r="A610" s="194"/>
      <c r="B610" s="194"/>
      <c r="C610" s="232"/>
      <c r="D610" s="194"/>
      <c r="E610" s="194"/>
      <c r="F610" s="194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</row>
    <row r="611" customFormat="false" ht="15.75" hidden="false" customHeight="false" outlineLevel="0" collapsed="false">
      <c r="A611" s="194"/>
      <c r="B611" s="194"/>
      <c r="C611" s="232"/>
      <c r="D611" s="194"/>
      <c r="E611" s="194"/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</row>
    <row r="612" customFormat="false" ht="15.75" hidden="false" customHeight="false" outlineLevel="0" collapsed="false">
      <c r="A612" s="194"/>
      <c r="B612" s="194"/>
      <c r="C612" s="232"/>
      <c r="D612" s="194"/>
      <c r="E612" s="194"/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</row>
    <row r="613" customFormat="false" ht="15.75" hidden="false" customHeight="false" outlineLevel="0" collapsed="false">
      <c r="A613" s="194"/>
      <c r="B613" s="194"/>
      <c r="C613" s="232"/>
      <c r="D613" s="194"/>
      <c r="E613" s="194"/>
      <c r="F613" s="194"/>
      <c r="G613" s="194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</row>
    <row r="614" customFormat="false" ht="15.75" hidden="false" customHeight="false" outlineLevel="0" collapsed="false">
      <c r="A614" s="194"/>
      <c r="B614" s="194"/>
      <c r="C614" s="232"/>
      <c r="D614" s="194"/>
      <c r="E614" s="194"/>
      <c r="F614" s="194"/>
      <c r="G614" s="194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</row>
    <row r="615" customFormat="false" ht="15.75" hidden="false" customHeight="false" outlineLevel="0" collapsed="false">
      <c r="A615" s="194"/>
      <c r="B615" s="194"/>
      <c r="C615" s="232"/>
      <c r="D615" s="194"/>
      <c r="E615" s="194"/>
      <c r="F615" s="194"/>
      <c r="G615" s="194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</row>
    <row r="616" customFormat="false" ht="15.75" hidden="false" customHeight="false" outlineLevel="0" collapsed="false">
      <c r="A616" s="194"/>
      <c r="B616" s="194"/>
      <c r="C616" s="232"/>
      <c r="D616" s="194"/>
      <c r="E616" s="194"/>
      <c r="F616" s="194"/>
      <c r="G616" s="194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</row>
    <row r="617" customFormat="false" ht="15.75" hidden="false" customHeight="false" outlineLevel="0" collapsed="false">
      <c r="A617" s="194"/>
      <c r="B617" s="194"/>
      <c r="C617" s="232"/>
      <c r="D617" s="194"/>
      <c r="E617" s="194"/>
      <c r="F617" s="194"/>
      <c r="G617" s="194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</row>
    <row r="618" customFormat="false" ht="15.75" hidden="false" customHeight="false" outlineLevel="0" collapsed="false">
      <c r="A618" s="194"/>
      <c r="B618" s="194"/>
      <c r="C618" s="232"/>
      <c r="D618" s="194"/>
      <c r="E618" s="194"/>
      <c r="F618" s="194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</row>
    <row r="619" customFormat="false" ht="15.75" hidden="false" customHeight="false" outlineLevel="0" collapsed="false">
      <c r="A619" s="194"/>
      <c r="B619" s="194"/>
      <c r="C619" s="232"/>
      <c r="D619" s="194"/>
      <c r="E619" s="194"/>
      <c r="F619" s="194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</row>
    <row r="620" customFormat="false" ht="15.75" hidden="false" customHeight="false" outlineLevel="0" collapsed="false">
      <c r="A620" s="194"/>
      <c r="B620" s="194"/>
      <c r="C620" s="232"/>
      <c r="D620" s="194"/>
      <c r="E620" s="194"/>
      <c r="F620" s="194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</row>
    <row r="621" customFormat="false" ht="15.75" hidden="false" customHeight="false" outlineLevel="0" collapsed="false">
      <c r="A621" s="194"/>
      <c r="B621" s="194"/>
      <c r="C621" s="232"/>
      <c r="D621" s="194"/>
      <c r="E621" s="194"/>
      <c r="F621" s="194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</row>
    <row r="622" customFormat="false" ht="15.75" hidden="false" customHeight="false" outlineLevel="0" collapsed="false">
      <c r="A622" s="194"/>
      <c r="B622" s="194"/>
      <c r="C622" s="232"/>
      <c r="D622" s="194"/>
      <c r="E622" s="194"/>
      <c r="F622" s="194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</row>
    <row r="623" customFormat="false" ht="15.75" hidden="false" customHeight="false" outlineLevel="0" collapsed="false">
      <c r="A623" s="194"/>
      <c r="B623" s="194"/>
      <c r="C623" s="232"/>
      <c r="D623" s="194"/>
      <c r="E623" s="194"/>
      <c r="F623" s="194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</row>
    <row r="624" customFormat="false" ht="15.75" hidden="false" customHeight="false" outlineLevel="0" collapsed="false">
      <c r="A624" s="194"/>
      <c r="B624" s="194"/>
      <c r="C624" s="232"/>
      <c r="D624" s="194"/>
      <c r="E624" s="194"/>
      <c r="F624" s="194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</row>
    <row r="625" customFormat="false" ht="15.75" hidden="false" customHeight="false" outlineLevel="0" collapsed="false">
      <c r="A625" s="194"/>
      <c r="B625" s="194"/>
      <c r="C625" s="232"/>
      <c r="D625" s="194"/>
      <c r="E625" s="194"/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</row>
    <row r="626" customFormat="false" ht="15.75" hidden="false" customHeight="false" outlineLevel="0" collapsed="false">
      <c r="A626" s="194"/>
      <c r="B626" s="194"/>
      <c r="C626" s="232"/>
      <c r="D626" s="194"/>
      <c r="E626" s="194"/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</row>
    <row r="627" customFormat="false" ht="15.75" hidden="false" customHeight="false" outlineLevel="0" collapsed="false">
      <c r="A627" s="194"/>
      <c r="B627" s="194"/>
      <c r="C627" s="232"/>
      <c r="D627" s="194"/>
      <c r="E627" s="194"/>
      <c r="F627" s="194"/>
      <c r="G627" s="194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</row>
    <row r="628" customFormat="false" ht="15.75" hidden="false" customHeight="false" outlineLevel="0" collapsed="false">
      <c r="A628" s="194"/>
      <c r="B628" s="194"/>
      <c r="C628" s="232"/>
      <c r="D628" s="194"/>
      <c r="E628" s="194"/>
      <c r="F628" s="194"/>
      <c r="G628" s="194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</row>
    <row r="629" customFormat="false" ht="15.75" hidden="false" customHeight="false" outlineLevel="0" collapsed="false">
      <c r="A629" s="194"/>
      <c r="B629" s="194"/>
      <c r="C629" s="232"/>
      <c r="D629" s="194"/>
      <c r="E629" s="194"/>
      <c r="F629" s="194"/>
      <c r="G629" s="194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</row>
    <row r="630" customFormat="false" ht="15.75" hidden="false" customHeight="false" outlineLevel="0" collapsed="false">
      <c r="A630" s="194"/>
      <c r="B630" s="194"/>
      <c r="C630" s="232"/>
      <c r="D630" s="194"/>
      <c r="E630" s="194"/>
      <c r="F630" s="194"/>
      <c r="G630" s="194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</row>
    <row r="631" customFormat="false" ht="15.75" hidden="false" customHeight="false" outlineLevel="0" collapsed="false">
      <c r="A631" s="194"/>
      <c r="B631" s="194"/>
      <c r="C631" s="232"/>
      <c r="D631" s="194"/>
      <c r="E631" s="194"/>
      <c r="F631" s="194"/>
      <c r="G631" s="194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</row>
    <row r="632" customFormat="false" ht="15.75" hidden="false" customHeight="false" outlineLevel="0" collapsed="false">
      <c r="A632" s="194"/>
      <c r="B632" s="194"/>
      <c r="C632" s="232"/>
      <c r="D632" s="194"/>
      <c r="E632" s="194"/>
      <c r="F632" s="194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</row>
    <row r="633" customFormat="false" ht="15.75" hidden="false" customHeight="false" outlineLevel="0" collapsed="false">
      <c r="A633" s="194"/>
      <c r="B633" s="194"/>
      <c r="C633" s="232"/>
      <c r="D633" s="194"/>
      <c r="E633" s="194"/>
      <c r="F633" s="194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</row>
    <row r="634" customFormat="false" ht="15.75" hidden="false" customHeight="false" outlineLevel="0" collapsed="false">
      <c r="A634" s="194"/>
      <c r="B634" s="194"/>
      <c r="C634" s="232"/>
      <c r="D634" s="194"/>
      <c r="E634" s="194"/>
      <c r="F634" s="194"/>
      <c r="G634" s="194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</row>
    <row r="635" customFormat="false" ht="15.75" hidden="false" customHeight="false" outlineLevel="0" collapsed="false">
      <c r="A635" s="194"/>
      <c r="B635" s="194"/>
      <c r="C635" s="232"/>
      <c r="D635" s="194"/>
      <c r="E635" s="194"/>
      <c r="F635" s="194"/>
      <c r="G635" s="194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</row>
    <row r="636" customFormat="false" ht="15.75" hidden="false" customHeight="false" outlineLevel="0" collapsed="false">
      <c r="A636" s="194"/>
      <c r="B636" s="194"/>
      <c r="C636" s="232"/>
      <c r="D636" s="194"/>
      <c r="E636" s="194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</row>
    <row r="637" customFormat="false" ht="15.75" hidden="false" customHeight="false" outlineLevel="0" collapsed="false">
      <c r="A637" s="194"/>
      <c r="B637" s="194"/>
      <c r="C637" s="232"/>
      <c r="D637" s="194"/>
      <c r="E637" s="194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</row>
    <row r="638" customFormat="false" ht="15.75" hidden="false" customHeight="false" outlineLevel="0" collapsed="false">
      <c r="A638" s="194"/>
      <c r="B638" s="194"/>
      <c r="C638" s="232"/>
      <c r="D638" s="194"/>
      <c r="E638" s="194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</row>
    <row r="639" customFormat="false" ht="15.75" hidden="false" customHeight="false" outlineLevel="0" collapsed="false">
      <c r="A639" s="194"/>
      <c r="B639" s="194"/>
      <c r="C639" s="232"/>
      <c r="D639" s="194"/>
      <c r="E639" s="194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</row>
    <row r="640" customFormat="false" ht="15.75" hidden="false" customHeight="false" outlineLevel="0" collapsed="false">
      <c r="A640" s="194"/>
      <c r="B640" s="194"/>
      <c r="C640" s="232"/>
      <c r="D640" s="194"/>
      <c r="E640" s="194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</row>
    <row r="641" customFormat="false" ht="15.75" hidden="false" customHeight="false" outlineLevel="0" collapsed="false">
      <c r="A641" s="194"/>
      <c r="B641" s="194"/>
      <c r="C641" s="232"/>
      <c r="D641" s="194"/>
      <c r="E641" s="194"/>
      <c r="F641" s="194"/>
      <c r="G641" s="194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</row>
    <row r="642" customFormat="false" ht="15.75" hidden="false" customHeight="false" outlineLevel="0" collapsed="false">
      <c r="A642" s="194"/>
      <c r="B642" s="194"/>
      <c r="C642" s="232"/>
      <c r="D642" s="194"/>
      <c r="E642" s="194"/>
      <c r="F642" s="194"/>
      <c r="G642" s="194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</row>
    <row r="643" customFormat="false" ht="15.75" hidden="false" customHeight="false" outlineLevel="0" collapsed="false">
      <c r="A643" s="194"/>
      <c r="B643" s="194"/>
      <c r="C643" s="232"/>
      <c r="D643" s="194"/>
      <c r="E643" s="194"/>
      <c r="F643" s="194"/>
      <c r="G643" s="194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</row>
    <row r="644" customFormat="false" ht="15.75" hidden="false" customHeight="false" outlineLevel="0" collapsed="false">
      <c r="A644" s="194"/>
      <c r="B644" s="194"/>
      <c r="C644" s="232"/>
      <c r="D644" s="194"/>
      <c r="E644" s="194"/>
      <c r="F644" s="194"/>
      <c r="G644" s="194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</row>
    <row r="645" customFormat="false" ht="15.75" hidden="false" customHeight="false" outlineLevel="0" collapsed="false">
      <c r="A645" s="194"/>
      <c r="B645" s="194"/>
      <c r="C645" s="232"/>
      <c r="D645" s="194"/>
      <c r="E645" s="194"/>
      <c r="F645" s="194"/>
      <c r="G645" s="194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</row>
    <row r="646" customFormat="false" ht="15.75" hidden="false" customHeight="false" outlineLevel="0" collapsed="false">
      <c r="A646" s="194"/>
      <c r="B646" s="194"/>
      <c r="C646" s="232"/>
      <c r="D646" s="194"/>
      <c r="E646" s="194"/>
      <c r="F646" s="194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</row>
    <row r="647" customFormat="false" ht="15.75" hidden="false" customHeight="false" outlineLevel="0" collapsed="false">
      <c r="A647" s="194"/>
      <c r="B647" s="194"/>
      <c r="C647" s="232"/>
      <c r="D647" s="194"/>
      <c r="E647" s="194"/>
      <c r="F647" s="194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</row>
    <row r="648" customFormat="false" ht="15.75" hidden="false" customHeight="false" outlineLevel="0" collapsed="false">
      <c r="A648" s="194"/>
      <c r="B648" s="194"/>
      <c r="C648" s="232"/>
      <c r="D648" s="194"/>
      <c r="E648" s="194"/>
      <c r="F648" s="194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</row>
    <row r="649" customFormat="false" ht="15.75" hidden="false" customHeight="false" outlineLevel="0" collapsed="false">
      <c r="A649" s="194"/>
      <c r="B649" s="194"/>
      <c r="C649" s="232"/>
      <c r="D649" s="194"/>
      <c r="E649" s="194"/>
      <c r="F649" s="194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</row>
    <row r="650" customFormat="false" ht="15.75" hidden="false" customHeight="false" outlineLevel="0" collapsed="false">
      <c r="A650" s="194"/>
      <c r="B650" s="194"/>
      <c r="C650" s="232"/>
      <c r="D650" s="194"/>
      <c r="E650" s="194"/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</row>
    <row r="651" customFormat="false" ht="15.75" hidden="false" customHeight="false" outlineLevel="0" collapsed="false">
      <c r="A651" s="194"/>
      <c r="B651" s="194"/>
      <c r="C651" s="232"/>
      <c r="D651" s="194"/>
      <c r="E651" s="194"/>
      <c r="F651" s="194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</row>
    <row r="652" customFormat="false" ht="15.75" hidden="false" customHeight="false" outlineLevel="0" collapsed="false">
      <c r="A652" s="194"/>
      <c r="B652" s="194"/>
      <c r="C652" s="232"/>
      <c r="D652" s="194"/>
      <c r="E652" s="194"/>
      <c r="F652" s="194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</row>
    <row r="653" customFormat="false" ht="15.75" hidden="false" customHeight="false" outlineLevel="0" collapsed="false">
      <c r="A653" s="194"/>
      <c r="B653" s="194"/>
      <c r="C653" s="232"/>
      <c r="D653" s="194"/>
      <c r="E653" s="194"/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</row>
    <row r="654" customFormat="false" ht="15.75" hidden="false" customHeight="false" outlineLevel="0" collapsed="false">
      <c r="A654" s="194"/>
      <c r="B654" s="194"/>
      <c r="C654" s="232"/>
      <c r="D654" s="194"/>
      <c r="E654" s="194"/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</row>
    <row r="655" customFormat="false" ht="15.75" hidden="false" customHeight="false" outlineLevel="0" collapsed="false">
      <c r="A655" s="194"/>
      <c r="B655" s="194"/>
      <c r="C655" s="232"/>
      <c r="D655" s="194"/>
      <c r="E655" s="194"/>
      <c r="F655" s="194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</row>
    <row r="656" customFormat="false" ht="15.75" hidden="false" customHeight="false" outlineLevel="0" collapsed="false">
      <c r="A656" s="194"/>
      <c r="B656" s="194"/>
      <c r="C656" s="232"/>
      <c r="D656" s="194"/>
      <c r="E656" s="194"/>
      <c r="F656" s="194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</row>
    <row r="657" customFormat="false" ht="15.75" hidden="false" customHeight="false" outlineLevel="0" collapsed="false">
      <c r="A657" s="194"/>
      <c r="B657" s="194"/>
      <c r="C657" s="232"/>
      <c r="D657" s="194"/>
      <c r="E657" s="194"/>
      <c r="F657" s="194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</row>
    <row r="658" customFormat="false" ht="15.75" hidden="false" customHeight="false" outlineLevel="0" collapsed="false">
      <c r="A658" s="194"/>
      <c r="B658" s="194"/>
      <c r="C658" s="232"/>
      <c r="D658" s="194"/>
      <c r="E658" s="194"/>
      <c r="F658" s="194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</row>
    <row r="659" customFormat="false" ht="15.75" hidden="false" customHeight="false" outlineLevel="0" collapsed="false">
      <c r="A659" s="194"/>
      <c r="B659" s="194"/>
      <c r="C659" s="232"/>
      <c r="D659" s="194"/>
      <c r="E659" s="194"/>
      <c r="F659" s="194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</row>
    <row r="660" customFormat="false" ht="15.75" hidden="false" customHeight="false" outlineLevel="0" collapsed="false">
      <c r="A660" s="194"/>
      <c r="B660" s="194"/>
      <c r="C660" s="232"/>
      <c r="D660" s="194"/>
      <c r="E660" s="194"/>
      <c r="F660" s="194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</row>
    <row r="661" customFormat="false" ht="15.75" hidden="false" customHeight="false" outlineLevel="0" collapsed="false">
      <c r="A661" s="194"/>
      <c r="B661" s="194"/>
      <c r="C661" s="232"/>
      <c r="D661" s="194"/>
      <c r="E661" s="194"/>
      <c r="F661" s="194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</row>
    <row r="662" customFormat="false" ht="15.75" hidden="false" customHeight="false" outlineLevel="0" collapsed="false">
      <c r="A662" s="194"/>
      <c r="B662" s="194"/>
      <c r="C662" s="232"/>
      <c r="D662" s="194"/>
      <c r="E662" s="194"/>
      <c r="F662" s="194"/>
      <c r="G662" s="194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</row>
    <row r="663" customFormat="false" ht="15.75" hidden="false" customHeight="false" outlineLevel="0" collapsed="false">
      <c r="A663" s="194"/>
      <c r="B663" s="194"/>
      <c r="C663" s="232"/>
      <c r="D663" s="194"/>
      <c r="E663" s="194"/>
      <c r="F663" s="194"/>
      <c r="G663" s="194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</row>
    <row r="664" customFormat="false" ht="15.75" hidden="false" customHeight="false" outlineLevel="0" collapsed="false">
      <c r="A664" s="194"/>
      <c r="B664" s="194"/>
      <c r="C664" s="232"/>
      <c r="D664" s="194"/>
      <c r="E664" s="194"/>
      <c r="F664" s="194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</row>
    <row r="665" customFormat="false" ht="15.75" hidden="false" customHeight="false" outlineLevel="0" collapsed="false">
      <c r="A665" s="194"/>
      <c r="B665" s="194"/>
      <c r="C665" s="232"/>
      <c r="D665" s="194"/>
      <c r="E665" s="194"/>
      <c r="F665" s="194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</row>
    <row r="666" customFormat="false" ht="15.75" hidden="false" customHeight="false" outlineLevel="0" collapsed="false">
      <c r="A666" s="194"/>
      <c r="B666" s="194"/>
      <c r="C666" s="232"/>
      <c r="D666" s="194"/>
      <c r="E666" s="194"/>
      <c r="F666" s="194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</row>
    <row r="667" customFormat="false" ht="15.75" hidden="false" customHeight="false" outlineLevel="0" collapsed="false">
      <c r="A667" s="194"/>
      <c r="B667" s="194"/>
      <c r="C667" s="232"/>
      <c r="D667" s="194"/>
      <c r="E667" s="194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</row>
    <row r="668" customFormat="false" ht="15.75" hidden="false" customHeight="false" outlineLevel="0" collapsed="false">
      <c r="A668" s="194"/>
      <c r="B668" s="194"/>
      <c r="C668" s="232"/>
      <c r="D668" s="194"/>
      <c r="E668" s="194"/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</row>
    <row r="669" customFormat="false" ht="15.75" hidden="false" customHeight="false" outlineLevel="0" collapsed="false">
      <c r="A669" s="194"/>
      <c r="B669" s="194"/>
      <c r="C669" s="232"/>
      <c r="D669" s="194"/>
      <c r="E669" s="194"/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</row>
    <row r="670" customFormat="false" ht="15.75" hidden="false" customHeight="false" outlineLevel="0" collapsed="false">
      <c r="A670" s="194"/>
      <c r="B670" s="194"/>
      <c r="C670" s="232"/>
      <c r="D670" s="194"/>
      <c r="E670" s="194"/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</row>
    <row r="671" customFormat="false" ht="15.75" hidden="false" customHeight="false" outlineLevel="0" collapsed="false">
      <c r="A671" s="194"/>
      <c r="B671" s="194"/>
      <c r="C671" s="232"/>
      <c r="D671" s="194"/>
      <c r="E671" s="194"/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</row>
    <row r="672" customFormat="false" ht="15.75" hidden="false" customHeight="false" outlineLevel="0" collapsed="false">
      <c r="A672" s="194"/>
      <c r="B672" s="194"/>
      <c r="C672" s="232"/>
      <c r="D672" s="194"/>
      <c r="E672" s="194"/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</row>
    <row r="673" customFormat="false" ht="15.75" hidden="false" customHeight="false" outlineLevel="0" collapsed="false">
      <c r="A673" s="194"/>
      <c r="B673" s="194"/>
      <c r="C673" s="232"/>
      <c r="D673" s="194"/>
      <c r="E673" s="194"/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</row>
    <row r="674" customFormat="false" ht="15.75" hidden="false" customHeight="false" outlineLevel="0" collapsed="false">
      <c r="A674" s="194"/>
      <c r="B674" s="194"/>
      <c r="C674" s="232"/>
      <c r="D674" s="194"/>
      <c r="E674" s="194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</row>
    <row r="675" customFormat="false" ht="15.75" hidden="false" customHeight="false" outlineLevel="0" collapsed="false">
      <c r="A675" s="194"/>
      <c r="B675" s="194"/>
      <c r="C675" s="232"/>
      <c r="D675" s="194"/>
      <c r="E675" s="194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</row>
    <row r="676" customFormat="false" ht="15.75" hidden="false" customHeight="false" outlineLevel="0" collapsed="false">
      <c r="A676" s="194"/>
      <c r="B676" s="194"/>
      <c r="C676" s="232"/>
      <c r="D676" s="194"/>
      <c r="E676" s="194"/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</row>
    <row r="677" customFormat="false" ht="15.75" hidden="false" customHeight="false" outlineLevel="0" collapsed="false">
      <c r="A677" s="194"/>
      <c r="B677" s="194"/>
      <c r="C677" s="232"/>
      <c r="D677" s="194"/>
      <c r="E677" s="194"/>
      <c r="F677" s="194"/>
      <c r="G677" s="194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</row>
    <row r="678" customFormat="false" ht="15.75" hidden="false" customHeight="false" outlineLevel="0" collapsed="false">
      <c r="A678" s="194"/>
      <c r="B678" s="194"/>
      <c r="C678" s="232"/>
      <c r="D678" s="194"/>
      <c r="E678" s="194"/>
      <c r="F678" s="194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</row>
    <row r="679" customFormat="false" ht="15.75" hidden="false" customHeight="false" outlineLevel="0" collapsed="false">
      <c r="A679" s="194"/>
      <c r="B679" s="194"/>
      <c r="C679" s="232"/>
      <c r="D679" s="194"/>
      <c r="E679" s="194"/>
      <c r="F679" s="194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</row>
    <row r="680" customFormat="false" ht="15.75" hidden="false" customHeight="false" outlineLevel="0" collapsed="false">
      <c r="A680" s="194"/>
      <c r="B680" s="194"/>
      <c r="C680" s="232"/>
      <c r="D680" s="194"/>
      <c r="E680" s="194"/>
      <c r="F680" s="194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</row>
    <row r="681" customFormat="false" ht="15.75" hidden="false" customHeight="false" outlineLevel="0" collapsed="false">
      <c r="A681" s="194"/>
      <c r="B681" s="194"/>
      <c r="C681" s="232"/>
      <c r="D681" s="194"/>
      <c r="E681" s="194"/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</row>
    <row r="682" customFormat="false" ht="15.75" hidden="false" customHeight="false" outlineLevel="0" collapsed="false">
      <c r="A682" s="194"/>
      <c r="B682" s="194"/>
      <c r="C682" s="232"/>
      <c r="D682" s="194"/>
      <c r="E682" s="194"/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</row>
    <row r="683" customFormat="false" ht="15.75" hidden="false" customHeight="false" outlineLevel="0" collapsed="false">
      <c r="A683" s="194"/>
      <c r="B683" s="194"/>
      <c r="C683" s="232"/>
      <c r="D683" s="194"/>
      <c r="E683" s="194"/>
      <c r="F683" s="194"/>
      <c r="G683" s="194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</row>
    <row r="684" customFormat="false" ht="15.75" hidden="false" customHeight="false" outlineLevel="0" collapsed="false">
      <c r="A684" s="194"/>
      <c r="B684" s="194"/>
      <c r="C684" s="232"/>
      <c r="D684" s="194"/>
      <c r="E684" s="194"/>
      <c r="F684" s="194"/>
      <c r="G684" s="194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</row>
    <row r="685" customFormat="false" ht="15.75" hidden="false" customHeight="false" outlineLevel="0" collapsed="false">
      <c r="A685" s="194"/>
      <c r="B685" s="194"/>
      <c r="C685" s="232"/>
      <c r="D685" s="194"/>
      <c r="E685" s="194"/>
      <c r="F685" s="194"/>
      <c r="G685" s="194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</row>
    <row r="686" customFormat="false" ht="15.75" hidden="false" customHeight="false" outlineLevel="0" collapsed="false">
      <c r="A686" s="194"/>
      <c r="B686" s="194"/>
      <c r="C686" s="232"/>
      <c r="D686" s="194"/>
      <c r="E686" s="194"/>
      <c r="F686" s="194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</row>
    <row r="687" customFormat="false" ht="15.75" hidden="false" customHeight="false" outlineLevel="0" collapsed="false">
      <c r="A687" s="194"/>
      <c r="B687" s="194"/>
      <c r="C687" s="232"/>
      <c r="D687" s="194"/>
      <c r="E687" s="194"/>
      <c r="F687" s="194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</row>
    <row r="688" customFormat="false" ht="15.75" hidden="false" customHeight="false" outlineLevel="0" collapsed="false">
      <c r="A688" s="194"/>
      <c r="B688" s="194"/>
      <c r="C688" s="232"/>
      <c r="D688" s="194"/>
      <c r="E688" s="194"/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</row>
    <row r="689" customFormat="false" ht="15.75" hidden="false" customHeight="false" outlineLevel="0" collapsed="false">
      <c r="A689" s="194"/>
      <c r="B689" s="194"/>
      <c r="C689" s="232"/>
      <c r="D689" s="194"/>
      <c r="E689" s="194"/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</row>
    <row r="690" customFormat="false" ht="15.75" hidden="false" customHeight="false" outlineLevel="0" collapsed="false">
      <c r="A690" s="194"/>
      <c r="B690" s="194"/>
      <c r="C690" s="232"/>
      <c r="D690" s="194"/>
      <c r="E690" s="194"/>
      <c r="F690" s="194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</row>
    <row r="691" customFormat="false" ht="15.75" hidden="false" customHeight="false" outlineLevel="0" collapsed="false">
      <c r="A691" s="194"/>
      <c r="B691" s="194"/>
      <c r="C691" s="232"/>
      <c r="D691" s="194"/>
      <c r="E691" s="194"/>
      <c r="F691" s="194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</row>
    <row r="692" customFormat="false" ht="15.75" hidden="false" customHeight="false" outlineLevel="0" collapsed="false">
      <c r="A692" s="194"/>
      <c r="B692" s="194"/>
      <c r="C692" s="232"/>
      <c r="D692" s="194"/>
      <c r="E692" s="194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</row>
    <row r="693" customFormat="false" ht="15.75" hidden="false" customHeight="false" outlineLevel="0" collapsed="false">
      <c r="A693" s="194"/>
      <c r="B693" s="194"/>
      <c r="C693" s="232"/>
      <c r="D693" s="194"/>
      <c r="E693" s="194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</row>
    <row r="694" customFormat="false" ht="15.75" hidden="false" customHeight="false" outlineLevel="0" collapsed="false">
      <c r="A694" s="194"/>
      <c r="B694" s="194"/>
      <c r="C694" s="232"/>
      <c r="D694" s="194"/>
      <c r="E694" s="194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</row>
    <row r="695" customFormat="false" ht="15.75" hidden="false" customHeight="false" outlineLevel="0" collapsed="false">
      <c r="A695" s="194"/>
      <c r="B695" s="194"/>
      <c r="C695" s="232"/>
      <c r="D695" s="194"/>
      <c r="E695" s="194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</row>
    <row r="696" customFormat="false" ht="15.75" hidden="false" customHeight="false" outlineLevel="0" collapsed="false">
      <c r="A696" s="194"/>
      <c r="B696" s="194"/>
      <c r="C696" s="232"/>
      <c r="D696" s="194"/>
      <c r="E696" s="194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</row>
    <row r="697" customFormat="false" ht="15.75" hidden="false" customHeight="false" outlineLevel="0" collapsed="false">
      <c r="A697" s="194"/>
      <c r="B697" s="194"/>
      <c r="C697" s="232"/>
      <c r="D697" s="194"/>
      <c r="E697" s="194"/>
      <c r="F697" s="194"/>
      <c r="G697" s="194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</row>
    <row r="698" customFormat="false" ht="15.75" hidden="false" customHeight="false" outlineLevel="0" collapsed="false">
      <c r="A698" s="194"/>
      <c r="B698" s="194"/>
      <c r="C698" s="232"/>
      <c r="D698" s="194"/>
      <c r="E698" s="194"/>
      <c r="F698" s="194"/>
      <c r="G698" s="194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</row>
    <row r="699" customFormat="false" ht="15.75" hidden="false" customHeight="false" outlineLevel="0" collapsed="false">
      <c r="A699" s="194"/>
      <c r="B699" s="194"/>
      <c r="C699" s="232"/>
      <c r="D699" s="194"/>
      <c r="E699" s="194"/>
      <c r="F699" s="194"/>
      <c r="G699" s="194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</row>
    <row r="700" customFormat="false" ht="15.75" hidden="false" customHeight="false" outlineLevel="0" collapsed="false">
      <c r="A700" s="194"/>
      <c r="B700" s="194"/>
      <c r="C700" s="232"/>
      <c r="D700" s="194"/>
      <c r="E700" s="194"/>
      <c r="F700" s="194"/>
      <c r="G700" s="194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</row>
    <row r="701" customFormat="false" ht="15.75" hidden="false" customHeight="false" outlineLevel="0" collapsed="false">
      <c r="A701" s="194"/>
      <c r="B701" s="194"/>
      <c r="C701" s="232"/>
      <c r="D701" s="194"/>
      <c r="E701" s="194"/>
      <c r="F701" s="194"/>
      <c r="G701" s="194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</row>
    <row r="702" customFormat="false" ht="15.75" hidden="false" customHeight="false" outlineLevel="0" collapsed="false">
      <c r="A702" s="194"/>
      <c r="B702" s="194"/>
      <c r="C702" s="232"/>
      <c r="D702" s="194"/>
      <c r="E702" s="194"/>
      <c r="F702" s="194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</row>
    <row r="703" customFormat="false" ht="15.75" hidden="false" customHeight="false" outlineLevel="0" collapsed="false">
      <c r="A703" s="194"/>
      <c r="B703" s="194"/>
      <c r="C703" s="232"/>
      <c r="D703" s="194"/>
      <c r="E703" s="194"/>
      <c r="F703" s="194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</row>
    <row r="704" customFormat="false" ht="15.75" hidden="false" customHeight="false" outlineLevel="0" collapsed="false">
      <c r="A704" s="194"/>
      <c r="B704" s="194"/>
      <c r="C704" s="232"/>
      <c r="D704" s="194"/>
      <c r="E704" s="194"/>
      <c r="F704" s="194"/>
      <c r="G704" s="194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</row>
    <row r="705" customFormat="false" ht="15.75" hidden="false" customHeight="false" outlineLevel="0" collapsed="false">
      <c r="A705" s="194"/>
      <c r="B705" s="194"/>
      <c r="C705" s="232"/>
      <c r="D705" s="194"/>
      <c r="E705" s="194"/>
      <c r="F705" s="194"/>
      <c r="G705" s="194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</row>
    <row r="706" customFormat="false" ht="15.75" hidden="false" customHeight="false" outlineLevel="0" collapsed="false">
      <c r="A706" s="194"/>
      <c r="B706" s="194"/>
      <c r="C706" s="232"/>
      <c r="D706" s="194"/>
      <c r="E706" s="194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</row>
    <row r="707" customFormat="false" ht="15.75" hidden="false" customHeight="false" outlineLevel="0" collapsed="false">
      <c r="A707" s="194"/>
      <c r="B707" s="194"/>
      <c r="C707" s="232"/>
      <c r="D707" s="194"/>
      <c r="E707" s="194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</row>
    <row r="708" customFormat="false" ht="15.75" hidden="false" customHeight="false" outlineLevel="0" collapsed="false">
      <c r="A708" s="194"/>
      <c r="B708" s="194"/>
      <c r="C708" s="232"/>
      <c r="D708" s="194"/>
      <c r="E708" s="194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</row>
    <row r="709" customFormat="false" ht="15.75" hidden="false" customHeight="false" outlineLevel="0" collapsed="false">
      <c r="A709" s="194"/>
      <c r="B709" s="194"/>
      <c r="C709" s="232"/>
      <c r="D709" s="194"/>
      <c r="E709" s="194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</row>
    <row r="710" customFormat="false" ht="15.75" hidden="false" customHeight="false" outlineLevel="0" collapsed="false">
      <c r="A710" s="194"/>
      <c r="B710" s="194"/>
      <c r="C710" s="232"/>
      <c r="D710" s="194"/>
      <c r="E710" s="194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</row>
    <row r="711" customFormat="false" ht="15.75" hidden="false" customHeight="false" outlineLevel="0" collapsed="false">
      <c r="A711" s="194"/>
      <c r="B711" s="194"/>
      <c r="C711" s="232"/>
      <c r="D711" s="194"/>
      <c r="E711" s="194"/>
      <c r="F711" s="194"/>
      <c r="G711" s="194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</row>
    <row r="712" customFormat="false" ht="15.75" hidden="false" customHeight="false" outlineLevel="0" collapsed="false">
      <c r="A712" s="194"/>
      <c r="B712" s="194"/>
      <c r="C712" s="232"/>
      <c r="D712" s="194"/>
      <c r="E712" s="194"/>
      <c r="F712" s="194"/>
      <c r="G712" s="194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</row>
    <row r="713" customFormat="false" ht="15.75" hidden="false" customHeight="false" outlineLevel="0" collapsed="false">
      <c r="A713" s="194"/>
      <c r="B713" s="194"/>
      <c r="C713" s="232"/>
      <c r="D713" s="194"/>
      <c r="E713" s="194"/>
      <c r="F713" s="194"/>
      <c r="G713" s="194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</row>
    <row r="714" customFormat="false" ht="15.75" hidden="false" customHeight="false" outlineLevel="0" collapsed="false">
      <c r="A714" s="194"/>
      <c r="B714" s="194"/>
      <c r="C714" s="232"/>
      <c r="D714" s="194"/>
      <c r="E714" s="194"/>
      <c r="F714" s="194"/>
      <c r="G714" s="194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</row>
    <row r="715" customFormat="false" ht="15.75" hidden="false" customHeight="false" outlineLevel="0" collapsed="false">
      <c r="A715" s="194"/>
      <c r="B715" s="194"/>
      <c r="C715" s="232"/>
      <c r="D715" s="194"/>
      <c r="E715" s="194"/>
      <c r="F715" s="194"/>
      <c r="G715" s="194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</row>
    <row r="716" customFormat="false" ht="15.75" hidden="false" customHeight="false" outlineLevel="0" collapsed="false">
      <c r="A716" s="194"/>
      <c r="B716" s="194"/>
      <c r="C716" s="232"/>
      <c r="D716" s="194"/>
      <c r="E716" s="194"/>
      <c r="F716" s="194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</row>
    <row r="717" customFormat="false" ht="15.75" hidden="false" customHeight="false" outlineLevel="0" collapsed="false">
      <c r="A717" s="194"/>
      <c r="B717" s="194"/>
      <c r="C717" s="232"/>
      <c r="D717" s="194"/>
      <c r="E717" s="194"/>
      <c r="F717" s="194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</row>
    <row r="718" customFormat="false" ht="15.75" hidden="false" customHeight="false" outlineLevel="0" collapsed="false">
      <c r="A718" s="194"/>
      <c r="B718" s="194"/>
      <c r="C718" s="232"/>
      <c r="D718" s="194"/>
      <c r="E718" s="194"/>
      <c r="F718" s="194"/>
      <c r="G718" s="194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</row>
    <row r="719" customFormat="false" ht="15.75" hidden="false" customHeight="false" outlineLevel="0" collapsed="false">
      <c r="A719" s="194"/>
      <c r="B719" s="194"/>
      <c r="C719" s="232"/>
      <c r="D719" s="194"/>
      <c r="E719" s="194"/>
      <c r="F719" s="194"/>
      <c r="G719" s="194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</row>
    <row r="720" customFormat="false" ht="15.75" hidden="false" customHeight="false" outlineLevel="0" collapsed="false">
      <c r="A720" s="194"/>
      <c r="B720" s="194"/>
      <c r="C720" s="232"/>
      <c r="D720" s="194"/>
      <c r="E720" s="194"/>
      <c r="F720" s="194"/>
      <c r="G720" s="194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</row>
    <row r="721" customFormat="false" ht="15.75" hidden="false" customHeight="false" outlineLevel="0" collapsed="false">
      <c r="A721" s="194"/>
      <c r="B721" s="194"/>
      <c r="C721" s="232"/>
      <c r="D721" s="194"/>
      <c r="E721" s="194"/>
      <c r="F721" s="194"/>
      <c r="G721" s="194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</row>
    <row r="722" customFormat="false" ht="15.75" hidden="false" customHeight="false" outlineLevel="0" collapsed="false">
      <c r="A722" s="194"/>
      <c r="B722" s="194"/>
      <c r="C722" s="232"/>
      <c r="D722" s="194"/>
      <c r="E722" s="194"/>
      <c r="F722" s="194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</row>
    <row r="723" customFormat="false" ht="15.75" hidden="false" customHeight="false" outlineLevel="0" collapsed="false">
      <c r="A723" s="194"/>
      <c r="B723" s="194"/>
      <c r="C723" s="232"/>
      <c r="D723" s="194"/>
      <c r="E723" s="194"/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</row>
    <row r="724" customFormat="false" ht="15.75" hidden="false" customHeight="false" outlineLevel="0" collapsed="false">
      <c r="A724" s="194"/>
      <c r="B724" s="194"/>
      <c r="C724" s="232"/>
      <c r="D724" s="194"/>
      <c r="E724" s="194"/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</row>
    <row r="725" customFormat="false" ht="15.75" hidden="false" customHeight="false" outlineLevel="0" collapsed="false">
      <c r="A725" s="194"/>
      <c r="B725" s="194"/>
      <c r="C725" s="232"/>
      <c r="D725" s="194"/>
      <c r="E725" s="194"/>
      <c r="F725" s="194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</row>
    <row r="726" customFormat="false" ht="15.75" hidden="false" customHeight="false" outlineLevel="0" collapsed="false">
      <c r="A726" s="194"/>
      <c r="B726" s="194"/>
      <c r="C726" s="232"/>
      <c r="D726" s="194"/>
      <c r="E726" s="194"/>
      <c r="F726" s="194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</row>
    <row r="727" customFormat="false" ht="15.75" hidden="false" customHeight="false" outlineLevel="0" collapsed="false">
      <c r="A727" s="194"/>
      <c r="B727" s="194"/>
      <c r="C727" s="232"/>
      <c r="D727" s="194"/>
      <c r="E727" s="194"/>
      <c r="F727" s="194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</row>
    <row r="728" customFormat="false" ht="15.75" hidden="false" customHeight="false" outlineLevel="0" collapsed="false">
      <c r="A728" s="194"/>
      <c r="B728" s="194"/>
      <c r="C728" s="232"/>
      <c r="D728" s="194"/>
      <c r="E728" s="194"/>
      <c r="F728" s="194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</row>
    <row r="729" customFormat="false" ht="15.75" hidden="false" customHeight="false" outlineLevel="0" collapsed="false">
      <c r="A729" s="194"/>
      <c r="B729" s="194"/>
      <c r="C729" s="232"/>
      <c r="D729" s="194"/>
      <c r="E729" s="194"/>
      <c r="F729" s="194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</row>
    <row r="730" customFormat="false" ht="15.75" hidden="false" customHeight="false" outlineLevel="0" collapsed="false">
      <c r="A730" s="194"/>
      <c r="B730" s="194"/>
      <c r="C730" s="232"/>
      <c r="D730" s="194"/>
      <c r="E730" s="194"/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</row>
    <row r="731" customFormat="false" ht="15.75" hidden="false" customHeight="false" outlineLevel="0" collapsed="false">
      <c r="A731" s="194"/>
      <c r="B731" s="194"/>
      <c r="C731" s="232"/>
      <c r="D731" s="194"/>
      <c r="E731" s="194"/>
      <c r="F731" s="194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</row>
    <row r="732" customFormat="false" ht="15.75" hidden="false" customHeight="false" outlineLevel="0" collapsed="false">
      <c r="A732" s="194"/>
      <c r="B732" s="194"/>
      <c r="C732" s="232"/>
      <c r="D732" s="194"/>
      <c r="E732" s="194"/>
      <c r="F732" s="194"/>
      <c r="G732" s="194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</row>
    <row r="733" customFormat="false" ht="15.75" hidden="false" customHeight="false" outlineLevel="0" collapsed="false">
      <c r="A733" s="194"/>
      <c r="B733" s="194"/>
      <c r="C733" s="232"/>
      <c r="D733" s="194"/>
      <c r="E733" s="194"/>
      <c r="F733" s="194"/>
      <c r="G733" s="194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</row>
    <row r="734" customFormat="false" ht="15.75" hidden="false" customHeight="false" outlineLevel="0" collapsed="false">
      <c r="A734" s="194"/>
      <c r="B734" s="194"/>
      <c r="C734" s="232"/>
      <c r="D734" s="194"/>
      <c r="E734" s="194"/>
      <c r="F734" s="194"/>
      <c r="G734" s="194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</row>
    <row r="735" customFormat="false" ht="15.75" hidden="false" customHeight="false" outlineLevel="0" collapsed="false">
      <c r="A735" s="194"/>
      <c r="B735" s="194"/>
      <c r="C735" s="232"/>
      <c r="D735" s="194"/>
      <c r="E735" s="194"/>
      <c r="F735" s="194"/>
      <c r="G735" s="194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</row>
    <row r="736" customFormat="false" ht="15.75" hidden="false" customHeight="false" outlineLevel="0" collapsed="false">
      <c r="A736" s="194"/>
      <c r="B736" s="194"/>
      <c r="C736" s="232"/>
      <c r="D736" s="194"/>
      <c r="E736" s="194"/>
      <c r="F736" s="194"/>
      <c r="G736" s="194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</row>
    <row r="737" customFormat="false" ht="15.75" hidden="false" customHeight="false" outlineLevel="0" collapsed="false">
      <c r="A737" s="194"/>
      <c r="B737" s="194"/>
      <c r="C737" s="232"/>
      <c r="D737" s="194"/>
      <c r="E737" s="194"/>
      <c r="F737" s="194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</row>
    <row r="738" customFormat="false" ht="15.75" hidden="false" customHeight="false" outlineLevel="0" collapsed="false">
      <c r="A738" s="194"/>
      <c r="B738" s="194"/>
      <c r="C738" s="232"/>
      <c r="D738" s="194"/>
      <c r="E738" s="194"/>
      <c r="F738" s="194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</row>
    <row r="739" customFormat="false" ht="15.75" hidden="false" customHeight="false" outlineLevel="0" collapsed="false">
      <c r="A739" s="194"/>
      <c r="B739" s="194"/>
      <c r="C739" s="232"/>
      <c r="D739" s="194"/>
      <c r="E739" s="194"/>
      <c r="F739" s="194"/>
      <c r="G739" s="194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</row>
    <row r="740" customFormat="false" ht="15.75" hidden="false" customHeight="false" outlineLevel="0" collapsed="false">
      <c r="A740" s="194"/>
      <c r="B740" s="194"/>
      <c r="C740" s="232"/>
      <c r="D740" s="194"/>
      <c r="E740" s="194"/>
      <c r="F740" s="194"/>
      <c r="G740" s="194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</row>
    <row r="741" customFormat="false" ht="15.75" hidden="false" customHeight="false" outlineLevel="0" collapsed="false">
      <c r="A741" s="194"/>
      <c r="B741" s="194"/>
      <c r="C741" s="232"/>
      <c r="D741" s="194"/>
      <c r="E741" s="194"/>
      <c r="F741" s="194"/>
      <c r="G741" s="194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</row>
    <row r="742" customFormat="false" ht="15.75" hidden="false" customHeight="false" outlineLevel="0" collapsed="false">
      <c r="A742" s="194"/>
      <c r="B742" s="194"/>
      <c r="C742" s="232"/>
      <c r="D742" s="194"/>
      <c r="E742" s="194"/>
      <c r="F742" s="194"/>
      <c r="G742" s="194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</row>
    <row r="743" customFormat="false" ht="15.75" hidden="false" customHeight="false" outlineLevel="0" collapsed="false">
      <c r="A743" s="194"/>
      <c r="B743" s="194"/>
      <c r="C743" s="232"/>
      <c r="D743" s="194"/>
      <c r="E743" s="194"/>
      <c r="F743" s="194"/>
      <c r="G743" s="194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</row>
    <row r="744" customFormat="false" ht="15.75" hidden="false" customHeight="false" outlineLevel="0" collapsed="false">
      <c r="A744" s="194"/>
      <c r="B744" s="194"/>
      <c r="C744" s="232"/>
      <c r="D744" s="194"/>
      <c r="E744" s="194"/>
      <c r="F744" s="194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</row>
    <row r="745" customFormat="false" ht="15.75" hidden="false" customHeight="false" outlineLevel="0" collapsed="false">
      <c r="A745" s="194"/>
      <c r="B745" s="194"/>
      <c r="C745" s="232"/>
      <c r="D745" s="194"/>
      <c r="E745" s="194"/>
      <c r="F745" s="194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</row>
    <row r="746" customFormat="false" ht="15.75" hidden="false" customHeight="false" outlineLevel="0" collapsed="false">
      <c r="A746" s="194"/>
      <c r="B746" s="194"/>
      <c r="C746" s="232"/>
      <c r="D746" s="194"/>
      <c r="E746" s="194"/>
      <c r="F746" s="194"/>
      <c r="G746" s="194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</row>
    <row r="747" customFormat="false" ht="15.75" hidden="false" customHeight="false" outlineLevel="0" collapsed="false">
      <c r="A747" s="194"/>
      <c r="B747" s="194"/>
      <c r="C747" s="232"/>
      <c r="D747" s="194"/>
      <c r="E747" s="194"/>
      <c r="F747" s="194"/>
      <c r="G747" s="194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</row>
    <row r="748" customFormat="false" ht="15.75" hidden="false" customHeight="false" outlineLevel="0" collapsed="false">
      <c r="A748" s="194"/>
      <c r="B748" s="194"/>
      <c r="C748" s="232"/>
      <c r="D748" s="194"/>
      <c r="E748" s="194"/>
      <c r="F748" s="194"/>
      <c r="G748" s="194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</row>
    <row r="749" customFormat="false" ht="15.75" hidden="false" customHeight="false" outlineLevel="0" collapsed="false">
      <c r="A749" s="194"/>
      <c r="B749" s="194"/>
      <c r="C749" s="232"/>
      <c r="D749" s="194"/>
      <c r="E749" s="194"/>
      <c r="F749" s="194"/>
      <c r="G749" s="194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</row>
    <row r="750" customFormat="false" ht="15.75" hidden="false" customHeight="false" outlineLevel="0" collapsed="false">
      <c r="A750" s="194"/>
      <c r="B750" s="194"/>
      <c r="C750" s="232"/>
      <c r="D750" s="194"/>
      <c r="E750" s="194"/>
      <c r="F750" s="194"/>
      <c r="G750" s="194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</row>
    <row r="751" customFormat="false" ht="15.75" hidden="false" customHeight="false" outlineLevel="0" collapsed="false">
      <c r="A751" s="194"/>
      <c r="B751" s="194"/>
      <c r="C751" s="232"/>
      <c r="D751" s="194"/>
      <c r="E751" s="194"/>
      <c r="F751" s="194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</row>
    <row r="752" customFormat="false" ht="15.75" hidden="false" customHeight="false" outlineLevel="0" collapsed="false">
      <c r="A752" s="194"/>
      <c r="B752" s="194"/>
      <c r="C752" s="232"/>
      <c r="D752" s="194"/>
      <c r="E752" s="194"/>
      <c r="F752" s="194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</row>
    <row r="753" customFormat="false" ht="15.75" hidden="false" customHeight="false" outlineLevel="0" collapsed="false">
      <c r="A753" s="194"/>
      <c r="B753" s="194"/>
      <c r="C753" s="232"/>
      <c r="D753" s="194"/>
      <c r="E753" s="194"/>
      <c r="F753" s="194"/>
      <c r="G753" s="194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</row>
    <row r="754" customFormat="false" ht="15.75" hidden="false" customHeight="false" outlineLevel="0" collapsed="false">
      <c r="A754" s="194"/>
      <c r="B754" s="194"/>
      <c r="C754" s="232"/>
      <c r="D754" s="194"/>
      <c r="E754" s="194"/>
      <c r="F754" s="194"/>
      <c r="G754" s="194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</row>
    <row r="755" customFormat="false" ht="15.75" hidden="false" customHeight="false" outlineLevel="0" collapsed="false">
      <c r="A755" s="194"/>
      <c r="B755" s="194"/>
      <c r="C755" s="232"/>
      <c r="D755" s="194"/>
      <c r="E755" s="194"/>
      <c r="F755" s="194"/>
      <c r="G755" s="194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</row>
    <row r="756" customFormat="false" ht="15.75" hidden="false" customHeight="false" outlineLevel="0" collapsed="false">
      <c r="A756" s="194"/>
      <c r="B756" s="194"/>
      <c r="C756" s="232"/>
      <c r="D756" s="194"/>
      <c r="E756" s="194"/>
      <c r="F756" s="194"/>
      <c r="G756" s="194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</row>
    <row r="757" customFormat="false" ht="15.75" hidden="false" customHeight="false" outlineLevel="0" collapsed="false">
      <c r="A757" s="194"/>
      <c r="B757" s="194"/>
      <c r="C757" s="232"/>
      <c r="D757" s="194"/>
      <c r="E757" s="194"/>
      <c r="F757" s="194"/>
      <c r="G757" s="194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</row>
    <row r="758" customFormat="false" ht="15.75" hidden="false" customHeight="false" outlineLevel="0" collapsed="false">
      <c r="A758" s="194"/>
      <c r="B758" s="194"/>
      <c r="C758" s="232"/>
      <c r="D758" s="194"/>
      <c r="E758" s="194"/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</row>
    <row r="759" customFormat="false" ht="15.75" hidden="false" customHeight="false" outlineLevel="0" collapsed="false">
      <c r="A759" s="194"/>
      <c r="B759" s="194"/>
      <c r="C759" s="232"/>
      <c r="D759" s="194"/>
      <c r="E759" s="194"/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</row>
    <row r="760" customFormat="false" ht="15.75" hidden="false" customHeight="false" outlineLevel="0" collapsed="false">
      <c r="A760" s="194"/>
      <c r="B760" s="194"/>
      <c r="C760" s="232"/>
      <c r="D760" s="194"/>
      <c r="E760" s="194"/>
      <c r="F760" s="194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</row>
    <row r="761" customFormat="false" ht="15.75" hidden="false" customHeight="false" outlineLevel="0" collapsed="false">
      <c r="A761" s="194"/>
      <c r="B761" s="194"/>
      <c r="C761" s="232"/>
      <c r="D761" s="194"/>
      <c r="E761" s="194"/>
      <c r="F761" s="194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</row>
    <row r="762" customFormat="false" ht="15.75" hidden="false" customHeight="false" outlineLevel="0" collapsed="false">
      <c r="A762" s="194"/>
      <c r="B762" s="194"/>
      <c r="C762" s="232"/>
      <c r="D762" s="194"/>
      <c r="E762" s="194"/>
      <c r="F762" s="194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</row>
    <row r="763" customFormat="false" ht="15.75" hidden="false" customHeight="false" outlineLevel="0" collapsed="false">
      <c r="A763" s="194"/>
      <c r="B763" s="194"/>
      <c r="C763" s="232"/>
      <c r="D763" s="194"/>
      <c r="E763" s="194"/>
      <c r="F763" s="194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</row>
    <row r="764" customFormat="false" ht="15.75" hidden="false" customHeight="false" outlineLevel="0" collapsed="false">
      <c r="A764" s="194"/>
      <c r="B764" s="194"/>
      <c r="C764" s="232"/>
      <c r="D764" s="194"/>
      <c r="E764" s="194"/>
      <c r="F764" s="194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</row>
    <row r="765" customFormat="false" ht="15.75" hidden="false" customHeight="false" outlineLevel="0" collapsed="false">
      <c r="A765" s="194"/>
      <c r="B765" s="194"/>
      <c r="C765" s="232"/>
      <c r="D765" s="194"/>
      <c r="E765" s="194"/>
      <c r="F765" s="194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</row>
    <row r="766" customFormat="false" ht="15.75" hidden="false" customHeight="false" outlineLevel="0" collapsed="false">
      <c r="A766" s="194"/>
      <c r="B766" s="194"/>
      <c r="C766" s="232"/>
      <c r="D766" s="194"/>
      <c r="E766" s="194"/>
      <c r="F766" s="194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</row>
    <row r="767" customFormat="false" ht="15.75" hidden="false" customHeight="false" outlineLevel="0" collapsed="false">
      <c r="A767" s="194"/>
      <c r="B767" s="194"/>
      <c r="C767" s="232"/>
      <c r="D767" s="194"/>
      <c r="E767" s="194"/>
      <c r="F767" s="194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</row>
    <row r="768" customFormat="false" ht="15.75" hidden="false" customHeight="false" outlineLevel="0" collapsed="false">
      <c r="A768" s="194"/>
      <c r="B768" s="194"/>
      <c r="C768" s="232"/>
      <c r="D768" s="194"/>
      <c r="E768" s="194"/>
      <c r="F768" s="194"/>
      <c r="G768" s="194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</row>
    <row r="769" customFormat="false" ht="15.75" hidden="false" customHeight="false" outlineLevel="0" collapsed="false">
      <c r="A769" s="194"/>
      <c r="B769" s="194"/>
      <c r="C769" s="232"/>
      <c r="D769" s="194"/>
      <c r="E769" s="194"/>
      <c r="F769" s="194"/>
      <c r="G769" s="194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</row>
    <row r="770" customFormat="false" ht="15.75" hidden="false" customHeight="false" outlineLevel="0" collapsed="false">
      <c r="A770" s="194"/>
      <c r="B770" s="194"/>
      <c r="C770" s="232"/>
      <c r="D770" s="194"/>
      <c r="E770" s="194"/>
      <c r="F770" s="194"/>
      <c r="G770" s="194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</row>
    <row r="771" customFormat="false" ht="15.75" hidden="false" customHeight="false" outlineLevel="0" collapsed="false">
      <c r="A771" s="194"/>
      <c r="B771" s="194"/>
      <c r="C771" s="232"/>
      <c r="D771" s="194"/>
      <c r="E771" s="194"/>
      <c r="F771" s="194"/>
      <c r="G771" s="194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</row>
    <row r="772" customFormat="false" ht="15.75" hidden="false" customHeight="false" outlineLevel="0" collapsed="false">
      <c r="A772" s="194"/>
      <c r="B772" s="194"/>
      <c r="C772" s="232"/>
      <c r="D772" s="194"/>
      <c r="E772" s="194"/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</row>
    <row r="773" customFormat="false" ht="15.75" hidden="false" customHeight="false" outlineLevel="0" collapsed="false">
      <c r="A773" s="194"/>
      <c r="B773" s="194"/>
      <c r="C773" s="232"/>
      <c r="D773" s="194"/>
      <c r="E773" s="194"/>
      <c r="F773" s="194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</row>
    <row r="774" customFormat="false" ht="15.75" hidden="false" customHeight="false" outlineLevel="0" collapsed="false">
      <c r="A774" s="194"/>
      <c r="B774" s="194"/>
      <c r="C774" s="232"/>
      <c r="D774" s="194"/>
      <c r="E774" s="194"/>
      <c r="F774" s="194"/>
      <c r="G774" s="194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</row>
    <row r="775" customFormat="false" ht="15.75" hidden="false" customHeight="false" outlineLevel="0" collapsed="false">
      <c r="A775" s="194"/>
      <c r="B775" s="194"/>
      <c r="C775" s="232"/>
      <c r="D775" s="194"/>
      <c r="E775" s="194"/>
      <c r="F775" s="194"/>
      <c r="G775" s="194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</row>
    <row r="776" customFormat="false" ht="15.75" hidden="false" customHeight="false" outlineLevel="0" collapsed="false">
      <c r="A776" s="194"/>
      <c r="B776" s="194"/>
      <c r="C776" s="232"/>
      <c r="D776" s="194"/>
      <c r="E776" s="194"/>
      <c r="F776" s="194"/>
      <c r="G776" s="194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</row>
    <row r="777" customFormat="false" ht="15.75" hidden="false" customHeight="false" outlineLevel="0" collapsed="false">
      <c r="A777" s="194"/>
      <c r="B777" s="194"/>
      <c r="C777" s="232"/>
      <c r="D777" s="194"/>
      <c r="E777" s="194"/>
      <c r="F777" s="194"/>
      <c r="G777" s="194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</row>
    <row r="778" customFormat="false" ht="15.75" hidden="false" customHeight="false" outlineLevel="0" collapsed="false">
      <c r="A778" s="194"/>
      <c r="B778" s="194"/>
      <c r="C778" s="232"/>
      <c r="D778" s="194"/>
      <c r="E778" s="194"/>
      <c r="F778" s="194"/>
      <c r="G778" s="194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</row>
    <row r="779" customFormat="false" ht="15.75" hidden="false" customHeight="false" outlineLevel="0" collapsed="false">
      <c r="A779" s="194"/>
      <c r="B779" s="194"/>
      <c r="C779" s="232"/>
      <c r="D779" s="194"/>
      <c r="E779" s="194"/>
      <c r="F779" s="194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</row>
    <row r="780" customFormat="false" ht="15.75" hidden="false" customHeight="false" outlineLevel="0" collapsed="false">
      <c r="A780" s="194"/>
      <c r="B780" s="194"/>
      <c r="C780" s="232"/>
      <c r="D780" s="194"/>
      <c r="E780" s="194"/>
      <c r="F780" s="194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</row>
    <row r="781" customFormat="false" ht="15.75" hidden="false" customHeight="false" outlineLevel="0" collapsed="false">
      <c r="A781" s="194"/>
      <c r="B781" s="194"/>
      <c r="C781" s="232"/>
      <c r="D781" s="194"/>
      <c r="E781" s="194"/>
      <c r="F781" s="194"/>
      <c r="G781" s="194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</row>
    <row r="782" customFormat="false" ht="15.75" hidden="false" customHeight="false" outlineLevel="0" collapsed="false">
      <c r="A782" s="194"/>
      <c r="B782" s="194"/>
      <c r="C782" s="232"/>
      <c r="D782" s="194"/>
      <c r="E782" s="194"/>
      <c r="F782" s="194"/>
      <c r="G782" s="194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</row>
    <row r="783" customFormat="false" ht="15.75" hidden="false" customHeight="false" outlineLevel="0" collapsed="false">
      <c r="A783" s="194"/>
      <c r="B783" s="194"/>
      <c r="C783" s="232"/>
      <c r="D783" s="194"/>
      <c r="E783" s="194"/>
      <c r="F783" s="194"/>
      <c r="G783" s="194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</row>
    <row r="784" customFormat="false" ht="15.75" hidden="false" customHeight="false" outlineLevel="0" collapsed="false">
      <c r="A784" s="194"/>
      <c r="B784" s="194"/>
      <c r="C784" s="232"/>
      <c r="D784" s="194"/>
      <c r="E784" s="194"/>
      <c r="F784" s="194"/>
      <c r="G784" s="194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</row>
    <row r="785" customFormat="false" ht="15.75" hidden="false" customHeight="false" outlineLevel="0" collapsed="false">
      <c r="A785" s="194"/>
      <c r="B785" s="194"/>
      <c r="C785" s="232"/>
      <c r="D785" s="194"/>
      <c r="E785" s="194"/>
      <c r="F785" s="194"/>
      <c r="G785" s="194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</row>
    <row r="786" customFormat="false" ht="15.75" hidden="false" customHeight="false" outlineLevel="0" collapsed="false">
      <c r="A786" s="194"/>
      <c r="B786" s="194"/>
      <c r="C786" s="232"/>
      <c r="D786" s="194"/>
      <c r="E786" s="194"/>
      <c r="F786" s="194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</row>
    <row r="787" customFormat="false" ht="15.75" hidden="false" customHeight="false" outlineLevel="0" collapsed="false">
      <c r="A787" s="194"/>
      <c r="B787" s="194"/>
      <c r="C787" s="232"/>
      <c r="D787" s="194"/>
      <c r="E787" s="194"/>
      <c r="F787" s="194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</row>
    <row r="788" customFormat="false" ht="15.75" hidden="false" customHeight="false" outlineLevel="0" collapsed="false">
      <c r="A788" s="194"/>
      <c r="B788" s="194"/>
      <c r="C788" s="232"/>
      <c r="D788" s="194"/>
      <c r="E788" s="194"/>
      <c r="F788" s="194"/>
      <c r="G788" s="194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</row>
    <row r="789" customFormat="false" ht="15.75" hidden="false" customHeight="false" outlineLevel="0" collapsed="false">
      <c r="A789" s="194"/>
      <c r="B789" s="194"/>
      <c r="C789" s="232"/>
      <c r="D789" s="194"/>
      <c r="E789" s="194"/>
      <c r="F789" s="194"/>
      <c r="G789" s="194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</row>
    <row r="790" customFormat="false" ht="15.75" hidden="false" customHeight="false" outlineLevel="0" collapsed="false">
      <c r="A790" s="194"/>
      <c r="B790" s="194"/>
      <c r="C790" s="232"/>
      <c r="D790" s="194"/>
      <c r="E790" s="194"/>
      <c r="F790" s="194"/>
      <c r="G790" s="194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</row>
    <row r="791" customFormat="false" ht="15.75" hidden="false" customHeight="false" outlineLevel="0" collapsed="false">
      <c r="A791" s="194"/>
      <c r="B791" s="194"/>
      <c r="C791" s="232"/>
      <c r="D791" s="194"/>
      <c r="E791" s="194"/>
      <c r="F791" s="194"/>
      <c r="G791" s="194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</row>
    <row r="792" customFormat="false" ht="15.75" hidden="false" customHeight="false" outlineLevel="0" collapsed="false">
      <c r="A792" s="194"/>
      <c r="B792" s="194"/>
      <c r="C792" s="232"/>
      <c r="D792" s="194"/>
      <c r="E792" s="194"/>
      <c r="F792" s="194"/>
      <c r="G792" s="194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</row>
    <row r="793" customFormat="false" ht="15.75" hidden="false" customHeight="false" outlineLevel="0" collapsed="false">
      <c r="A793" s="194"/>
      <c r="B793" s="194"/>
      <c r="C793" s="232"/>
      <c r="D793" s="194"/>
      <c r="E793" s="194"/>
      <c r="F793" s="194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</row>
    <row r="794" customFormat="false" ht="15.75" hidden="false" customHeight="false" outlineLevel="0" collapsed="false">
      <c r="A794" s="194"/>
      <c r="B794" s="194"/>
      <c r="C794" s="232"/>
      <c r="D794" s="194"/>
      <c r="E794" s="194"/>
      <c r="F794" s="194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</row>
    <row r="795" customFormat="false" ht="15.75" hidden="false" customHeight="false" outlineLevel="0" collapsed="false">
      <c r="A795" s="194"/>
      <c r="B795" s="194"/>
      <c r="C795" s="232"/>
      <c r="D795" s="194"/>
      <c r="E795" s="194"/>
      <c r="F795" s="194"/>
      <c r="G795" s="194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</row>
    <row r="796" customFormat="false" ht="15.75" hidden="false" customHeight="false" outlineLevel="0" collapsed="false">
      <c r="A796" s="194"/>
      <c r="B796" s="194"/>
      <c r="C796" s="232"/>
      <c r="D796" s="194"/>
      <c r="E796" s="194"/>
      <c r="F796" s="194"/>
      <c r="G796" s="194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</row>
    <row r="797" customFormat="false" ht="15.75" hidden="false" customHeight="false" outlineLevel="0" collapsed="false">
      <c r="A797" s="194"/>
      <c r="B797" s="194"/>
      <c r="C797" s="232"/>
      <c r="D797" s="194"/>
      <c r="E797" s="194"/>
      <c r="F797" s="194"/>
      <c r="G797" s="194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</row>
    <row r="798" customFormat="false" ht="15.75" hidden="false" customHeight="false" outlineLevel="0" collapsed="false">
      <c r="A798" s="194"/>
      <c r="B798" s="194"/>
      <c r="C798" s="232"/>
      <c r="D798" s="194"/>
      <c r="E798" s="194"/>
      <c r="F798" s="194"/>
      <c r="G798" s="194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</row>
    <row r="799" customFormat="false" ht="15.75" hidden="false" customHeight="false" outlineLevel="0" collapsed="false">
      <c r="A799" s="194"/>
      <c r="B799" s="194"/>
      <c r="C799" s="232"/>
      <c r="D799" s="194"/>
      <c r="E799" s="194"/>
      <c r="F799" s="194"/>
      <c r="G799" s="194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</row>
    <row r="800" customFormat="false" ht="15.75" hidden="false" customHeight="false" outlineLevel="0" collapsed="false">
      <c r="A800" s="194"/>
      <c r="B800" s="194"/>
      <c r="C800" s="232"/>
      <c r="D800" s="194"/>
      <c r="E800" s="194"/>
      <c r="F800" s="194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</row>
    <row r="801" customFormat="false" ht="15.75" hidden="false" customHeight="false" outlineLevel="0" collapsed="false">
      <c r="A801" s="194"/>
      <c r="B801" s="194"/>
      <c r="C801" s="232"/>
      <c r="D801" s="194"/>
      <c r="E801" s="194"/>
      <c r="F801" s="194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</row>
    <row r="802" customFormat="false" ht="15.75" hidden="false" customHeight="false" outlineLevel="0" collapsed="false">
      <c r="A802" s="194"/>
      <c r="B802" s="194"/>
      <c r="C802" s="232"/>
      <c r="D802" s="194"/>
      <c r="E802" s="194"/>
      <c r="F802" s="194"/>
      <c r="G802" s="194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</row>
    <row r="803" customFormat="false" ht="15.75" hidden="false" customHeight="false" outlineLevel="0" collapsed="false">
      <c r="A803" s="194"/>
      <c r="B803" s="194"/>
      <c r="C803" s="232"/>
      <c r="D803" s="194"/>
      <c r="E803" s="194"/>
      <c r="F803" s="194"/>
      <c r="G803" s="194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</row>
    <row r="804" customFormat="false" ht="15.75" hidden="false" customHeight="false" outlineLevel="0" collapsed="false">
      <c r="A804" s="194"/>
      <c r="B804" s="194"/>
      <c r="C804" s="232"/>
      <c r="D804" s="194"/>
      <c r="E804" s="194"/>
      <c r="F804" s="194"/>
      <c r="G804" s="194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</row>
    <row r="805" customFormat="false" ht="15.75" hidden="false" customHeight="false" outlineLevel="0" collapsed="false">
      <c r="A805" s="194"/>
      <c r="B805" s="194"/>
      <c r="C805" s="232"/>
      <c r="D805" s="194"/>
      <c r="E805" s="194"/>
      <c r="F805" s="194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</row>
    <row r="806" customFormat="false" ht="15.75" hidden="false" customHeight="false" outlineLevel="0" collapsed="false">
      <c r="A806" s="194"/>
      <c r="B806" s="194"/>
      <c r="C806" s="232"/>
      <c r="D806" s="194"/>
      <c r="E806" s="194"/>
      <c r="F806" s="194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</row>
    <row r="807" customFormat="false" ht="15.75" hidden="false" customHeight="false" outlineLevel="0" collapsed="false">
      <c r="A807" s="194"/>
      <c r="B807" s="194"/>
      <c r="C807" s="232"/>
      <c r="D807" s="194"/>
      <c r="E807" s="194"/>
      <c r="F807" s="194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</row>
    <row r="808" customFormat="false" ht="15.75" hidden="false" customHeight="false" outlineLevel="0" collapsed="false">
      <c r="A808" s="194"/>
      <c r="B808" s="194"/>
      <c r="C808" s="232"/>
      <c r="D808" s="194"/>
      <c r="E808" s="194"/>
      <c r="F808" s="194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</row>
    <row r="809" customFormat="false" ht="15.75" hidden="false" customHeight="false" outlineLevel="0" collapsed="false">
      <c r="A809" s="194"/>
      <c r="B809" s="194"/>
      <c r="C809" s="232"/>
      <c r="D809" s="194"/>
      <c r="E809" s="194"/>
      <c r="F809" s="194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</row>
    <row r="810" customFormat="false" ht="15.75" hidden="false" customHeight="false" outlineLevel="0" collapsed="false">
      <c r="A810" s="194"/>
      <c r="B810" s="194"/>
      <c r="C810" s="232"/>
      <c r="D810" s="194"/>
      <c r="E810" s="194"/>
      <c r="F810" s="194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</row>
    <row r="811" customFormat="false" ht="15.75" hidden="false" customHeight="false" outlineLevel="0" collapsed="false">
      <c r="A811" s="194"/>
      <c r="B811" s="194"/>
      <c r="C811" s="232"/>
      <c r="D811" s="194"/>
      <c r="E811" s="194"/>
      <c r="F811" s="194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</row>
    <row r="812" customFormat="false" ht="15.75" hidden="false" customHeight="false" outlineLevel="0" collapsed="false">
      <c r="A812" s="194"/>
      <c r="B812" s="194"/>
      <c r="C812" s="232"/>
      <c r="D812" s="194"/>
      <c r="E812" s="194"/>
      <c r="F812" s="194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</row>
    <row r="813" customFormat="false" ht="15.75" hidden="false" customHeight="false" outlineLevel="0" collapsed="false">
      <c r="A813" s="194"/>
      <c r="B813" s="194"/>
      <c r="C813" s="232"/>
      <c r="D813" s="194"/>
      <c r="E813" s="194"/>
      <c r="F813" s="194"/>
      <c r="G813" s="194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</row>
    <row r="814" customFormat="false" ht="15.75" hidden="false" customHeight="false" outlineLevel="0" collapsed="false">
      <c r="A814" s="194"/>
      <c r="B814" s="194"/>
      <c r="C814" s="232"/>
      <c r="D814" s="194"/>
      <c r="E814" s="194"/>
      <c r="F814" s="194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</row>
    <row r="815" customFormat="false" ht="15.75" hidden="false" customHeight="false" outlineLevel="0" collapsed="false">
      <c r="A815" s="194"/>
      <c r="B815" s="194"/>
      <c r="C815" s="232"/>
      <c r="D815" s="194"/>
      <c r="E815" s="194"/>
      <c r="F815" s="194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</row>
    <row r="816" customFormat="false" ht="15.75" hidden="false" customHeight="false" outlineLevel="0" collapsed="false">
      <c r="A816" s="194"/>
      <c r="B816" s="194"/>
      <c r="C816" s="232"/>
      <c r="D816" s="194"/>
      <c r="E816" s="194"/>
      <c r="F816" s="194"/>
      <c r="G816" s="194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</row>
    <row r="817" customFormat="false" ht="15.75" hidden="false" customHeight="false" outlineLevel="0" collapsed="false">
      <c r="A817" s="194"/>
      <c r="B817" s="194"/>
      <c r="C817" s="232"/>
      <c r="D817" s="194"/>
      <c r="E817" s="194"/>
      <c r="F817" s="194"/>
      <c r="G817" s="194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</row>
    <row r="818" customFormat="false" ht="15.75" hidden="false" customHeight="false" outlineLevel="0" collapsed="false">
      <c r="A818" s="194"/>
      <c r="B818" s="194"/>
      <c r="C818" s="232"/>
      <c r="D818" s="194"/>
      <c r="E818" s="194"/>
      <c r="F818" s="194"/>
      <c r="G818" s="194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</row>
    <row r="819" customFormat="false" ht="15.75" hidden="false" customHeight="false" outlineLevel="0" collapsed="false">
      <c r="A819" s="194"/>
      <c r="B819" s="194"/>
      <c r="C819" s="232"/>
      <c r="D819" s="194"/>
      <c r="E819" s="194"/>
      <c r="F819" s="194"/>
      <c r="G819" s="194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</row>
    <row r="820" customFormat="false" ht="15.75" hidden="false" customHeight="false" outlineLevel="0" collapsed="false">
      <c r="A820" s="194"/>
      <c r="B820" s="194"/>
      <c r="C820" s="232"/>
      <c r="D820" s="194"/>
      <c r="E820" s="194"/>
      <c r="F820" s="194"/>
      <c r="G820" s="194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</row>
    <row r="821" customFormat="false" ht="15.75" hidden="false" customHeight="false" outlineLevel="0" collapsed="false">
      <c r="A821" s="194"/>
      <c r="B821" s="194"/>
      <c r="C821" s="232"/>
      <c r="D821" s="194"/>
      <c r="E821" s="194"/>
      <c r="F821" s="194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</row>
    <row r="822" customFormat="false" ht="15.75" hidden="false" customHeight="false" outlineLevel="0" collapsed="false">
      <c r="A822" s="194"/>
      <c r="B822" s="194"/>
      <c r="C822" s="232"/>
      <c r="D822" s="194"/>
      <c r="E822" s="194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</row>
    <row r="823" customFormat="false" ht="15.75" hidden="false" customHeight="false" outlineLevel="0" collapsed="false">
      <c r="A823" s="194"/>
      <c r="B823" s="194"/>
      <c r="C823" s="232"/>
      <c r="D823" s="194"/>
      <c r="E823" s="194"/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</row>
    <row r="824" customFormat="false" ht="15.75" hidden="false" customHeight="false" outlineLevel="0" collapsed="false">
      <c r="A824" s="194"/>
      <c r="B824" s="194"/>
      <c r="C824" s="232"/>
      <c r="D824" s="194"/>
      <c r="E824" s="194"/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</row>
    <row r="825" customFormat="false" ht="15.75" hidden="false" customHeight="false" outlineLevel="0" collapsed="false">
      <c r="A825" s="194"/>
      <c r="B825" s="194"/>
      <c r="C825" s="232"/>
      <c r="D825" s="194"/>
      <c r="E825" s="194"/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</row>
    <row r="826" customFormat="false" ht="15.75" hidden="false" customHeight="false" outlineLevel="0" collapsed="false">
      <c r="A826" s="194"/>
      <c r="B826" s="194"/>
      <c r="C826" s="232"/>
      <c r="D826" s="194"/>
      <c r="E826" s="194"/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</row>
    <row r="827" customFormat="false" ht="15.75" hidden="false" customHeight="false" outlineLevel="0" collapsed="false">
      <c r="A827" s="194"/>
      <c r="B827" s="194"/>
      <c r="C827" s="232"/>
      <c r="D827" s="194"/>
      <c r="E827" s="194"/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</row>
    <row r="828" customFormat="false" ht="15.75" hidden="false" customHeight="false" outlineLevel="0" collapsed="false">
      <c r="A828" s="194"/>
      <c r="B828" s="194"/>
      <c r="C828" s="232"/>
      <c r="D828" s="194"/>
      <c r="E828" s="194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</row>
    <row r="829" customFormat="false" ht="15.75" hidden="false" customHeight="false" outlineLevel="0" collapsed="false">
      <c r="A829" s="194"/>
      <c r="B829" s="194"/>
      <c r="C829" s="232"/>
      <c r="D829" s="194"/>
      <c r="E829" s="194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</row>
    <row r="830" customFormat="false" ht="15.75" hidden="false" customHeight="false" outlineLevel="0" collapsed="false">
      <c r="A830" s="194"/>
      <c r="B830" s="194"/>
      <c r="C830" s="232"/>
      <c r="D830" s="194"/>
      <c r="E830" s="194"/>
      <c r="F830" s="194"/>
      <c r="G830" s="194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</row>
    <row r="831" customFormat="false" ht="15.75" hidden="false" customHeight="false" outlineLevel="0" collapsed="false">
      <c r="A831" s="194"/>
      <c r="B831" s="194"/>
      <c r="C831" s="232"/>
      <c r="D831" s="194"/>
      <c r="E831" s="194"/>
      <c r="F831" s="194"/>
      <c r="G831" s="194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</row>
    <row r="832" customFormat="false" ht="15.75" hidden="false" customHeight="false" outlineLevel="0" collapsed="false">
      <c r="A832" s="194"/>
      <c r="B832" s="194"/>
      <c r="C832" s="232"/>
      <c r="D832" s="194"/>
      <c r="E832" s="194"/>
      <c r="F832" s="194"/>
      <c r="G832" s="194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</row>
    <row r="833" customFormat="false" ht="15.75" hidden="false" customHeight="false" outlineLevel="0" collapsed="false">
      <c r="A833" s="194"/>
      <c r="B833" s="194"/>
      <c r="C833" s="232"/>
      <c r="D833" s="194"/>
      <c r="E833" s="194"/>
      <c r="F833" s="194"/>
      <c r="G833" s="194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</row>
    <row r="834" customFormat="false" ht="15.75" hidden="false" customHeight="false" outlineLevel="0" collapsed="false">
      <c r="A834" s="194"/>
      <c r="B834" s="194"/>
      <c r="C834" s="232"/>
      <c r="D834" s="194"/>
      <c r="E834" s="194"/>
      <c r="F834" s="194"/>
      <c r="G834" s="194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</row>
    <row r="835" customFormat="false" ht="15.75" hidden="false" customHeight="false" outlineLevel="0" collapsed="false">
      <c r="A835" s="194"/>
      <c r="B835" s="194"/>
      <c r="C835" s="232"/>
      <c r="D835" s="194"/>
      <c r="E835" s="194"/>
      <c r="F835" s="194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</row>
    <row r="836" customFormat="false" ht="15.75" hidden="false" customHeight="false" outlineLevel="0" collapsed="false">
      <c r="A836" s="194"/>
      <c r="B836" s="194"/>
      <c r="C836" s="232"/>
      <c r="D836" s="194"/>
      <c r="E836" s="194"/>
      <c r="F836" s="194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</row>
    <row r="837" customFormat="false" ht="15.75" hidden="false" customHeight="false" outlineLevel="0" collapsed="false">
      <c r="A837" s="194"/>
      <c r="B837" s="194"/>
      <c r="C837" s="232"/>
      <c r="D837" s="194"/>
      <c r="E837" s="194"/>
      <c r="F837" s="194"/>
      <c r="G837" s="194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</row>
    <row r="838" customFormat="false" ht="15.75" hidden="false" customHeight="false" outlineLevel="0" collapsed="false">
      <c r="A838" s="194"/>
      <c r="B838" s="194"/>
      <c r="C838" s="232"/>
      <c r="D838" s="194"/>
      <c r="E838" s="194"/>
      <c r="F838" s="194"/>
      <c r="G838" s="194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</row>
    <row r="839" customFormat="false" ht="15.75" hidden="false" customHeight="false" outlineLevel="0" collapsed="false">
      <c r="A839" s="194"/>
      <c r="B839" s="194"/>
      <c r="C839" s="232"/>
      <c r="D839" s="194"/>
      <c r="E839" s="194"/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</row>
    <row r="840" customFormat="false" ht="15.75" hidden="false" customHeight="false" outlineLevel="0" collapsed="false">
      <c r="A840" s="194"/>
      <c r="B840" s="194"/>
      <c r="C840" s="232"/>
      <c r="D840" s="194"/>
      <c r="E840" s="194"/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</row>
    <row r="841" customFormat="false" ht="15.75" hidden="false" customHeight="false" outlineLevel="0" collapsed="false">
      <c r="A841" s="194"/>
      <c r="B841" s="194"/>
      <c r="C841" s="232"/>
      <c r="D841" s="194"/>
      <c r="E841" s="194"/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</row>
    <row r="842" customFormat="false" ht="15.75" hidden="false" customHeight="false" outlineLevel="0" collapsed="false">
      <c r="A842" s="194"/>
      <c r="B842" s="194"/>
      <c r="C842" s="232"/>
      <c r="D842" s="194"/>
      <c r="E842" s="194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</row>
    <row r="843" customFormat="false" ht="15.75" hidden="false" customHeight="false" outlineLevel="0" collapsed="false">
      <c r="A843" s="194"/>
      <c r="B843" s="194"/>
      <c r="C843" s="232"/>
      <c r="D843" s="194"/>
      <c r="E843" s="194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</row>
    <row r="844" customFormat="false" ht="15.75" hidden="false" customHeight="false" outlineLevel="0" collapsed="false">
      <c r="A844" s="194"/>
      <c r="B844" s="194"/>
      <c r="C844" s="232"/>
      <c r="D844" s="194"/>
      <c r="E844" s="194"/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</row>
    <row r="845" customFormat="false" ht="15.75" hidden="false" customHeight="false" outlineLevel="0" collapsed="false">
      <c r="A845" s="194"/>
      <c r="B845" s="194"/>
      <c r="C845" s="232"/>
      <c r="D845" s="194"/>
      <c r="E845" s="194"/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</row>
    <row r="846" customFormat="false" ht="15.75" hidden="false" customHeight="false" outlineLevel="0" collapsed="false">
      <c r="A846" s="194"/>
      <c r="B846" s="194"/>
      <c r="C846" s="232"/>
      <c r="D846" s="194"/>
      <c r="E846" s="194"/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</row>
    <row r="847" customFormat="false" ht="15.75" hidden="false" customHeight="false" outlineLevel="0" collapsed="false">
      <c r="A847" s="194"/>
      <c r="B847" s="194"/>
      <c r="C847" s="232"/>
      <c r="D847" s="194"/>
      <c r="E847" s="194"/>
      <c r="F847" s="194"/>
      <c r="G847" s="194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</row>
    <row r="848" customFormat="false" ht="15.75" hidden="false" customHeight="false" outlineLevel="0" collapsed="false">
      <c r="A848" s="194"/>
      <c r="B848" s="194"/>
      <c r="C848" s="232"/>
      <c r="D848" s="194"/>
      <c r="E848" s="194"/>
      <c r="F848" s="194"/>
      <c r="G848" s="194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</row>
    <row r="849" customFormat="false" ht="15.75" hidden="false" customHeight="false" outlineLevel="0" collapsed="false">
      <c r="A849" s="194"/>
      <c r="B849" s="194"/>
      <c r="C849" s="232"/>
      <c r="D849" s="194"/>
      <c r="E849" s="194"/>
      <c r="F849" s="194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</row>
    <row r="850" customFormat="false" ht="15.75" hidden="false" customHeight="false" outlineLevel="0" collapsed="false">
      <c r="A850" s="194"/>
      <c r="B850" s="194"/>
      <c r="C850" s="232"/>
      <c r="D850" s="194"/>
      <c r="E850" s="194"/>
      <c r="F850" s="194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</row>
    <row r="851" customFormat="false" ht="15.75" hidden="false" customHeight="false" outlineLevel="0" collapsed="false">
      <c r="A851" s="194"/>
      <c r="B851" s="194"/>
      <c r="C851" s="232"/>
      <c r="D851" s="194"/>
      <c r="E851" s="194"/>
      <c r="F851" s="194"/>
      <c r="G851" s="194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</row>
    <row r="852" customFormat="false" ht="15.75" hidden="false" customHeight="false" outlineLevel="0" collapsed="false">
      <c r="A852" s="194"/>
      <c r="B852" s="194"/>
      <c r="C852" s="232"/>
      <c r="D852" s="194"/>
      <c r="E852" s="194"/>
      <c r="F852" s="194"/>
      <c r="G852" s="194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</row>
    <row r="853" customFormat="false" ht="15.75" hidden="false" customHeight="false" outlineLevel="0" collapsed="false">
      <c r="A853" s="194"/>
      <c r="B853" s="194"/>
      <c r="C853" s="232"/>
      <c r="D853" s="194"/>
      <c r="E853" s="194"/>
      <c r="F853" s="194"/>
      <c r="G853" s="194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</row>
    <row r="854" customFormat="false" ht="15.75" hidden="false" customHeight="false" outlineLevel="0" collapsed="false">
      <c r="A854" s="194"/>
      <c r="B854" s="194"/>
      <c r="C854" s="232"/>
      <c r="D854" s="194"/>
      <c r="E854" s="194"/>
      <c r="F854" s="194"/>
      <c r="G854" s="194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</row>
    <row r="855" customFormat="false" ht="15.75" hidden="false" customHeight="false" outlineLevel="0" collapsed="false">
      <c r="A855" s="194"/>
      <c r="B855" s="194"/>
      <c r="C855" s="232"/>
      <c r="D855" s="194"/>
      <c r="E855" s="194"/>
      <c r="F855" s="194"/>
      <c r="G855" s="194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</row>
    <row r="856" customFormat="false" ht="15.75" hidden="false" customHeight="false" outlineLevel="0" collapsed="false">
      <c r="A856" s="194"/>
      <c r="B856" s="194"/>
      <c r="C856" s="232"/>
      <c r="D856" s="194"/>
      <c r="E856" s="194"/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</row>
    <row r="857" customFormat="false" ht="15.75" hidden="false" customHeight="false" outlineLevel="0" collapsed="false">
      <c r="A857" s="194"/>
      <c r="B857" s="194"/>
      <c r="C857" s="232"/>
      <c r="D857" s="194"/>
      <c r="E857" s="194"/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</row>
    <row r="858" customFormat="false" ht="15.75" hidden="false" customHeight="false" outlineLevel="0" collapsed="false">
      <c r="A858" s="194"/>
      <c r="B858" s="194"/>
      <c r="C858" s="232"/>
      <c r="D858" s="194"/>
      <c r="E858" s="194"/>
      <c r="F858" s="194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</row>
    <row r="859" customFormat="false" ht="15.75" hidden="false" customHeight="false" outlineLevel="0" collapsed="false">
      <c r="A859" s="194"/>
      <c r="B859" s="194"/>
      <c r="C859" s="232"/>
      <c r="D859" s="194"/>
      <c r="E859" s="194"/>
      <c r="F859" s="194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</row>
    <row r="860" customFormat="false" ht="15.75" hidden="false" customHeight="false" outlineLevel="0" collapsed="false">
      <c r="A860" s="194"/>
      <c r="B860" s="194"/>
      <c r="C860" s="232"/>
      <c r="D860" s="194"/>
      <c r="E860" s="194"/>
      <c r="F860" s="194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</row>
    <row r="861" customFormat="false" ht="15.75" hidden="false" customHeight="false" outlineLevel="0" collapsed="false">
      <c r="A861" s="194"/>
      <c r="B861" s="194"/>
      <c r="C861" s="232"/>
      <c r="D861" s="194"/>
      <c r="E861" s="194"/>
      <c r="F861" s="194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</row>
    <row r="862" customFormat="false" ht="15.75" hidden="false" customHeight="false" outlineLevel="0" collapsed="false">
      <c r="A862" s="194"/>
      <c r="B862" s="194"/>
      <c r="C862" s="232"/>
      <c r="D862" s="194"/>
      <c r="E862" s="194"/>
      <c r="F862" s="194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</row>
    <row r="863" customFormat="false" ht="15.75" hidden="false" customHeight="false" outlineLevel="0" collapsed="false">
      <c r="A863" s="194"/>
      <c r="B863" s="194"/>
      <c r="C863" s="232"/>
      <c r="D863" s="194"/>
      <c r="E863" s="194"/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</row>
    <row r="864" customFormat="false" ht="15.75" hidden="false" customHeight="false" outlineLevel="0" collapsed="false">
      <c r="A864" s="194"/>
      <c r="B864" s="194"/>
      <c r="C864" s="232"/>
      <c r="D864" s="194"/>
      <c r="E864" s="194"/>
      <c r="F864" s="194"/>
      <c r="G864" s="194"/>
      <c r="H864" s="194"/>
      <c r="I864" s="194"/>
      <c r="J864" s="194"/>
      <c r="K864" s="194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</row>
    <row r="865" customFormat="false" ht="15.75" hidden="false" customHeight="false" outlineLevel="0" collapsed="false">
      <c r="A865" s="194"/>
      <c r="B865" s="194"/>
      <c r="C865" s="232"/>
      <c r="D865" s="194"/>
      <c r="E865" s="194"/>
      <c r="F865" s="194"/>
      <c r="G865" s="194"/>
      <c r="H865" s="194"/>
      <c r="I865" s="194"/>
      <c r="J865" s="194"/>
      <c r="K865" s="194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</row>
    <row r="866" customFormat="false" ht="15.75" hidden="false" customHeight="false" outlineLevel="0" collapsed="false">
      <c r="A866" s="194"/>
      <c r="B866" s="194"/>
      <c r="C866" s="232"/>
      <c r="D866" s="194"/>
      <c r="E866" s="194"/>
      <c r="F866" s="194"/>
      <c r="G866" s="194"/>
      <c r="H866" s="194"/>
      <c r="I866" s="194"/>
      <c r="J866" s="194"/>
      <c r="K866" s="194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</row>
    <row r="867" customFormat="false" ht="15.75" hidden="false" customHeight="false" outlineLevel="0" collapsed="false">
      <c r="A867" s="194"/>
      <c r="B867" s="194"/>
      <c r="C867" s="232"/>
      <c r="D867" s="194"/>
      <c r="E867" s="194"/>
      <c r="F867" s="194"/>
      <c r="G867" s="194"/>
      <c r="H867" s="194"/>
      <c r="I867" s="194"/>
      <c r="J867" s="194"/>
      <c r="K867" s="194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</row>
    <row r="868" customFormat="false" ht="15.75" hidden="false" customHeight="false" outlineLevel="0" collapsed="false">
      <c r="A868" s="194"/>
      <c r="B868" s="194"/>
      <c r="C868" s="232"/>
      <c r="D868" s="194"/>
      <c r="E868" s="194"/>
      <c r="F868" s="194"/>
      <c r="G868" s="194"/>
      <c r="H868" s="194"/>
      <c r="I868" s="194"/>
      <c r="J868" s="194"/>
      <c r="K868" s="194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</row>
    <row r="869" customFormat="false" ht="15.75" hidden="false" customHeight="false" outlineLevel="0" collapsed="false">
      <c r="A869" s="194"/>
      <c r="B869" s="194"/>
      <c r="C869" s="232"/>
      <c r="D869" s="194"/>
      <c r="E869" s="194"/>
      <c r="F869" s="194"/>
      <c r="G869" s="194"/>
      <c r="H869" s="194"/>
      <c r="I869" s="194"/>
      <c r="J869" s="194"/>
      <c r="K869" s="194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</row>
    <row r="870" customFormat="false" ht="15.75" hidden="false" customHeight="false" outlineLevel="0" collapsed="false">
      <c r="A870" s="194"/>
      <c r="B870" s="194"/>
      <c r="C870" s="232"/>
      <c r="D870" s="194"/>
      <c r="E870" s="194"/>
      <c r="F870" s="194"/>
      <c r="G870" s="194"/>
      <c r="H870" s="194"/>
      <c r="I870" s="194"/>
      <c r="J870" s="194"/>
      <c r="K870" s="194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</row>
    <row r="871" customFormat="false" ht="15.75" hidden="false" customHeight="false" outlineLevel="0" collapsed="false">
      <c r="A871" s="194"/>
      <c r="B871" s="194"/>
      <c r="C871" s="232"/>
      <c r="D871" s="194"/>
      <c r="E871" s="194"/>
      <c r="F871" s="194"/>
      <c r="G871" s="194"/>
      <c r="H871" s="194"/>
      <c r="I871" s="194"/>
      <c r="J871" s="194"/>
      <c r="K871" s="194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</row>
    <row r="872" customFormat="false" ht="15.75" hidden="false" customHeight="false" outlineLevel="0" collapsed="false">
      <c r="A872" s="194"/>
      <c r="B872" s="194"/>
      <c r="C872" s="232"/>
      <c r="D872" s="194"/>
      <c r="E872" s="194"/>
      <c r="F872" s="194"/>
      <c r="G872" s="194"/>
      <c r="H872" s="194"/>
      <c r="I872" s="194"/>
      <c r="J872" s="194"/>
      <c r="K872" s="194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</row>
    <row r="873" customFormat="false" ht="15.75" hidden="false" customHeight="false" outlineLevel="0" collapsed="false">
      <c r="A873" s="194"/>
      <c r="B873" s="194"/>
      <c r="C873" s="232"/>
      <c r="D873" s="194"/>
      <c r="E873" s="194"/>
      <c r="F873" s="194"/>
      <c r="G873" s="194"/>
      <c r="H873" s="194"/>
      <c r="I873" s="194"/>
      <c r="J873" s="194"/>
      <c r="K873" s="194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</row>
    <row r="874" customFormat="false" ht="15.75" hidden="false" customHeight="false" outlineLevel="0" collapsed="false">
      <c r="A874" s="194"/>
      <c r="B874" s="194"/>
      <c r="C874" s="232"/>
      <c r="D874" s="194"/>
      <c r="E874" s="194"/>
      <c r="F874" s="194"/>
      <c r="G874" s="194"/>
      <c r="H874" s="194"/>
      <c r="I874" s="194"/>
      <c r="J874" s="194"/>
      <c r="K874" s="194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</row>
    <row r="875" customFormat="false" ht="15.75" hidden="false" customHeight="false" outlineLevel="0" collapsed="false">
      <c r="A875" s="194"/>
      <c r="B875" s="194"/>
      <c r="C875" s="232"/>
      <c r="D875" s="194"/>
      <c r="E875" s="194"/>
      <c r="F875" s="194"/>
      <c r="G875" s="194"/>
      <c r="H875" s="194"/>
      <c r="I875" s="194"/>
      <c r="J875" s="194"/>
      <c r="K875" s="194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</row>
    <row r="876" customFormat="false" ht="15.75" hidden="false" customHeight="false" outlineLevel="0" collapsed="false">
      <c r="A876" s="194"/>
      <c r="B876" s="194"/>
      <c r="C876" s="232"/>
      <c r="D876" s="194"/>
      <c r="E876" s="194"/>
      <c r="F876" s="194"/>
      <c r="G876" s="194"/>
      <c r="H876" s="194"/>
      <c r="I876" s="194"/>
      <c r="J876" s="194"/>
      <c r="K876" s="194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</row>
    <row r="877" customFormat="false" ht="15.75" hidden="false" customHeight="false" outlineLevel="0" collapsed="false">
      <c r="A877" s="194"/>
      <c r="B877" s="194"/>
      <c r="C877" s="232"/>
      <c r="D877" s="194"/>
      <c r="E877" s="194"/>
      <c r="F877" s="194"/>
      <c r="G877" s="194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</row>
    <row r="878" customFormat="false" ht="15.75" hidden="false" customHeight="false" outlineLevel="0" collapsed="false">
      <c r="A878" s="194"/>
      <c r="B878" s="194"/>
      <c r="C878" s="232"/>
      <c r="D878" s="194"/>
      <c r="E878" s="194"/>
      <c r="F878" s="194"/>
      <c r="G878" s="194"/>
      <c r="H878" s="194"/>
      <c r="I878" s="194"/>
      <c r="J878" s="194"/>
      <c r="K878" s="194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</row>
    <row r="879" customFormat="false" ht="15.75" hidden="false" customHeight="false" outlineLevel="0" collapsed="false">
      <c r="A879" s="194"/>
      <c r="B879" s="194"/>
      <c r="C879" s="232"/>
      <c r="D879" s="194"/>
      <c r="E879" s="194"/>
      <c r="F879" s="194"/>
      <c r="G879" s="194"/>
      <c r="H879" s="194"/>
      <c r="I879" s="194"/>
      <c r="J879" s="194"/>
      <c r="K879" s="194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</row>
    <row r="880" customFormat="false" ht="15.75" hidden="false" customHeight="false" outlineLevel="0" collapsed="false">
      <c r="A880" s="194"/>
      <c r="B880" s="194"/>
      <c r="C880" s="232"/>
      <c r="D880" s="194"/>
      <c r="E880" s="194"/>
      <c r="F880" s="194"/>
      <c r="G880" s="194"/>
      <c r="H880" s="194"/>
      <c r="I880" s="194"/>
      <c r="J880" s="194"/>
      <c r="K880" s="194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</row>
    <row r="881" customFormat="false" ht="15.75" hidden="false" customHeight="false" outlineLevel="0" collapsed="false">
      <c r="A881" s="194"/>
      <c r="B881" s="194"/>
      <c r="C881" s="232"/>
      <c r="D881" s="194"/>
      <c r="E881" s="194"/>
      <c r="F881" s="194"/>
      <c r="G881" s="194"/>
      <c r="H881" s="194"/>
      <c r="I881" s="194"/>
      <c r="J881" s="194"/>
      <c r="K881" s="194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</row>
    <row r="882" customFormat="false" ht="15.75" hidden="false" customHeight="false" outlineLevel="0" collapsed="false">
      <c r="A882" s="194"/>
      <c r="B882" s="194"/>
      <c r="C882" s="232"/>
      <c r="D882" s="194"/>
      <c r="E882" s="194"/>
      <c r="F882" s="194"/>
      <c r="G882" s="194"/>
      <c r="H882" s="194"/>
      <c r="I882" s="194"/>
      <c r="J882" s="194"/>
      <c r="K882" s="194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</row>
    <row r="883" customFormat="false" ht="15.75" hidden="false" customHeight="false" outlineLevel="0" collapsed="false">
      <c r="A883" s="194"/>
      <c r="B883" s="194"/>
      <c r="C883" s="232"/>
      <c r="D883" s="194"/>
      <c r="E883" s="194"/>
      <c r="F883" s="194"/>
      <c r="G883" s="194"/>
      <c r="H883" s="194"/>
      <c r="I883" s="194"/>
      <c r="J883" s="194"/>
      <c r="K883" s="194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</row>
    <row r="884" customFormat="false" ht="15.75" hidden="false" customHeight="false" outlineLevel="0" collapsed="false">
      <c r="A884" s="194"/>
      <c r="B884" s="194"/>
      <c r="C884" s="232"/>
      <c r="D884" s="194"/>
      <c r="E884" s="194"/>
      <c r="F884" s="194"/>
      <c r="G884" s="194"/>
      <c r="H884" s="194"/>
      <c r="I884" s="194"/>
      <c r="J884" s="194"/>
      <c r="K884" s="194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</row>
    <row r="885" customFormat="false" ht="15.75" hidden="false" customHeight="false" outlineLevel="0" collapsed="false">
      <c r="A885" s="194"/>
      <c r="B885" s="194"/>
      <c r="C885" s="232"/>
      <c r="D885" s="194"/>
      <c r="E885" s="194"/>
      <c r="F885" s="194"/>
      <c r="G885" s="194"/>
      <c r="H885" s="194"/>
      <c r="I885" s="194"/>
      <c r="J885" s="194"/>
      <c r="K885" s="194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</row>
    <row r="886" customFormat="false" ht="15.75" hidden="false" customHeight="false" outlineLevel="0" collapsed="false">
      <c r="A886" s="194"/>
      <c r="B886" s="194"/>
      <c r="C886" s="232"/>
      <c r="D886" s="194"/>
      <c r="E886" s="194"/>
      <c r="F886" s="194"/>
      <c r="G886" s="194"/>
      <c r="H886" s="194"/>
      <c r="I886" s="194"/>
      <c r="J886" s="194"/>
      <c r="K886" s="194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</row>
    <row r="887" customFormat="false" ht="15.75" hidden="false" customHeight="false" outlineLevel="0" collapsed="false">
      <c r="A887" s="194"/>
      <c r="B887" s="194"/>
      <c r="C887" s="232"/>
      <c r="D887" s="194"/>
      <c r="E887" s="194"/>
      <c r="F887" s="194"/>
      <c r="G887" s="194"/>
      <c r="H887" s="194"/>
      <c r="I887" s="194"/>
      <c r="J887" s="194"/>
      <c r="K887" s="194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</row>
    <row r="888" customFormat="false" ht="15.75" hidden="false" customHeight="false" outlineLevel="0" collapsed="false">
      <c r="A888" s="194"/>
      <c r="B888" s="194"/>
      <c r="C888" s="232"/>
      <c r="D888" s="194"/>
      <c r="E888" s="194"/>
      <c r="F888" s="194"/>
      <c r="G888" s="194"/>
      <c r="H888" s="194"/>
      <c r="I888" s="194"/>
      <c r="J888" s="194"/>
      <c r="K888" s="194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</row>
    <row r="889" customFormat="false" ht="15.75" hidden="false" customHeight="false" outlineLevel="0" collapsed="false">
      <c r="A889" s="194"/>
      <c r="B889" s="194"/>
      <c r="C889" s="232"/>
      <c r="D889" s="194"/>
      <c r="E889" s="194"/>
      <c r="F889" s="194"/>
      <c r="G889" s="194"/>
      <c r="H889" s="194"/>
      <c r="I889" s="194"/>
      <c r="J889" s="194"/>
      <c r="K889" s="194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</row>
    <row r="890" customFormat="false" ht="15.75" hidden="false" customHeight="false" outlineLevel="0" collapsed="false">
      <c r="A890" s="194"/>
      <c r="B890" s="194"/>
      <c r="C890" s="232"/>
      <c r="D890" s="194"/>
      <c r="E890" s="194"/>
      <c r="F890" s="194"/>
      <c r="G890" s="194"/>
      <c r="H890" s="194"/>
      <c r="I890" s="194"/>
      <c r="J890" s="194"/>
      <c r="K890" s="194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</row>
    <row r="891" customFormat="false" ht="15.75" hidden="false" customHeight="false" outlineLevel="0" collapsed="false">
      <c r="A891" s="194"/>
      <c r="B891" s="194"/>
      <c r="C891" s="232"/>
      <c r="D891" s="194"/>
      <c r="E891" s="194"/>
      <c r="F891" s="194"/>
      <c r="G891" s="194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</row>
    <row r="892" customFormat="false" ht="15.75" hidden="false" customHeight="false" outlineLevel="0" collapsed="false">
      <c r="A892" s="194"/>
      <c r="B892" s="194"/>
      <c r="C892" s="232"/>
      <c r="D892" s="194"/>
      <c r="E892" s="194"/>
      <c r="F892" s="194"/>
      <c r="G892" s="194"/>
      <c r="H892" s="194"/>
      <c r="I892" s="194"/>
      <c r="J892" s="194"/>
      <c r="K892" s="194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</row>
    <row r="893" customFormat="false" ht="15.75" hidden="false" customHeight="false" outlineLevel="0" collapsed="false">
      <c r="A893" s="194"/>
      <c r="B893" s="194"/>
      <c r="C893" s="232"/>
      <c r="D893" s="194"/>
      <c r="E893" s="194"/>
      <c r="F893" s="194"/>
      <c r="G893" s="194"/>
      <c r="H893" s="194"/>
      <c r="I893" s="194"/>
      <c r="J893" s="194"/>
      <c r="K893" s="194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</row>
    <row r="894" customFormat="false" ht="15.75" hidden="false" customHeight="false" outlineLevel="0" collapsed="false">
      <c r="A894" s="194"/>
      <c r="B894" s="194"/>
      <c r="C894" s="232"/>
      <c r="D894" s="194"/>
      <c r="E894" s="194"/>
      <c r="F894" s="194"/>
      <c r="G894" s="194"/>
      <c r="H894" s="194"/>
      <c r="I894" s="194"/>
      <c r="J894" s="194"/>
      <c r="K894" s="194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</row>
    <row r="895" customFormat="false" ht="15.75" hidden="false" customHeight="false" outlineLevel="0" collapsed="false">
      <c r="A895" s="194"/>
      <c r="B895" s="194"/>
      <c r="C895" s="232"/>
      <c r="D895" s="194"/>
      <c r="E895" s="194"/>
      <c r="F895" s="194"/>
      <c r="G895" s="194"/>
      <c r="H895" s="194"/>
      <c r="I895" s="194"/>
      <c r="J895" s="194"/>
      <c r="K895" s="194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</row>
    <row r="896" customFormat="false" ht="15.75" hidden="false" customHeight="false" outlineLevel="0" collapsed="false">
      <c r="A896" s="194"/>
      <c r="B896" s="194"/>
      <c r="C896" s="232"/>
      <c r="D896" s="194"/>
      <c r="E896" s="194"/>
      <c r="F896" s="194"/>
      <c r="G896" s="194"/>
      <c r="H896" s="194"/>
      <c r="I896" s="194"/>
      <c r="J896" s="194"/>
      <c r="K896" s="194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</row>
    <row r="897" customFormat="false" ht="15.75" hidden="false" customHeight="false" outlineLevel="0" collapsed="false">
      <c r="A897" s="194"/>
      <c r="B897" s="194"/>
      <c r="C897" s="232"/>
      <c r="D897" s="194"/>
      <c r="E897" s="194"/>
      <c r="F897" s="194"/>
      <c r="G897" s="194"/>
      <c r="H897" s="194"/>
      <c r="I897" s="194"/>
      <c r="J897" s="194"/>
      <c r="K897" s="194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</row>
    <row r="898" customFormat="false" ht="15.75" hidden="false" customHeight="false" outlineLevel="0" collapsed="false">
      <c r="A898" s="194"/>
      <c r="B898" s="194"/>
      <c r="C898" s="232"/>
      <c r="D898" s="194"/>
      <c r="E898" s="194"/>
      <c r="F898" s="194"/>
      <c r="G898" s="194"/>
      <c r="H898" s="194"/>
      <c r="I898" s="194"/>
      <c r="J898" s="194"/>
      <c r="K898" s="194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</row>
    <row r="899" customFormat="false" ht="15.75" hidden="false" customHeight="false" outlineLevel="0" collapsed="false">
      <c r="A899" s="194"/>
      <c r="B899" s="194"/>
      <c r="C899" s="232"/>
      <c r="D899" s="194"/>
      <c r="E899" s="194"/>
      <c r="F899" s="194"/>
      <c r="G899" s="194"/>
      <c r="H899" s="194"/>
      <c r="I899" s="194"/>
      <c r="J899" s="194"/>
      <c r="K899" s="194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</row>
    <row r="900" customFormat="false" ht="15.75" hidden="false" customHeight="false" outlineLevel="0" collapsed="false">
      <c r="A900" s="194"/>
      <c r="B900" s="194"/>
      <c r="C900" s="232"/>
      <c r="D900" s="194"/>
      <c r="E900" s="194"/>
      <c r="F900" s="194"/>
      <c r="G900" s="194"/>
      <c r="H900" s="194"/>
      <c r="I900" s="194"/>
      <c r="J900" s="194"/>
      <c r="K900" s="194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</row>
    <row r="901" customFormat="false" ht="15.75" hidden="false" customHeight="false" outlineLevel="0" collapsed="false">
      <c r="A901" s="194"/>
      <c r="B901" s="194"/>
      <c r="C901" s="232"/>
      <c r="D901" s="194"/>
      <c r="E901" s="194"/>
      <c r="F901" s="194"/>
      <c r="G901" s="194"/>
      <c r="H901" s="194"/>
      <c r="I901" s="194"/>
      <c r="J901" s="194"/>
      <c r="K901" s="194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</row>
    <row r="902" customFormat="false" ht="15.75" hidden="false" customHeight="false" outlineLevel="0" collapsed="false">
      <c r="A902" s="194"/>
      <c r="B902" s="194"/>
      <c r="C902" s="232"/>
      <c r="D902" s="194"/>
      <c r="E902" s="194"/>
      <c r="F902" s="194"/>
      <c r="G902" s="194"/>
      <c r="H902" s="194"/>
      <c r="I902" s="194"/>
      <c r="J902" s="194"/>
      <c r="K902" s="194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</row>
    <row r="903" customFormat="false" ht="15.75" hidden="false" customHeight="false" outlineLevel="0" collapsed="false">
      <c r="A903" s="194"/>
      <c r="B903" s="194"/>
      <c r="C903" s="232"/>
      <c r="D903" s="194"/>
      <c r="E903" s="194"/>
      <c r="F903" s="194"/>
      <c r="G903" s="194"/>
      <c r="H903" s="194"/>
      <c r="I903" s="194"/>
      <c r="J903" s="194"/>
      <c r="K903" s="194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</row>
    <row r="904" customFormat="false" ht="15.75" hidden="false" customHeight="false" outlineLevel="0" collapsed="false">
      <c r="A904" s="194"/>
      <c r="B904" s="194"/>
      <c r="C904" s="232"/>
      <c r="D904" s="194"/>
      <c r="E904" s="194"/>
      <c r="F904" s="194"/>
      <c r="G904" s="194"/>
      <c r="H904" s="194"/>
      <c r="I904" s="194"/>
      <c r="J904" s="194"/>
      <c r="K904" s="194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</row>
    <row r="905" customFormat="false" ht="15.75" hidden="false" customHeight="false" outlineLevel="0" collapsed="false">
      <c r="A905" s="194"/>
      <c r="B905" s="194"/>
      <c r="C905" s="232"/>
      <c r="D905" s="194"/>
      <c r="E905" s="194"/>
      <c r="F905" s="194"/>
      <c r="G905" s="194"/>
      <c r="H905" s="194"/>
      <c r="I905" s="194"/>
      <c r="J905" s="194"/>
      <c r="K905" s="194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</row>
    <row r="906" customFormat="false" ht="15.75" hidden="false" customHeight="false" outlineLevel="0" collapsed="false">
      <c r="A906" s="194"/>
      <c r="B906" s="194"/>
      <c r="C906" s="232"/>
      <c r="D906" s="194"/>
      <c r="E906" s="194"/>
      <c r="F906" s="194"/>
      <c r="G906" s="194"/>
      <c r="H906" s="194"/>
      <c r="I906" s="194"/>
      <c r="J906" s="194"/>
      <c r="K906" s="194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</row>
    <row r="907" customFormat="false" ht="15.75" hidden="false" customHeight="false" outlineLevel="0" collapsed="false">
      <c r="A907" s="194"/>
      <c r="B907" s="194"/>
      <c r="C907" s="232"/>
      <c r="D907" s="194"/>
      <c r="E907" s="194"/>
      <c r="F907" s="194"/>
      <c r="G907" s="194"/>
      <c r="H907" s="194"/>
      <c r="I907" s="194"/>
      <c r="J907" s="194"/>
      <c r="K907" s="194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</row>
    <row r="908" customFormat="false" ht="15.75" hidden="false" customHeight="false" outlineLevel="0" collapsed="false">
      <c r="A908" s="194"/>
      <c r="B908" s="194"/>
      <c r="C908" s="232"/>
      <c r="D908" s="194"/>
      <c r="E908" s="194"/>
      <c r="F908" s="194"/>
      <c r="G908" s="194"/>
      <c r="H908" s="194"/>
      <c r="I908" s="194"/>
      <c r="J908" s="194"/>
      <c r="K908" s="194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</row>
    <row r="909" customFormat="false" ht="15.75" hidden="false" customHeight="false" outlineLevel="0" collapsed="false">
      <c r="A909" s="194"/>
      <c r="B909" s="194"/>
      <c r="C909" s="232"/>
      <c r="D909" s="194"/>
      <c r="E909" s="194"/>
      <c r="F909" s="194"/>
      <c r="G909" s="194"/>
      <c r="H909" s="194"/>
      <c r="I909" s="194"/>
      <c r="J909" s="194"/>
      <c r="K909" s="194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</row>
    <row r="910" customFormat="false" ht="15.75" hidden="false" customHeight="false" outlineLevel="0" collapsed="false">
      <c r="A910" s="194"/>
      <c r="B910" s="194"/>
      <c r="C910" s="232"/>
      <c r="D910" s="194"/>
      <c r="E910" s="194"/>
      <c r="F910" s="194"/>
      <c r="G910" s="194"/>
      <c r="H910" s="194"/>
      <c r="I910" s="194"/>
      <c r="J910" s="194"/>
      <c r="K910" s="194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</row>
    <row r="911" customFormat="false" ht="15.75" hidden="false" customHeight="false" outlineLevel="0" collapsed="false">
      <c r="A911" s="194"/>
      <c r="B911" s="194"/>
      <c r="C911" s="232"/>
      <c r="D911" s="194"/>
      <c r="E911" s="194"/>
      <c r="F911" s="194"/>
      <c r="G911" s="194"/>
      <c r="H911" s="194"/>
      <c r="I911" s="194"/>
      <c r="J911" s="194"/>
      <c r="K911" s="194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</row>
    <row r="912" customFormat="false" ht="15.75" hidden="false" customHeight="false" outlineLevel="0" collapsed="false">
      <c r="A912" s="194"/>
      <c r="B912" s="194"/>
      <c r="C912" s="232"/>
      <c r="D912" s="194"/>
      <c r="E912" s="194"/>
      <c r="F912" s="194"/>
      <c r="G912" s="194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</row>
    <row r="913" customFormat="false" ht="15.75" hidden="false" customHeight="false" outlineLevel="0" collapsed="false">
      <c r="A913" s="194"/>
      <c r="B913" s="194"/>
      <c r="C913" s="232"/>
      <c r="D913" s="194"/>
      <c r="E913" s="194"/>
      <c r="F913" s="194"/>
      <c r="G913" s="194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</row>
    <row r="914" customFormat="false" ht="15.75" hidden="false" customHeight="false" outlineLevel="0" collapsed="false">
      <c r="A914" s="194"/>
      <c r="B914" s="194"/>
      <c r="C914" s="232"/>
      <c r="D914" s="194"/>
      <c r="E914" s="194"/>
      <c r="F914" s="194"/>
      <c r="G914" s="194"/>
      <c r="H914" s="194"/>
      <c r="I914" s="194"/>
      <c r="J914" s="194"/>
      <c r="K914" s="194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</row>
    <row r="915" customFormat="false" ht="15.75" hidden="false" customHeight="false" outlineLevel="0" collapsed="false">
      <c r="A915" s="194"/>
      <c r="B915" s="194"/>
      <c r="C915" s="232"/>
      <c r="D915" s="194"/>
      <c r="E915" s="194"/>
      <c r="F915" s="194"/>
      <c r="G915" s="194"/>
      <c r="H915" s="194"/>
      <c r="I915" s="194"/>
      <c r="J915" s="194"/>
      <c r="K915" s="194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</row>
    <row r="916" customFormat="false" ht="15.75" hidden="false" customHeight="false" outlineLevel="0" collapsed="false">
      <c r="A916" s="194"/>
      <c r="B916" s="194"/>
      <c r="C916" s="232"/>
      <c r="D916" s="194"/>
      <c r="E916" s="194"/>
      <c r="F916" s="194"/>
      <c r="G916" s="194"/>
      <c r="H916" s="194"/>
      <c r="I916" s="194"/>
      <c r="J916" s="194"/>
      <c r="K916" s="194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</row>
    <row r="917" customFormat="false" ht="15.75" hidden="false" customHeight="false" outlineLevel="0" collapsed="false">
      <c r="A917" s="194"/>
      <c r="B917" s="194"/>
      <c r="C917" s="232"/>
      <c r="D917" s="194"/>
      <c r="E917" s="194"/>
      <c r="F917" s="194"/>
      <c r="G917" s="194"/>
      <c r="H917" s="194"/>
      <c r="I917" s="194"/>
      <c r="J917" s="194"/>
      <c r="K917" s="194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</row>
    <row r="918" customFormat="false" ht="15.75" hidden="false" customHeight="false" outlineLevel="0" collapsed="false">
      <c r="A918" s="194"/>
      <c r="B918" s="194"/>
      <c r="C918" s="232"/>
      <c r="D918" s="194"/>
      <c r="E918" s="194"/>
      <c r="F918" s="194"/>
      <c r="G918" s="194"/>
      <c r="H918" s="194"/>
      <c r="I918" s="194"/>
      <c r="J918" s="194"/>
      <c r="K918" s="194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</row>
    <row r="919" customFormat="false" ht="15.75" hidden="false" customHeight="false" outlineLevel="0" collapsed="false">
      <c r="A919" s="194"/>
      <c r="B919" s="194"/>
      <c r="C919" s="232"/>
      <c r="D919" s="194"/>
      <c r="E919" s="194"/>
      <c r="F919" s="194"/>
      <c r="G919" s="194"/>
      <c r="H919" s="194"/>
      <c r="I919" s="194"/>
      <c r="J919" s="194"/>
      <c r="K919" s="194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</row>
    <row r="920" customFormat="false" ht="15.75" hidden="false" customHeight="false" outlineLevel="0" collapsed="false">
      <c r="A920" s="194"/>
      <c r="B920" s="194"/>
      <c r="C920" s="232"/>
      <c r="D920" s="194"/>
      <c r="E920" s="194"/>
      <c r="F920" s="194"/>
      <c r="G920" s="194"/>
      <c r="H920" s="194"/>
      <c r="I920" s="194"/>
      <c r="J920" s="194"/>
      <c r="K920" s="194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</row>
    <row r="921" customFormat="false" ht="15.75" hidden="false" customHeight="false" outlineLevel="0" collapsed="false">
      <c r="A921" s="194"/>
      <c r="B921" s="194"/>
      <c r="C921" s="232"/>
      <c r="D921" s="194"/>
      <c r="E921" s="194"/>
      <c r="F921" s="194"/>
      <c r="G921" s="194"/>
      <c r="H921" s="194"/>
      <c r="I921" s="194"/>
      <c r="J921" s="194"/>
      <c r="K921" s="194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</row>
    <row r="922" customFormat="false" ht="15.75" hidden="false" customHeight="false" outlineLevel="0" collapsed="false">
      <c r="A922" s="194"/>
      <c r="B922" s="194"/>
      <c r="C922" s="232"/>
      <c r="D922" s="194"/>
      <c r="E922" s="194"/>
      <c r="F922" s="194"/>
      <c r="G922" s="194"/>
      <c r="H922" s="194"/>
      <c r="I922" s="194"/>
      <c r="J922" s="194"/>
      <c r="K922" s="194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</row>
    <row r="923" customFormat="false" ht="15.75" hidden="false" customHeight="false" outlineLevel="0" collapsed="false">
      <c r="A923" s="194"/>
      <c r="B923" s="194"/>
      <c r="C923" s="232"/>
      <c r="D923" s="194"/>
      <c r="E923" s="194"/>
      <c r="F923" s="194"/>
      <c r="G923" s="194"/>
      <c r="H923" s="194"/>
      <c r="I923" s="194"/>
      <c r="J923" s="194"/>
      <c r="K923" s="194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</row>
    <row r="924" customFormat="false" ht="15.75" hidden="false" customHeight="false" outlineLevel="0" collapsed="false">
      <c r="A924" s="194"/>
      <c r="B924" s="194"/>
      <c r="C924" s="232"/>
      <c r="D924" s="194"/>
      <c r="E924" s="194"/>
      <c r="F924" s="194"/>
      <c r="G924" s="194"/>
      <c r="H924" s="194"/>
      <c r="I924" s="194"/>
      <c r="J924" s="194"/>
      <c r="K924" s="194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</row>
    <row r="925" customFormat="false" ht="15.75" hidden="false" customHeight="false" outlineLevel="0" collapsed="false">
      <c r="A925" s="194"/>
      <c r="B925" s="194"/>
      <c r="C925" s="232"/>
      <c r="D925" s="194"/>
      <c r="E925" s="194"/>
      <c r="F925" s="194"/>
      <c r="G925" s="194"/>
      <c r="H925" s="194"/>
      <c r="I925" s="194"/>
      <c r="J925" s="194"/>
      <c r="K925" s="194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</row>
    <row r="926" customFormat="false" ht="15.75" hidden="false" customHeight="false" outlineLevel="0" collapsed="false">
      <c r="A926" s="194"/>
      <c r="B926" s="194"/>
      <c r="C926" s="232"/>
      <c r="D926" s="194"/>
      <c r="E926" s="194"/>
      <c r="F926" s="194"/>
      <c r="G926" s="194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</row>
    <row r="927" customFormat="false" ht="15.75" hidden="false" customHeight="false" outlineLevel="0" collapsed="false">
      <c r="A927" s="194"/>
      <c r="B927" s="194"/>
      <c r="C927" s="232"/>
      <c r="D927" s="194"/>
      <c r="E927" s="194"/>
      <c r="F927" s="194"/>
      <c r="G927" s="194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</row>
    <row r="928" customFormat="false" ht="15.75" hidden="false" customHeight="false" outlineLevel="0" collapsed="false">
      <c r="A928" s="194"/>
      <c r="B928" s="194"/>
      <c r="C928" s="232"/>
      <c r="D928" s="194"/>
      <c r="E928" s="194"/>
      <c r="F928" s="194"/>
      <c r="G928" s="194"/>
      <c r="H928" s="194"/>
      <c r="I928" s="194"/>
      <c r="J928" s="194"/>
      <c r="K928" s="194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</row>
    <row r="929" customFormat="false" ht="15.75" hidden="false" customHeight="false" outlineLevel="0" collapsed="false">
      <c r="A929" s="194"/>
      <c r="B929" s="194"/>
      <c r="C929" s="232"/>
      <c r="D929" s="194"/>
      <c r="E929" s="194"/>
      <c r="F929" s="194"/>
      <c r="G929" s="194"/>
      <c r="H929" s="194"/>
      <c r="I929" s="194"/>
      <c r="J929" s="194"/>
      <c r="K929" s="194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</row>
    <row r="930" customFormat="false" ht="15.75" hidden="false" customHeight="false" outlineLevel="0" collapsed="false">
      <c r="A930" s="194"/>
      <c r="B930" s="194"/>
      <c r="C930" s="232"/>
      <c r="D930" s="194"/>
      <c r="E930" s="194"/>
      <c r="F930" s="194"/>
      <c r="G930" s="194"/>
      <c r="H930" s="194"/>
      <c r="I930" s="194"/>
      <c r="J930" s="194"/>
      <c r="K930" s="194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</row>
    <row r="931" customFormat="false" ht="15.75" hidden="false" customHeight="false" outlineLevel="0" collapsed="false">
      <c r="A931" s="194"/>
      <c r="B931" s="194"/>
      <c r="C931" s="232"/>
      <c r="D931" s="194"/>
      <c r="E931" s="194"/>
      <c r="F931" s="194"/>
      <c r="G931" s="194"/>
      <c r="H931" s="194"/>
      <c r="I931" s="194"/>
      <c r="J931" s="194"/>
      <c r="K931" s="194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</row>
    <row r="932" customFormat="false" ht="15.75" hidden="false" customHeight="false" outlineLevel="0" collapsed="false">
      <c r="A932" s="194"/>
      <c r="B932" s="194"/>
      <c r="C932" s="232"/>
      <c r="D932" s="194"/>
      <c r="E932" s="194"/>
      <c r="F932" s="194"/>
      <c r="G932" s="194"/>
      <c r="H932" s="194"/>
      <c r="I932" s="194"/>
      <c r="J932" s="194"/>
      <c r="K932" s="194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</row>
    <row r="933" customFormat="false" ht="15.75" hidden="false" customHeight="false" outlineLevel="0" collapsed="false">
      <c r="A933" s="194"/>
      <c r="B933" s="194"/>
      <c r="C933" s="232"/>
      <c r="D933" s="194"/>
      <c r="E933" s="194"/>
      <c r="F933" s="194"/>
      <c r="G933" s="194"/>
      <c r="H933" s="194"/>
      <c r="I933" s="194"/>
      <c r="J933" s="194"/>
      <c r="K933" s="194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</row>
    <row r="934" customFormat="false" ht="15.75" hidden="false" customHeight="false" outlineLevel="0" collapsed="false">
      <c r="A934" s="194"/>
      <c r="B934" s="194"/>
      <c r="C934" s="232"/>
      <c r="D934" s="194"/>
      <c r="E934" s="194"/>
      <c r="F934" s="194"/>
      <c r="G934" s="194"/>
      <c r="H934" s="194"/>
      <c r="I934" s="194"/>
      <c r="J934" s="194"/>
      <c r="K934" s="194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</row>
    <row r="935" customFormat="false" ht="15.75" hidden="false" customHeight="false" outlineLevel="0" collapsed="false">
      <c r="A935" s="194"/>
      <c r="B935" s="194"/>
      <c r="C935" s="232"/>
      <c r="D935" s="194"/>
      <c r="E935" s="194"/>
      <c r="F935" s="194"/>
      <c r="G935" s="194"/>
      <c r="H935" s="194"/>
      <c r="I935" s="194"/>
      <c r="J935" s="194"/>
      <c r="K935" s="194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</row>
    <row r="936" customFormat="false" ht="15.75" hidden="false" customHeight="false" outlineLevel="0" collapsed="false">
      <c r="A936" s="194"/>
      <c r="B936" s="194"/>
      <c r="C936" s="232"/>
      <c r="D936" s="194"/>
      <c r="E936" s="194"/>
      <c r="F936" s="194"/>
      <c r="G936" s="194"/>
      <c r="H936" s="194"/>
      <c r="I936" s="194"/>
      <c r="J936" s="194"/>
      <c r="K936" s="194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</row>
    <row r="937" customFormat="false" ht="15.75" hidden="false" customHeight="false" outlineLevel="0" collapsed="false">
      <c r="A937" s="194"/>
      <c r="B937" s="194"/>
      <c r="C937" s="232"/>
      <c r="D937" s="194"/>
      <c r="E937" s="194"/>
      <c r="F937" s="194"/>
      <c r="G937" s="194"/>
      <c r="H937" s="194"/>
      <c r="I937" s="194"/>
      <c r="J937" s="194"/>
      <c r="K937" s="194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</row>
    <row r="938" customFormat="false" ht="15.75" hidden="false" customHeight="false" outlineLevel="0" collapsed="false">
      <c r="A938" s="194"/>
      <c r="B938" s="194"/>
      <c r="C938" s="232"/>
      <c r="D938" s="194"/>
      <c r="E938" s="194"/>
      <c r="F938" s="194"/>
      <c r="G938" s="194"/>
      <c r="H938" s="194"/>
      <c r="I938" s="194"/>
      <c r="J938" s="194"/>
      <c r="K938" s="194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</row>
    <row r="939" customFormat="false" ht="15.75" hidden="false" customHeight="false" outlineLevel="0" collapsed="false">
      <c r="A939" s="194"/>
      <c r="B939" s="194"/>
      <c r="C939" s="232"/>
      <c r="D939" s="194"/>
      <c r="E939" s="194"/>
      <c r="F939" s="194"/>
      <c r="G939" s="194"/>
      <c r="H939" s="194"/>
      <c r="I939" s="194"/>
      <c r="J939" s="194"/>
      <c r="K939" s="194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</row>
    <row r="940" customFormat="false" ht="15.75" hidden="false" customHeight="false" outlineLevel="0" collapsed="false">
      <c r="A940" s="194"/>
      <c r="B940" s="194"/>
      <c r="C940" s="232"/>
      <c r="D940" s="194"/>
      <c r="E940" s="194"/>
      <c r="F940" s="194"/>
      <c r="G940" s="194"/>
      <c r="H940" s="194"/>
      <c r="I940" s="194"/>
      <c r="J940" s="194"/>
      <c r="K940" s="194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</row>
    <row r="941" customFormat="false" ht="15.75" hidden="false" customHeight="false" outlineLevel="0" collapsed="false">
      <c r="A941" s="194"/>
      <c r="B941" s="194"/>
      <c r="C941" s="232"/>
      <c r="D941" s="194"/>
      <c r="E941" s="194"/>
      <c r="F941" s="194"/>
      <c r="G941" s="194"/>
      <c r="H941" s="194"/>
      <c r="I941" s="194"/>
      <c r="J941" s="194"/>
      <c r="K941" s="194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</row>
    <row r="942" customFormat="false" ht="15.75" hidden="false" customHeight="false" outlineLevel="0" collapsed="false">
      <c r="A942" s="194"/>
      <c r="B942" s="194"/>
      <c r="C942" s="232"/>
      <c r="D942" s="194"/>
      <c r="E942" s="194"/>
      <c r="F942" s="194"/>
      <c r="G942" s="194"/>
      <c r="H942" s="194"/>
      <c r="I942" s="194"/>
      <c r="J942" s="194"/>
      <c r="K942" s="194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</row>
    <row r="943" customFormat="false" ht="15.75" hidden="false" customHeight="false" outlineLevel="0" collapsed="false">
      <c r="A943" s="194"/>
      <c r="B943" s="194"/>
      <c r="C943" s="232"/>
      <c r="D943" s="194"/>
      <c r="E943" s="194"/>
      <c r="F943" s="194"/>
      <c r="G943" s="194"/>
      <c r="H943" s="194"/>
      <c r="I943" s="194"/>
      <c r="J943" s="194"/>
      <c r="K943" s="194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</row>
    <row r="944" customFormat="false" ht="15.75" hidden="false" customHeight="false" outlineLevel="0" collapsed="false">
      <c r="A944" s="194"/>
      <c r="B944" s="194"/>
      <c r="C944" s="232"/>
      <c r="D944" s="194"/>
      <c r="E944" s="194"/>
      <c r="F944" s="194"/>
      <c r="G944" s="194"/>
      <c r="H944" s="194"/>
      <c r="I944" s="194"/>
      <c r="J944" s="194"/>
      <c r="K944" s="194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</row>
    <row r="945" customFormat="false" ht="15.75" hidden="false" customHeight="false" outlineLevel="0" collapsed="false">
      <c r="A945" s="194"/>
      <c r="B945" s="194"/>
      <c r="C945" s="232"/>
      <c r="D945" s="194"/>
      <c r="E945" s="194"/>
      <c r="F945" s="194"/>
      <c r="G945" s="194"/>
      <c r="H945" s="194"/>
      <c r="I945" s="194"/>
      <c r="J945" s="194"/>
      <c r="K945" s="194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</row>
    <row r="946" customFormat="false" ht="15.75" hidden="false" customHeight="false" outlineLevel="0" collapsed="false">
      <c r="A946" s="194"/>
      <c r="B946" s="194"/>
      <c r="C946" s="232"/>
      <c r="D946" s="194"/>
      <c r="E946" s="194"/>
      <c r="F946" s="194"/>
      <c r="G946" s="194"/>
      <c r="H946" s="194"/>
      <c r="I946" s="194"/>
      <c r="J946" s="194"/>
      <c r="K946" s="194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</row>
    <row r="947" customFormat="false" ht="15.75" hidden="false" customHeight="false" outlineLevel="0" collapsed="false">
      <c r="A947" s="194"/>
      <c r="B947" s="194"/>
      <c r="C947" s="232"/>
      <c r="D947" s="194"/>
      <c r="E947" s="194"/>
      <c r="F947" s="194"/>
      <c r="G947" s="194"/>
      <c r="H947" s="194"/>
      <c r="I947" s="194"/>
      <c r="J947" s="194"/>
      <c r="K947" s="194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</row>
    <row r="948" customFormat="false" ht="15.75" hidden="false" customHeight="false" outlineLevel="0" collapsed="false">
      <c r="A948" s="194"/>
      <c r="B948" s="194"/>
      <c r="C948" s="232"/>
      <c r="D948" s="194"/>
      <c r="E948" s="194"/>
      <c r="F948" s="194"/>
      <c r="G948" s="194"/>
      <c r="H948" s="194"/>
      <c r="I948" s="194"/>
      <c r="J948" s="194"/>
      <c r="K948" s="194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</row>
    <row r="949" customFormat="false" ht="15.75" hidden="false" customHeight="false" outlineLevel="0" collapsed="false">
      <c r="A949" s="194"/>
      <c r="B949" s="194"/>
      <c r="C949" s="232"/>
      <c r="D949" s="194"/>
      <c r="E949" s="194"/>
      <c r="F949" s="194"/>
      <c r="G949" s="194"/>
      <c r="H949" s="194"/>
      <c r="I949" s="194"/>
      <c r="J949" s="194"/>
      <c r="K949" s="194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</row>
    <row r="950" customFormat="false" ht="15.75" hidden="false" customHeight="false" outlineLevel="0" collapsed="false">
      <c r="A950" s="194"/>
      <c r="B950" s="194"/>
      <c r="C950" s="232"/>
      <c r="D950" s="194"/>
      <c r="E950" s="194"/>
      <c r="F950" s="194"/>
      <c r="G950" s="194"/>
      <c r="H950" s="194"/>
      <c r="I950" s="194"/>
      <c r="J950" s="194"/>
      <c r="K950" s="194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</row>
    <row r="951" customFormat="false" ht="15.75" hidden="false" customHeight="false" outlineLevel="0" collapsed="false">
      <c r="A951" s="194"/>
      <c r="B951" s="194"/>
      <c r="C951" s="232"/>
      <c r="D951" s="194"/>
      <c r="E951" s="194"/>
      <c r="F951" s="194"/>
      <c r="G951" s="194"/>
      <c r="H951" s="194"/>
      <c r="I951" s="194"/>
      <c r="J951" s="194"/>
      <c r="K951" s="194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</row>
    <row r="952" customFormat="false" ht="15.75" hidden="false" customHeight="false" outlineLevel="0" collapsed="false">
      <c r="A952" s="194"/>
      <c r="B952" s="194"/>
      <c r="C952" s="232"/>
      <c r="D952" s="194"/>
      <c r="E952" s="194"/>
      <c r="F952" s="194"/>
      <c r="G952" s="194"/>
      <c r="H952" s="194"/>
      <c r="I952" s="194"/>
      <c r="J952" s="194"/>
      <c r="K952" s="194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</row>
    <row r="953" customFormat="false" ht="15.75" hidden="false" customHeight="false" outlineLevel="0" collapsed="false">
      <c r="A953" s="194"/>
      <c r="B953" s="194"/>
      <c r="C953" s="232"/>
      <c r="D953" s="194"/>
      <c r="E953" s="194"/>
      <c r="F953" s="194"/>
      <c r="G953" s="194"/>
      <c r="H953" s="194"/>
      <c r="I953" s="194"/>
      <c r="J953" s="194"/>
      <c r="K953" s="194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</row>
    <row r="954" customFormat="false" ht="15.75" hidden="false" customHeight="false" outlineLevel="0" collapsed="false">
      <c r="A954" s="194"/>
      <c r="B954" s="194"/>
      <c r="C954" s="232"/>
      <c r="D954" s="194"/>
      <c r="E954" s="194"/>
      <c r="F954" s="194"/>
      <c r="G954" s="194"/>
      <c r="H954" s="194"/>
      <c r="I954" s="194"/>
      <c r="J954" s="194"/>
      <c r="K954" s="194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</row>
    <row r="955" customFormat="false" ht="15.75" hidden="false" customHeight="false" outlineLevel="0" collapsed="false">
      <c r="A955" s="194"/>
      <c r="B955" s="194"/>
      <c r="C955" s="232"/>
      <c r="D955" s="194"/>
      <c r="E955" s="194"/>
      <c r="F955" s="194"/>
      <c r="G955" s="194"/>
      <c r="H955" s="194"/>
      <c r="I955" s="194"/>
      <c r="J955" s="194"/>
      <c r="K955" s="194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</row>
    <row r="956" customFormat="false" ht="15.75" hidden="false" customHeight="false" outlineLevel="0" collapsed="false">
      <c r="A956" s="194"/>
      <c r="B956" s="194"/>
      <c r="C956" s="232"/>
      <c r="D956" s="194"/>
      <c r="E956" s="194"/>
      <c r="F956" s="194"/>
      <c r="G956" s="194"/>
      <c r="H956" s="194"/>
      <c r="I956" s="194"/>
      <c r="J956" s="194"/>
      <c r="K956" s="194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</row>
    <row r="957" customFormat="false" ht="15.75" hidden="false" customHeight="false" outlineLevel="0" collapsed="false">
      <c r="A957" s="194"/>
      <c r="B957" s="194"/>
      <c r="C957" s="232"/>
      <c r="D957" s="194"/>
      <c r="E957" s="194"/>
      <c r="F957" s="194"/>
      <c r="G957" s="194"/>
      <c r="H957" s="194"/>
      <c r="I957" s="194"/>
      <c r="J957" s="194"/>
      <c r="K957" s="194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</row>
    <row r="958" customFormat="false" ht="15.75" hidden="false" customHeight="false" outlineLevel="0" collapsed="false">
      <c r="A958" s="194"/>
      <c r="B958" s="194"/>
      <c r="C958" s="232"/>
      <c r="D958" s="194"/>
      <c r="E958" s="194"/>
      <c r="F958" s="194"/>
      <c r="G958" s="194"/>
      <c r="H958" s="194"/>
      <c r="I958" s="194"/>
      <c r="J958" s="194"/>
      <c r="K958" s="194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</row>
    <row r="959" customFormat="false" ht="15.75" hidden="false" customHeight="false" outlineLevel="0" collapsed="false">
      <c r="A959" s="194"/>
      <c r="B959" s="194"/>
      <c r="C959" s="232"/>
      <c r="D959" s="194"/>
      <c r="E959" s="194"/>
      <c r="F959" s="194"/>
      <c r="G959" s="194"/>
      <c r="H959" s="194"/>
      <c r="I959" s="194"/>
      <c r="J959" s="194"/>
      <c r="K959" s="194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</row>
    <row r="960" customFormat="false" ht="15.75" hidden="false" customHeight="false" outlineLevel="0" collapsed="false">
      <c r="A960" s="194"/>
      <c r="B960" s="194"/>
      <c r="C960" s="232"/>
      <c r="D960" s="194"/>
      <c r="E960" s="194"/>
      <c r="F960" s="194"/>
      <c r="G960" s="194"/>
      <c r="H960" s="194"/>
      <c r="I960" s="194"/>
      <c r="J960" s="194"/>
      <c r="K960" s="194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</row>
    <row r="961" customFormat="false" ht="15.75" hidden="false" customHeight="false" outlineLevel="0" collapsed="false">
      <c r="A961" s="194"/>
      <c r="B961" s="194"/>
      <c r="C961" s="232"/>
      <c r="D961" s="194"/>
      <c r="E961" s="194"/>
      <c r="F961" s="194"/>
      <c r="G961" s="194"/>
      <c r="H961" s="194"/>
      <c r="I961" s="194"/>
      <c r="J961" s="194"/>
      <c r="K961" s="194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</row>
    <row r="962" customFormat="false" ht="15.75" hidden="false" customHeight="false" outlineLevel="0" collapsed="false">
      <c r="A962" s="194"/>
      <c r="B962" s="194"/>
      <c r="C962" s="232"/>
      <c r="D962" s="194"/>
      <c r="E962" s="194"/>
      <c r="F962" s="194"/>
      <c r="G962" s="194"/>
      <c r="H962" s="194"/>
      <c r="I962" s="194"/>
      <c r="J962" s="194"/>
      <c r="K962" s="194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</row>
    <row r="963" customFormat="false" ht="15.75" hidden="false" customHeight="false" outlineLevel="0" collapsed="false">
      <c r="A963" s="194"/>
      <c r="B963" s="194"/>
      <c r="C963" s="232"/>
      <c r="D963" s="194"/>
      <c r="E963" s="194"/>
      <c r="F963" s="194"/>
      <c r="G963" s="194"/>
      <c r="H963" s="194"/>
      <c r="I963" s="194"/>
      <c r="J963" s="194"/>
      <c r="K963" s="194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</row>
    <row r="964" customFormat="false" ht="15.75" hidden="false" customHeight="false" outlineLevel="0" collapsed="false">
      <c r="A964" s="194"/>
      <c r="B964" s="194"/>
      <c r="C964" s="232"/>
      <c r="D964" s="194"/>
      <c r="E964" s="194"/>
      <c r="F964" s="194"/>
      <c r="G964" s="194"/>
      <c r="H964" s="194"/>
      <c r="I964" s="194"/>
      <c r="J964" s="194"/>
      <c r="K964" s="194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</row>
    <row r="965" customFormat="false" ht="15.75" hidden="false" customHeight="false" outlineLevel="0" collapsed="false">
      <c r="A965" s="194"/>
      <c r="B965" s="194"/>
      <c r="C965" s="232"/>
      <c r="D965" s="194"/>
      <c r="E965" s="194"/>
      <c r="F965" s="194"/>
      <c r="G965" s="194"/>
      <c r="H965" s="194"/>
      <c r="I965" s="194"/>
      <c r="J965" s="194"/>
      <c r="K965" s="194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</row>
    <row r="966" customFormat="false" ht="15.75" hidden="false" customHeight="false" outlineLevel="0" collapsed="false">
      <c r="A966" s="194"/>
      <c r="B966" s="194"/>
      <c r="C966" s="232"/>
      <c r="D966" s="194"/>
      <c r="E966" s="194"/>
      <c r="F966" s="194"/>
      <c r="G966" s="194"/>
      <c r="H966" s="194"/>
      <c r="I966" s="194"/>
      <c r="J966" s="194"/>
      <c r="K966" s="194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</row>
    <row r="967" customFormat="false" ht="15.75" hidden="false" customHeight="false" outlineLevel="0" collapsed="false">
      <c r="A967" s="194"/>
      <c r="B967" s="194"/>
      <c r="C967" s="232"/>
      <c r="D967" s="194"/>
      <c r="E967" s="194"/>
      <c r="F967" s="194"/>
      <c r="G967" s="194"/>
      <c r="H967" s="194"/>
      <c r="I967" s="194"/>
      <c r="J967" s="194"/>
      <c r="K967" s="194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</row>
    <row r="968" customFormat="false" ht="15.75" hidden="false" customHeight="false" outlineLevel="0" collapsed="false">
      <c r="A968" s="194"/>
      <c r="B968" s="194"/>
      <c r="C968" s="232"/>
      <c r="D968" s="194"/>
      <c r="E968" s="194"/>
      <c r="F968" s="194"/>
      <c r="G968" s="194"/>
      <c r="H968" s="194"/>
      <c r="I968" s="194"/>
      <c r="J968" s="194"/>
      <c r="K968" s="194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</row>
    <row r="969" customFormat="false" ht="15.75" hidden="false" customHeight="false" outlineLevel="0" collapsed="false">
      <c r="A969" s="194"/>
      <c r="B969" s="194"/>
      <c r="C969" s="232"/>
      <c r="D969" s="194"/>
      <c r="E969" s="194"/>
      <c r="F969" s="194"/>
      <c r="G969" s="194"/>
      <c r="H969" s="194"/>
      <c r="I969" s="194"/>
      <c r="J969" s="194"/>
      <c r="K969" s="194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</row>
    <row r="970" customFormat="false" ht="15.75" hidden="false" customHeight="false" outlineLevel="0" collapsed="false">
      <c r="A970" s="194"/>
      <c r="B970" s="194"/>
      <c r="C970" s="232"/>
      <c r="D970" s="194"/>
      <c r="E970" s="194"/>
      <c r="F970" s="194"/>
      <c r="G970" s="194"/>
      <c r="H970" s="194"/>
      <c r="I970" s="194"/>
      <c r="J970" s="194"/>
      <c r="K970" s="194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</row>
    <row r="971" customFormat="false" ht="15.75" hidden="false" customHeight="false" outlineLevel="0" collapsed="false">
      <c r="A971" s="194"/>
      <c r="B971" s="194"/>
      <c r="C971" s="232"/>
      <c r="D971" s="194"/>
      <c r="E971" s="194"/>
      <c r="F971" s="194"/>
      <c r="G971" s="194"/>
      <c r="H971" s="194"/>
      <c r="I971" s="194"/>
      <c r="J971" s="194"/>
      <c r="K971" s="194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</row>
    <row r="972" customFormat="false" ht="15.75" hidden="false" customHeight="false" outlineLevel="0" collapsed="false">
      <c r="A972" s="194"/>
      <c r="B972" s="194"/>
      <c r="C972" s="232"/>
      <c r="D972" s="194"/>
      <c r="E972" s="194"/>
      <c r="F972" s="194"/>
      <c r="G972" s="194"/>
      <c r="H972" s="194"/>
      <c r="I972" s="194"/>
      <c r="J972" s="194"/>
      <c r="K972" s="194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</row>
    <row r="973" customFormat="false" ht="15.75" hidden="false" customHeight="false" outlineLevel="0" collapsed="false">
      <c r="A973" s="194"/>
      <c r="B973" s="194"/>
      <c r="C973" s="232"/>
      <c r="D973" s="194"/>
      <c r="E973" s="194"/>
      <c r="F973" s="194"/>
      <c r="G973" s="194"/>
      <c r="H973" s="194"/>
      <c r="I973" s="194"/>
      <c r="J973" s="194"/>
      <c r="K973" s="194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</row>
    <row r="974" customFormat="false" ht="15.75" hidden="false" customHeight="false" outlineLevel="0" collapsed="false">
      <c r="A974" s="194"/>
      <c r="B974" s="194"/>
      <c r="C974" s="232"/>
      <c r="D974" s="194"/>
      <c r="E974" s="194"/>
      <c r="F974" s="194"/>
      <c r="G974" s="194"/>
      <c r="H974" s="194"/>
      <c r="I974" s="194"/>
      <c r="J974" s="194"/>
      <c r="K974" s="194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</row>
    <row r="975" customFormat="false" ht="15.75" hidden="false" customHeight="false" outlineLevel="0" collapsed="false">
      <c r="A975" s="194"/>
      <c r="B975" s="194"/>
      <c r="C975" s="232"/>
      <c r="D975" s="194"/>
      <c r="E975" s="194"/>
      <c r="F975" s="194"/>
      <c r="G975" s="194"/>
      <c r="H975" s="194"/>
      <c r="I975" s="194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</row>
    <row r="976" customFormat="false" ht="15.75" hidden="false" customHeight="false" outlineLevel="0" collapsed="false">
      <c r="A976" s="194"/>
      <c r="B976" s="194"/>
      <c r="C976" s="232"/>
      <c r="D976" s="194"/>
      <c r="E976" s="194"/>
      <c r="F976" s="194"/>
      <c r="G976" s="194"/>
      <c r="H976" s="194"/>
      <c r="I976" s="194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</row>
    <row r="977" customFormat="false" ht="15.75" hidden="false" customHeight="false" outlineLevel="0" collapsed="false">
      <c r="A977" s="194"/>
      <c r="B977" s="194"/>
      <c r="C977" s="232"/>
      <c r="D977" s="194"/>
      <c r="E977" s="194"/>
      <c r="F977" s="194"/>
      <c r="G977" s="194"/>
      <c r="H977" s="194"/>
      <c r="I977" s="194"/>
      <c r="J977" s="194"/>
      <c r="K977" s="194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</row>
    <row r="978" customFormat="false" ht="15.75" hidden="false" customHeight="false" outlineLevel="0" collapsed="false">
      <c r="A978" s="194"/>
      <c r="B978" s="194"/>
      <c r="C978" s="232"/>
      <c r="D978" s="194"/>
      <c r="E978" s="194"/>
      <c r="F978" s="194"/>
      <c r="G978" s="194"/>
      <c r="H978" s="194"/>
      <c r="I978" s="194"/>
      <c r="J978" s="194"/>
      <c r="K978" s="194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</row>
    <row r="979" customFormat="false" ht="15.75" hidden="false" customHeight="false" outlineLevel="0" collapsed="false">
      <c r="A979" s="194"/>
      <c r="B979" s="194"/>
      <c r="C979" s="232"/>
      <c r="D979" s="194"/>
      <c r="E979" s="194"/>
      <c r="F979" s="194"/>
      <c r="G979" s="194"/>
      <c r="H979" s="194"/>
      <c r="I979" s="194"/>
      <c r="J979" s="194"/>
      <c r="K979" s="194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</row>
    <row r="980" customFormat="false" ht="15.75" hidden="false" customHeight="false" outlineLevel="0" collapsed="false">
      <c r="A980" s="194"/>
      <c r="B980" s="194"/>
      <c r="C980" s="232"/>
      <c r="D980" s="194"/>
      <c r="E980" s="194"/>
      <c r="F980" s="194"/>
      <c r="G980" s="194"/>
      <c r="H980" s="194"/>
      <c r="I980" s="194"/>
      <c r="J980" s="194"/>
      <c r="K980" s="194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</row>
    <row r="981" customFormat="false" ht="15.75" hidden="false" customHeight="false" outlineLevel="0" collapsed="false">
      <c r="A981" s="194"/>
      <c r="B981" s="194"/>
      <c r="C981" s="232"/>
      <c r="D981" s="194"/>
      <c r="E981" s="194"/>
      <c r="F981" s="194"/>
      <c r="G981" s="194"/>
      <c r="H981" s="194"/>
      <c r="I981" s="194"/>
      <c r="J981" s="194"/>
      <c r="K981" s="194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</row>
    <row r="982" customFormat="false" ht="15.75" hidden="false" customHeight="false" outlineLevel="0" collapsed="false">
      <c r="A982" s="194"/>
      <c r="B982" s="194"/>
      <c r="C982" s="232"/>
      <c r="D982" s="194"/>
      <c r="E982" s="194"/>
      <c r="F982" s="194"/>
      <c r="G982" s="194"/>
      <c r="H982" s="194"/>
      <c r="I982" s="194"/>
      <c r="J982" s="194"/>
      <c r="K982" s="194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</row>
    <row r="983" customFormat="false" ht="15.75" hidden="false" customHeight="false" outlineLevel="0" collapsed="false">
      <c r="A983" s="194"/>
      <c r="B983" s="194"/>
      <c r="C983" s="232"/>
      <c r="D983" s="194"/>
      <c r="E983" s="194"/>
      <c r="F983" s="194"/>
      <c r="G983" s="194"/>
      <c r="H983" s="194"/>
      <c r="I983" s="194"/>
      <c r="J983" s="194"/>
      <c r="K983" s="194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</row>
    <row r="984" customFormat="false" ht="15.75" hidden="false" customHeight="false" outlineLevel="0" collapsed="false">
      <c r="A984" s="194"/>
      <c r="B984" s="194"/>
      <c r="C984" s="232"/>
      <c r="D984" s="194"/>
      <c r="E984" s="194"/>
      <c r="F984" s="194"/>
      <c r="G984" s="194"/>
      <c r="H984" s="194"/>
      <c r="I984" s="194"/>
      <c r="J984" s="194"/>
      <c r="K984" s="194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</row>
    <row r="985" customFormat="false" ht="15.75" hidden="false" customHeight="false" outlineLevel="0" collapsed="false">
      <c r="A985" s="194"/>
      <c r="B985" s="194"/>
      <c r="C985" s="232"/>
      <c r="D985" s="194"/>
      <c r="E985" s="194"/>
      <c r="F985" s="194"/>
      <c r="G985" s="194"/>
      <c r="H985" s="194"/>
      <c r="I985" s="194"/>
      <c r="J985" s="194"/>
      <c r="K985" s="194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</row>
    <row r="986" customFormat="false" ht="15.75" hidden="false" customHeight="false" outlineLevel="0" collapsed="false">
      <c r="A986" s="194"/>
      <c r="B986" s="194"/>
      <c r="C986" s="232"/>
      <c r="D986" s="194"/>
      <c r="E986" s="194"/>
      <c r="F986" s="194"/>
      <c r="G986" s="194"/>
      <c r="H986" s="194"/>
      <c r="I986" s="194"/>
      <c r="J986" s="194"/>
      <c r="K986" s="194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</row>
    <row r="987" customFormat="false" ht="15.75" hidden="false" customHeight="false" outlineLevel="0" collapsed="false">
      <c r="A987" s="194"/>
      <c r="B987" s="194"/>
      <c r="C987" s="232"/>
      <c r="D987" s="194"/>
      <c r="E987" s="194"/>
      <c r="F987" s="194"/>
      <c r="G987" s="194"/>
      <c r="H987" s="194"/>
      <c r="I987" s="194"/>
      <c r="J987" s="194"/>
      <c r="K987" s="194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</row>
    <row r="988" customFormat="false" ht="15.75" hidden="false" customHeight="false" outlineLevel="0" collapsed="false">
      <c r="A988" s="194"/>
      <c r="B988" s="194"/>
      <c r="C988" s="232"/>
      <c r="D988" s="194"/>
      <c r="E988" s="194"/>
      <c r="F988" s="194"/>
      <c r="G988" s="194"/>
      <c r="H988" s="194"/>
      <c r="I988" s="194"/>
      <c r="J988" s="194"/>
      <c r="K988" s="194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</row>
    <row r="989" customFormat="false" ht="15.75" hidden="false" customHeight="false" outlineLevel="0" collapsed="false">
      <c r="A989" s="194"/>
      <c r="B989" s="194"/>
      <c r="C989" s="232"/>
      <c r="D989" s="194"/>
      <c r="E989" s="194"/>
      <c r="F989" s="194"/>
      <c r="G989" s="194"/>
      <c r="H989" s="194"/>
      <c r="I989" s="194"/>
      <c r="J989" s="194"/>
      <c r="K989" s="194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</row>
    <row r="990" customFormat="false" ht="15.75" hidden="false" customHeight="false" outlineLevel="0" collapsed="false">
      <c r="A990" s="194"/>
      <c r="B990" s="194"/>
      <c r="C990" s="232"/>
      <c r="D990" s="194"/>
      <c r="E990" s="194"/>
      <c r="F990" s="194"/>
      <c r="G990" s="194"/>
      <c r="H990" s="194"/>
      <c r="I990" s="194"/>
      <c r="J990" s="194"/>
      <c r="K990" s="194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</row>
    <row r="991" customFormat="false" ht="15.75" hidden="false" customHeight="false" outlineLevel="0" collapsed="false">
      <c r="A991" s="194"/>
      <c r="B991" s="194"/>
      <c r="C991" s="232"/>
      <c r="D991" s="194"/>
      <c r="E991" s="194"/>
      <c r="F991" s="194"/>
      <c r="G991" s="194"/>
      <c r="H991" s="194"/>
      <c r="I991" s="194"/>
      <c r="J991" s="194"/>
      <c r="K991" s="194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</row>
    <row r="992" customFormat="false" ht="15.75" hidden="false" customHeight="false" outlineLevel="0" collapsed="false">
      <c r="A992" s="194"/>
      <c r="B992" s="194"/>
      <c r="C992" s="232"/>
      <c r="D992" s="194"/>
      <c r="E992" s="194"/>
      <c r="F992" s="194"/>
      <c r="G992" s="194"/>
      <c r="H992" s="194"/>
      <c r="I992" s="194"/>
      <c r="J992" s="194"/>
      <c r="K992" s="194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</row>
    <row r="993" customFormat="false" ht="15.75" hidden="false" customHeight="false" outlineLevel="0" collapsed="false">
      <c r="A993" s="194"/>
      <c r="B993" s="194"/>
      <c r="C993" s="232"/>
      <c r="D993" s="194"/>
      <c r="E993" s="194"/>
      <c r="F993" s="194"/>
      <c r="G993" s="194"/>
      <c r="H993" s="194"/>
      <c r="I993" s="194"/>
      <c r="J993" s="194"/>
      <c r="K993" s="194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</row>
    <row r="994" customFormat="false" ht="15.75" hidden="false" customHeight="false" outlineLevel="0" collapsed="false">
      <c r="A994" s="194"/>
      <c r="B994" s="194"/>
      <c r="C994" s="232"/>
      <c r="D994" s="194"/>
      <c r="E994" s="194"/>
      <c r="F994" s="194"/>
      <c r="G994" s="194"/>
      <c r="H994" s="194"/>
      <c r="I994" s="194"/>
      <c r="J994" s="194"/>
      <c r="K994" s="194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</row>
    <row r="995" customFormat="false" ht="15.75" hidden="false" customHeight="false" outlineLevel="0" collapsed="false">
      <c r="A995" s="194"/>
      <c r="B995" s="194"/>
      <c r="C995" s="232"/>
      <c r="D995" s="194"/>
      <c r="E995" s="194"/>
      <c r="F995" s="194"/>
      <c r="G995" s="194"/>
      <c r="H995" s="194"/>
      <c r="I995" s="194"/>
      <c r="J995" s="194"/>
      <c r="K995" s="194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</row>
    <row r="996" customFormat="false" ht="15.75" hidden="false" customHeight="false" outlineLevel="0" collapsed="false">
      <c r="A996" s="194"/>
      <c r="B996" s="194"/>
      <c r="C996" s="232"/>
      <c r="D996" s="194"/>
      <c r="E996" s="194"/>
      <c r="F996" s="194"/>
      <c r="G996" s="194"/>
      <c r="H996" s="194"/>
      <c r="I996" s="194"/>
      <c r="J996" s="194"/>
      <c r="K996" s="194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</row>
    <row r="997" customFormat="false" ht="15.75" hidden="false" customHeight="false" outlineLevel="0" collapsed="false">
      <c r="A997" s="194"/>
      <c r="B997" s="194"/>
      <c r="C997" s="232"/>
      <c r="D997" s="194"/>
      <c r="E997" s="194"/>
      <c r="F997" s="194"/>
      <c r="G997" s="194"/>
      <c r="H997" s="194"/>
      <c r="I997" s="194"/>
      <c r="J997" s="194"/>
      <c r="K997" s="194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</row>
    <row r="998" customFormat="false" ht="15.75" hidden="false" customHeight="false" outlineLevel="0" collapsed="false">
      <c r="A998" s="194"/>
      <c r="B998" s="194"/>
      <c r="C998" s="232"/>
      <c r="D998" s="194"/>
      <c r="E998" s="194"/>
      <c r="F998" s="194"/>
      <c r="G998" s="194"/>
      <c r="H998" s="194"/>
      <c r="I998" s="194"/>
      <c r="J998" s="194"/>
      <c r="K998" s="194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</row>
    <row r="999" customFormat="false" ht="15.75" hidden="false" customHeight="false" outlineLevel="0" collapsed="false">
      <c r="A999" s="194"/>
      <c r="B999" s="194"/>
      <c r="C999" s="232"/>
      <c r="D999" s="194"/>
      <c r="E999" s="194"/>
      <c r="F999" s="194"/>
      <c r="G999" s="194"/>
      <c r="H999" s="194"/>
      <c r="I999" s="194"/>
      <c r="J999" s="194"/>
      <c r="K999" s="194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</row>
    <row r="1000" customFormat="false" ht="15.75" hidden="false" customHeight="false" outlineLevel="0" collapsed="false">
      <c r="A1000" s="194"/>
      <c r="B1000" s="194"/>
      <c r="C1000" s="232"/>
      <c r="D1000" s="194"/>
      <c r="E1000" s="194"/>
      <c r="F1000" s="194"/>
      <c r="G1000" s="194"/>
      <c r="H1000" s="194"/>
      <c r="I1000" s="194"/>
      <c r="J1000" s="194"/>
      <c r="K1000" s="194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</row>
    <row r="1001" customFormat="false" ht="15.75" hidden="false" customHeight="false" outlineLevel="0" collapsed="false">
      <c r="A1001" s="194"/>
      <c r="B1001" s="194"/>
      <c r="C1001" s="232"/>
      <c r="D1001" s="194"/>
      <c r="E1001" s="194"/>
      <c r="F1001" s="194"/>
      <c r="G1001" s="194"/>
      <c r="H1001" s="194"/>
      <c r="I1001" s="194"/>
      <c r="J1001" s="194"/>
      <c r="K1001" s="194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</row>
  </sheetData>
  <mergeCells count="12">
    <mergeCell ref="B2:C2"/>
    <mergeCell ref="E2:F2"/>
    <mergeCell ref="I2:T2"/>
    <mergeCell ref="B3:C5"/>
    <mergeCell ref="I3:N3"/>
    <mergeCell ref="O3:T3"/>
    <mergeCell ref="B7:C7"/>
    <mergeCell ref="I11:N11"/>
    <mergeCell ref="O11:T11"/>
    <mergeCell ref="B12:C12"/>
    <mergeCell ref="B13:C13"/>
    <mergeCell ref="B17:C17"/>
  </mergeCells>
  <dataValidations count="3">
    <dataValidation allowBlank="true" errorStyle="stop" operator="between" showDropDown="false" showErrorMessage="true" showInputMessage="false" sqref="C9" type="list">
      <formula1>"1,2,3,4,5"</formula1>
      <formula2>0</formula2>
    </dataValidation>
    <dataValidation allowBlank="true" errorStyle="stop" operator="between" showDropDown="false" showErrorMessage="true" showInputMessage="false" sqref="G2" type="list">
      <formula1>"Total ,Year 1"</formula1>
      <formula2>0</formula2>
    </dataValidation>
    <dataValidation allowBlank="true" errorStyle="stop" operator="between" showDropDown="false" showErrorMessage="true" showInputMessage="false" sqref="C10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15.27"/>
    <col collapsed="false" customWidth="true" hidden="false" outlineLevel="0" max="3" min="3" style="0" width="14.75"/>
    <col collapsed="false" customWidth="true" hidden="false" outlineLevel="0" max="4" min="4" style="0" width="3.25"/>
    <col collapsed="false" customWidth="true" hidden="false" outlineLevel="0" max="9" min="5" style="0" width="16.63"/>
    <col collapsed="false" customWidth="true" hidden="false" outlineLevel="0" max="10" min="10" style="0" width="2.99"/>
    <col collapsed="false" customWidth="true" hidden="false" outlineLevel="0" max="11" min="11" style="0" width="13.24"/>
    <col collapsed="false" customWidth="true" hidden="false" outlineLevel="0" max="12" min="12" style="0" width="17.25"/>
    <col collapsed="false" customWidth="true" hidden="false" outlineLevel="0" max="13" min="13" style="0" width="14.62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31.5" hidden="false" customHeight="true" outlineLevel="0" collapsed="false">
      <c r="A2" s="233"/>
      <c r="B2" s="234" t="s">
        <v>148</v>
      </c>
      <c r="C2" s="235" t="n">
        <f aca="false">IFERROR(__xludf.dummyfunction("IMPORTRANGE(""https://docs.google.com/spreadsheets/d/12OM_DeBCvNTEZ9LjYJwdNoDqg6ZrZOBB1dEVuPqpo20/edit?gid=600088945#gid=600088945"",""League Info!C2"")"),2025)</f>
        <v>2025</v>
      </c>
      <c r="D2" s="1"/>
      <c r="E2" s="236" t="s">
        <v>149</v>
      </c>
      <c r="F2" s="237" t="s">
        <v>150</v>
      </c>
      <c r="G2" s="237" t="s">
        <v>151</v>
      </c>
      <c r="H2" s="237" t="s">
        <v>152</v>
      </c>
      <c r="I2" s="238" t="s">
        <v>153</v>
      </c>
      <c r="J2" s="233"/>
      <c r="K2" s="1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</row>
    <row r="3" customFormat="false" ht="15.75" hidden="false" customHeight="false" outlineLevel="0" collapsed="false">
      <c r="A3" s="1"/>
      <c r="B3" s="1"/>
      <c r="C3" s="1"/>
      <c r="D3" s="1"/>
      <c r="E3" s="239" t="n">
        <f aca="false">140588000*((1)*(1.1^(C2-2024)))</f>
        <v>154646800</v>
      </c>
      <c r="F3" s="56" t="n">
        <f aca="false">E3*0.9</f>
        <v>139182120</v>
      </c>
      <c r="G3" s="56" t="n">
        <f aca="false">E3*1.215</f>
        <v>187895862</v>
      </c>
      <c r="H3" s="56" t="n">
        <f aca="false">172346000*(E3/136021000)</f>
        <v>195945900.9</v>
      </c>
      <c r="I3" s="240" t="n">
        <f aca="false">182794000*(E3/136021000)</f>
        <v>207824579.7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customFormat="false" ht="31.5" hidden="false" customHeight="true" outlineLevel="0" collapsed="false">
      <c r="A4" s="233"/>
      <c r="B4" s="233"/>
      <c r="C4" s="233"/>
      <c r="D4" s="233"/>
      <c r="E4" s="241" t="s">
        <v>154</v>
      </c>
      <c r="F4" s="242" t="s">
        <v>155</v>
      </c>
      <c r="G4" s="242" t="s">
        <v>156</v>
      </c>
      <c r="H4" s="242" t="s">
        <v>157</v>
      </c>
      <c r="I4" s="243" t="s">
        <v>158</v>
      </c>
      <c r="J4" s="233"/>
      <c r="K4" s="1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</row>
    <row r="5" customFormat="false" ht="15.75" hidden="false" customHeight="false" outlineLevel="0" collapsed="false">
      <c r="A5" s="1"/>
      <c r="B5" s="1"/>
      <c r="C5" s="1"/>
      <c r="D5" s="1"/>
      <c r="E5" s="244" t="n">
        <f aca="false">E3*0.0912</f>
        <v>14103788.16</v>
      </c>
      <c r="F5" s="245" t="n">
        <f aca="false">5000000*(E3/136021000)</f>
        <v>5684666.338</v>
      </c>
      <c r="G5" s="245" t="n">
        <f aca="false">E3*0.05678</f>
        <v>8780845.304</v>
      </c>
      <c r="H5" s="245" t="n">
        <f aca="false">E3*0.0332</f>
        <v>5134273.76</v>
      </c>
      <c r="I5" s="246" t="n">
        <f aca="false">E5</f>
        <v>14103788.16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5.7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15.75" hidden="false" customHeight="false" outlineLevel="0" collapsed="false">
      <c r="A7" s="1"/>
      <c r="B7" s="247" t="s">
        <v>159</v>
      </c>
      <c r="C7" s="247"/>
      <c r="D7" s="1"/>
      <c r="E7" s="247" t="s">
        <v>160</v>
      </c>
      <c r="F7" s="247"/>
      <c r="G7" s="247"/>
      <c r="H7" s="247"/>
      <c r="I7" s="24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customFormat="false" ht="15.75" hidden="false" customHeight="false" outlineLevel="0" collapsed="false">
      <c r="A8" s="1"/>
      <c r="B8" s="248" t="s">
        <v>161</v>
      </c>
      <c r="C8" s="249" t="s">
        <v>162</v>
      </c>
      <c r="D8" s="1"/>
      <c r="E8" s="248" t="s">
        <v>163</v>
      </c>
      <c r="F8" s="250" t="s">
        <v>164</v>
      </c>
      <c r="G8" s="250" t="s">
        <v>165</v>
      </c>
      <c r="H8" s="250" t="s">
        <v>166</v>
      </c>
      <c r="I8" s="249" t="s">
        <v>167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5.75" hidden="false" customHeight="false" outlineLevel="0" collapsed="false">
      <c r="A9" s="1"/>
      <c r="B9" s="251" t="n">
        <v>0</v>
      </c>
      <c r="C9" s="252" t="n">
        <v>1272869</v>
      </c>
      <c r="D9" s="1"/>
      <c r="E9" s="253" t="n">
        <v>1</v>
      </c>
      <c r="F9" s="254" t="n">
        <v>13825920</v>
      </c>
      <c r="G9" s="254" t="n">
        <v>14517480</v>
      </c>
      <c r="H9" s="254" t="n">
        <v>15208680</v>
      </c>
      <c r="I9" s="255" t="n">
        <v>19178146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.75" hidden="false" customHeight="false" outlineLevel="0" collapsed="false">
      <c r="A10" s="1"/>
      <c r="B10" s="251" t="n">
        <v>1</v>
      </c>
      <c r="C10" s="252" t="n">
        <v>2048491</v>
      </c>
      <c r="D10" s="1"/>
      <c r="E10" s="256" t="n">
        <v>2</v>
      </c>
      <c r="F10" s="257" t="n">
        <v>12370200</v>
      </c>
      <c r="G10" s="257" t="n">
        <v>12989040</v>
      </c>
      <c r="H10" s="257" t="n">
        <v>13607760</v>
      </c>
      <c r="I10" s="258" t="n">
        <v>17172994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.75" hidden="false" customHeight="false" outlineLevel="0" collapsed="false">
      <c r="A11" s="1"/>
      <c r="B11" s="251" t="n">
        <v>2</v>
      </c>
      <c r="C11" s="252" t="n">
        <v>2296271</v>
      </c>
      <c r="D11" s="1"/>
      <c r="E11" s="256" t="n">
        <v>3</v>
      </c>
      <c r="F11" s="257" t="n">
        <v>11108880</v>
      </c>
      <c r="G11" s="257" t="n">
        <v>11663880</v>
      </c>
      <c r="H11" s="257" t="n">
        <v>12219720</v>
      </c>
      <c r="I11" s="258" t="n">
        <v>15445727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.75" hidden="false" customHeight="false" outlineLevel="0" collapsed="false">
      <c r="A12" s="1"/>
      <c r="B12" s="251" t="n">
        <v>3</v>
      </c>
      <c r="C12" s="252" t="n">
        <v>2378867</v>
      </c>
      <c r="D12" s="1"/>
      <c r="E12" s="256" t="n">
        <v>4</v>
      </c>
      <c r="F12" s="257" t="n">
        <v>10015680</v>
      </c>
      <c r="G12" s="257" t="n">
        <v>10516560</v>
      </c>
      <c r="H12" s="257" t="n">
        <v>11017560</v>
      </c>
      <c r="I12" s="258" t="n">
        <v>13937214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.75" hidden="false" customHeight="false" outlineLevel="0" collapsed="false">
      <c r="A13" s="1"/>
      <c r="B13" s="251" t="n">
        <v>4</v>
      </c>
      <c r="C13" s="252" t="n">
        <v>2461461</v>
      </c>
      <c r="D13" s="1"/>
      <c r="E13" s="256" t="n">
        <v>5</v>
      </c>
      <c r="F13" s="257" t="n">
        <v>9069840</v>
      </c>
      <c r="G13" s="257" t="n">
        <v>9522960</v>
      </c>
      <c r="H13" s="257" t="n">
        <v>9976560</v>
      </c>
      <c r="I13" s="258" t="n">
        <v>12640302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.75" hidden="false" customHeight="false" outlineLevel="0" collapsed="false">
      <c r="A14" s="1"/>
      <c r="B14" s="251" t="n">
        <v>5</v>
      </c>
      <c r="C14" s="252" t="n">
        <v>2667944</v>
      </c>
      <c r="D14" s="1"/>
      <c r="E14" s="256" t="n">
        <v>6</v>
      </c>
      <c r="F14" s="257" t="n">
        <v>8237640</v>
      </c>
      <c r="G14" s="257" t="n">
        <v>8649600</v>
      </c>
      <c r="H14" s="257" t="n">
        <v>9061680</v>
      </c>
      <c r="I14" s="258" t="n">
        <v>11490211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false" outlineLevel="0" collapsed="false">
      <c r="A15" s="1"/>
      <c r="B15" s="251" t="n">
        <v>6</v>
      </c>
      <c r="C15" s="252" t="n">
        <v>2874432</v>
      </c>
      <c r="D15" s="1"/>
      <c r="E15" s="256" t="n">
        <v>7</v>
      </c>
      <c r="F15" s="257" t="n">
        <v>7520040</v>
      </c>
      <c r="G15" s="257" t="n">
        <v>7896240</v>
      </c>
      <c r="H15" s="257" t="n">
        <v>8271960</v>
      </c>
      <c r="I15" s="258" t="n">
        <v>10505389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false" outlineLevel="0" collapsed="false">
      <c r="A16" s="1"/>
      <c r="B16" s="251" t="n">
        <v>7</v>
      </c>
      <c r="C16" s="252" t="n">
        <v>3080917</v>
      </c>
      <c r="D16" s="1"/>
      <c r="E16" s="256" t="n">
        <v>8</v>
      </c>
      <c r="F16" s="257" t="n">
        <v>6889200</v>
      </c>
      <c r="G16" s="257" t="n">
        <v>7233720</v>
      </c>
      <c r="H16" s="257" t="n">
        <v>7578240</v>
      </c>
      <c r="I16" s="258" t="n">
        <v>9639522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false" outlineLevel="0" collapsed="false">
      <c r="A17" s="1"/>
      <c r="B17" s="251" t="n">
        <v>8</v>
      </c>
      <c r="C17" s="252" t="n">
        <v>3287405</v>
      </c>
      <c r="D17" s="1"/>
      <c r="E17" s="256" t="n">
        <v>9</v>
      </c>
      <c r="F17" s="257" t="n">
        <v>6332520</v>
      </c>
      <c r="G17" s="257" t="n">
        <v>6649560</v>
      </c>
      <c r="H17" s="257" t="n">
        <v>6966000</v>
      </c>
      <c r="I17" s="258" t="n">
        <v>8874684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false" outlineLevel="0" collapsed="false">
      <c r="A18" s="1"/>
      <c r="B18" s="251" t="n">
        <v>9</v>
      </c>
      <c r="C18" s="252" t="n">
        <v>3303770</v>
      </c>
      <c r="D18" s="1"/>
      <c r="E18" s="256" t="n">
        <v>10</v>
      </c>
      <c r="F18" s="257" t="n">
        <v>6016080</v>
      </c>
      <c r="G18" s="257" t="n">
        <v>6316680</v>
      </c>
      <c r="H18" s="257" t="n">
        <v>6617160</v>
      </c>
      <c r="I18" s="258" t="n">
        <v>8436880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false" outlineLevel="0" collapsed="false">
      <c r="A19" s="1"/>
      <c r="B19" s="259" t="s">
        <v>168</v>
      </c>
      <c r="C19" s="260" t="n">
        <v>3634148</v>
      </c>
      <c r="D19" s="1"/>
      <c r="E19" s="256" t="n">
        <v>11</v>
      </c>
      <c r="F19" s="257" t="n">
        <v>5715120</v>
      </c>
      <c r="G19" s="257" t="n">
        <v>6001080</v>
      </c>
      <c r="H19" s="257" t="n">
        <v>6286920</v>
      </c>
      <c r="I19" s="258" t="n">
        <v>8342743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false" outlineLevel="0" collapsed="false">
      <c r="A20" s="1"/>
      <c r="B20" s="1"/>
      <c r="C20" s="1"/>
      <c r="D20" s="1"/>
      <c r="E20" s="256" t="n">
        <v>12</v>
      </c>
      <c r="F20" s="257" t="n">
        <v>5429520</v>
      </c>
      <c r="G20" s="257" t="n">
        <v>5701200</v>
      </c>
      <c r="H20" s="257" t="n">
        <v>5972760</v>
      </c>
      <c r="I20" s="258" t="n">
        <v>8230464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false" outlineLevel="0" collapsed="false">
      <c r="A21" s="1"/>
      <c r="B21" s="1"/>
      <c r="C21" s="1"/>
      <c r="D21" s="1"/>
      <c r="E21" s="256" t="n">
        <v>13</v>
      </c>
      <c r="F21" s="257" t="n">
        <v>5157960</v>
      </c>
      <c r="G21" s="257" t="n">
        <v>5416080</v>
      </c>
      <c r="H21" s="257" t="n">
        <v>5673840</v>
      </c>
      <c r="I21" s="258" t="n">
        <v>8107918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5.75" hidden="false" customHeight="false" outlineLevel="0" collapsed="false">
      <c r="A22" s="1"/>
      <c r="B22" s="1"/>
      <c r="C22" s="1"/>
      <c r="D22" s="1"/>
      <c r="E22" s="256" t="n">
        <v>14</v>
      </c>
      <c r="F22" s="257" t="n">
        <v>4900320</v>
      </c>
      <c r="G22" s="257" t="n">
        <v>5145360</v>
      </c>
      <c r="H22" s="257" t="n">
        <v>5390640</v>
      </c>
      <c r="I22" s="258" t="n">
        <v>7983539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5.75" hidden="false" customHeight="false" outlineLevel="0" collapsed="false">
      <c r="A23" s="1"/>
      <c r="B23" s="1"/>
      <c r="C23" s="1"/>
      <c r="D23" s="1"/>
      <c r="E23" s="256" t="n">
        <v>15</v>
      </c>
      <c r="F23" s="257" t="n">
        <v>4655040</v>
      </c>
      <c r="G23" s="257" t="n">
        <v>4887720</v>
      </c>
      <c r="H23" s="257" t="n">
        <v>5120400</v>
      </c>
      <c r="I23" s="258" t="n">
        <v>7849573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customFormat="false" ht="15.75" hidden="false" customHeight="false" outlineLevel="0" collapsed="false">
      <c r="A24" s="1"/>
      <c r="B24" s="1"/>
      <c r="C24" s="1"/>
      <c r="D24" s="1"/>
      <c r="E24" s="256" t="n">
        <v>16</v>
      </c>
      <c r="F24" s="257" t="n">
        <v>4422360</v>
      </c>
      <c r="G24" s="257" t="n">
        <v>4643520</v>
      </c>
      <c r="H24" s="257" t="n">
        <v>4864920</v>
      </c>
      <c r="I24" s="258" t="n">
        <v>7462788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customFormat="false" ht="15.75" hidden="false" customHeight="false" outlineLevel="0" collapsed="false">
      <c r="A25" s="1"/>
      <c r="B25" s="1"/>
      <c r="C25" s="1"/>
      <c r="D25" s="1"/>
      <c r="E25" s="256" t="n">
        <v>17</v>
      </c>
      <c r="F25" s="257" t="n">
        <v>4201080</v>
      </c>
      <c r="G25" s="257" t="n">
        <v>4411200</v>
      </c>
      <c r="H25" s="257" t="n">
        <v>4621200</v>
      </c>
      <c r="I25" s="258" t="n">
        <v>7098163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customFormat="false" ht="15.75" hidden="false" customHeight="false" outlineLevel="0" collapsed="false">
      <c r="A26" s="1"/>
      <c r="B26" s="1"/>
      <c r="C26" s="1"/>
      <c r="D26" s="1"/>
      <c r="E26" s="256" t="n">
        <v>18</v>
      </c>
      <c r="F26" s="257" t="n">
        <v>3991320</v>
      </c>
      <c r="G26" s="257" t="n">
        <v>4190520</v>
      </c>
      <c r="H26" s="257" t="n">
        <v>4390320</v>
      </c>
      <c r="I26" s="258" t="n">
        <v>6752312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customFormat="false" ht="15.75" hidden="false" customHeight="false" outlineLevel="0" collapsed="false">
      <c r="A27" s="1"/>
      <c r="B27" s="1"/>
      <c r="C27" s="1"/>
      <c r="D27" s="1"/>
      <c r="E27" s="256" t="n">
        <v>19</v>
      </c>
      <c r="F27" s="257" t="n">
        <v>3811560</v>
      </c>
      <c r="G27" s="257" t="n">
        <v>4002000</v>
      </c>
      <c r="H27" s="257" t="n">
        <v>4193040</v>
      </c>
      <c r="I27" s="258" t="n">
        <v>6457282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customFormat="false" ht="15.75" hidden="false" customHeight="false" outlineLevel="0" collapsed="false">
      <c r="A28" s="1"/>
      <c r="B28" s="1"/>
      <c r="C28" s="1"/>
      <c r="D28" s="1"/>
      <c r="E28" s="256" t="n">
        <v>20</v>
      </c>
      <c r="F28" s="257" t="n">
        <v>3658800</v>
      </c>
      <c r="G28" s="257" t="n">
        <v>3841680</v>
      </c>
      <c r="H28" s="257" t="n">
        <v>4024440</v>
      </c>
      <c r="I28" s="258" t="n">
        <v>6205687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customFormat="false" ht="15.75" hidden="false" customHeight="false" outlineLevel="0" collapsed="false">
      <c r="A29" s="1"/>
      <c r="B29" s="1"/>
      <c r="C29" s="1"/>
      <c r="D29" s="1"/>
      <c r="E29" s="256" t="n">
        <v>21</v>
      </c>
      <c r="F29" s="257" t="n">
        <v>3512520</v>
      </c>
      <c r="G29" s="257" t="n">
        <v>3688320</v>
      </c>
      <c r="H29" s="257" t="n">
        <v>3864000</v>
      </c>
      <c r="I29" s="258" t="n">
        <v>6155352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customFormat="false" ht="15.75" hidden="false" customHeight="false" outlineLevel="0" collapsed="false">
      <c r="A30" s="1"/>
      <c r="B30" s="1"/>
      <c r="C30" s="1"/>
      <c r="D30" s="1"/>
      <c r="E30" s="256" t="n">
        <v>22</v>
      </c>
      <c r="F30" s="257" t="n">
        <v>3372240</v>
      </c>
      <c r="G30" s="257" t="n">
        <v>3540600</v>
      </c>
      <c r="H30" s="257" t="n">
        <v>3709320</v>
      </c>
      <c r="I30" s="258" t="n">
        <v>6101832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customFormat="false" ht="15.75" hidden="false" customHeight="false" outlineLevel="0" collapsed="false">
      <c r="A31" s="1"/>
      <c r="B31" s="1"/>
      <c r="C31" s="1"/>
      <c r="D31" s="1"/>
      <c r="E31" s="256" t="n">
        <v>23</v>
      </c>
      <c r="F31" s="257" t="n">
        <v>3237480</v>
      </c>
      <c r="G31" s="257" t="n">
        <v>3399480</v>
      </c>
      <c r="H31" s="257" t="n">
        <v>3560880</v>
      </c>
      <c r="I31" s="258" t="n">
        <v>6042814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customFormat="false" ht="15.75" hidden="false" customHeight="false" outlineLevel="0" collapsed="false">
      <c r="A32" s="1"/>
      <c r="B32" s="1"/>
      <c r="C32" s="1"/>
      <c r="D32" s="1"/>
      <c r="E32" s="256" t="n">
        <v>24</v>
      </c>
      <c r="F32" s="257" t="n">
        <v>3108120</v>
      </c>
      <c r="G32" s="257" t="n">
        <v>3263400</v>
      </c>
      <c r="H32" s="257" t="n">
        <v>3418800</v>
      </c>
      <c r="I32" s="258" t="n">
        <v>5979481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customFormat="false" ht="15.75" hidden="false" customHeight="false" outlineLevel="0" collapsed="false">
      <c r="A33" s="1"/>
      <c r="B33" s="1"/>
      <c r="C33" s="1"/>
      <c r="D33" s="1"/>
      <c r="E33" s="256" t="n">
        <v>25</v>
      </c>
      <c r="F33" s="257" t="n">
        <v>2983320</v>
      </c>
      <c r="G33" s="257" t="n">
        <v>3132360</v>
      </c>
      <c r="H33" s="257" t="n">
        <v>3282000</v>
      </c>
      <c r="I33" s="258" t="n">
        <v>5910882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customFormat="false" ht="15.75" hidden="false" customHeight="false" outlineLevel="0" collapsed="false">
      <c r="A34" s="1"/>
      <c r="B34" s="1"/>
      <c r="C34" s="1"/>
      <c r="D34" s="1"/>
      <c r="E34" s="256" t="n">
        <v>26</v>
      </c>
      <c r="F34" s="257" t="n">
        <v>2884560</v>
      </c>
      <c r="G34" s="257" t="n">
        <v>3028560</v>
      </c>
      <c r="H34" s="257" t="n">
        <v>3172920</v>
      </c>
      <c r="I34" s="258" t="n">
        <v>5720776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customFormat="false" ht="15.75" hidden="false" customHeight="false" outlineLevel="0" collapsed="false">
      <c r="A35" s="1"/>
      <c r="B35" s="1"/>
      <c r="C35" s="1"/>
      <c r="D35" s="1"/>
      <c r="E35" s="256" t="n">
        <v>27</v>
      </c>
      <c r="F35" s="257" t="n">
        <v>2801280</v>
      </c>
      <c r="G35" s="257" t="n">
        <v>2941440</v>
      </c>
      <c r="H35" s="257" t="n">
        <v>3081840</v>
      </c>
      <c r="I35" s="258" t="n">
        <v>5559640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customFormat="false" ht="15.75" hidden="false" customHeight="false" outlineLevel="0" collapsed="false">
      <c r="A36" s="1"/>
      <c r="B36" s="1"/>
      <c r="C36" s="1"/>
      <c r="D36" s="1"/>
      <c r="E36" s="256" t="n">
        <v>28</v>
      </c>
      <c r="F36" s="257" t="n">
        <v>2783880</v>
      </c>
      <c r="G36" s="257" t="n">
        <v>2923560</v>
      </c>
      <c r="H36" s="257" t="n">
        <v>3062640</v>
      </c>
      <c r="I36" s="258" t="n">
        <v>5528065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customFormat="false" ht="15.75" hidden="false" customHeight="false" outlineLevel="0" collapsed="false">
      <c r="A37" s="1"/>
      <c r="B37" s="1"/>
      <c r="C37" s="1"/>
      <c r="D37" s="1"/>
      <c r="E37" s="256" t="n">
        <v>29</v>
      </c>
      <c r="F37" s="257" t="n">
        <v>2763960</v>
      </c>
      <c r="G37" s="257" t="n">
        <v>2902080</v>
      </c>
      <c r="H37" s="257" t="n">
        <v>3040320</v>
      </c>
      <c r="I37" s="258" t="n">
        <v>5487778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customFormat="false" ht="15.75" hidden="false" customHeight="false" outlineLevel="0" collapsed="false">
      <c r="A38" s="1"/>
      <c r="B38" s="1"/>
      <c r="C38" s="1"/>
      <c r="D38" s="1"/>
      <c r="E38" s="261" t="n">
        <v>30</v>
      </c>
      <c r="F38" s="262" t="n">
        <v>2743800</v>
      </c>
      <c r="G38" s="262" t="n">
        <v>2880960</v>
      </c>
      <c r="H38" s="262" t="n">
        <v>3018480</v>
      </c>
      <c r="I38" s="263" t="n">
        <v>5448356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customFormat="false" ht="15.75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customFormat="false" ht="15.75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customFormat="false" ht="15.75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customFormat="false" ht="15.75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customFormat="false" ht="15.75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customFormat="false" ht="15.75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customFormat="false" ht="15.75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customFormat="false" ht="15.75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customFormat="false" ht="15.75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customFormat="false" ht="15.75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customFormat="false" ht="15.75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customFormat="false" ht="15.7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customFormat="false" ht="15.75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2">
    <mergeCell ref="B7:C7"/>
    <mergeCell ref="E7:I7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65"/>
  <sheetViews>
    <sheetView showFormulas="false" showGridLines="true" showRowColHeaders="true" showZeros="true" rightToLeft="false" tabSelected="false" showOutlineSymbols="true" defaultGridColor="true" view="normal" topLeftCell="A538" colorId="64" zoomScale="100" zoomScaleNormal="100" zoomScalePageLayoutView="100" workbookViewId="0">
      <selection pane="topLeft" activeCell="E550" activeCellId="0" sqref="E550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17.13"/>
    <col collapsed="false" customWidth="true" hidden="false" outlineLevel="0" max="14" min="3" style="0" width="15.88"/>
  </cols>
  <sheetData>
    <row r="1" customFormat="false" ht="15.75" hidden="false" customHeight="false" outlineLevel="0" collapsed="false">
      <c r="A1" s="264" t="str">
        <f aca="false">IFERROR(__xludf.dummyfunction("IMPORTRANGE(""https://docs.google.com/spreadsheets/d/12OM_DeBCvNTEZ9LjYJwdNoDqg6ZrZOBB1dEVuPqpo20/edit?gid=1870555526#gid=1870555526"",""All Contracts!A:Z"")"),"Name")</f>
        <v>Name</v>
      </c>
      <c r="B1" s="1" t="str">
        <f aca="false">IFERROR(__xludf.dummyfunction("""COMPUTED_VALUE"""),"Team")</f>
        <v>Team</v>
      </c>
      <c r="C1" s="265" t="str">
        <f aca="false">IFERROR(__xludf.dummyfunction("""COMPUTED_VALUE"""),"2024-2025")</f>
        <v>2024-2025</v>
      </c>
      <c r="D1" s="265"/>
      <c r="E1" s="266" t="str">
        <f aca="false">IFERROR(__xludf.dummyfunction("""COMPUTED_VALUE"""),"2025-2026")</f>
        <v>2025-2026</v>
      </c>
      <c r="F1" s="266"/>
      <c r="G1" s="266" t="str">
        <f aca="false">IFERROR(__xludf.dummyfunction("""COMPUTED_VALUE"""),"2026-2027")</f>
        <v>2026-2027</v>
      </c>
      <c r="H1" s="266"/>
      <c r="I1" s="266" t="str">
        <f aca="false">IFERROR(__xludf.dummyfunction("""COMPUTED_VALUE"""),"2027-2028")</f>
        <v>2027-2028</v>
      </c>
      <c r="J1" s="266"/>
      <c r="K1" s="266" t="str">
        <f aca="false">IFERROR(__xludf.dummyfunction("""COMPUTED_VALUE"""),"2028-2029")</f>
        <v>2028-2029</v>
      </c>
      <c r="L1" s="266"/>
      <c r="M1" s="266" t="str">
        <f aca="false">IFERROR(__xludf.dummyfunction("""COMPUTED_VALUE"""),"2029-2030")</f>
        <v>2029-2030</v>
      </c>
      <c r="N1" s="266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</row>
    <row r="2" customFormat="false" ht="15.75" hidden="false" customHeight="false" outlineLevel="0" collapsed="false">
      <c r="A2" s="1" t="str">
        <f aca="false">IFERROR(__xludf.dummyfunction("""COMPUTED_VALUE"""),"Daeqwon Plowden")</f>
        <v>Daeqwon Plowden</v>
      </c>
      <c r="B2" s="267" t="str">
        <f aca="false">IFERROR(__xludf.dummyfunction("""COMPUTED_VALUE"""),"Atlanta Hawks")</f>
        <v>Atlanta Hawks</v>
      </c>
      <c r="C2" s="268" t="str">
        <f aca="false">IFERROR(__xludf.dummyfunction("""COMPUTED_VALUE"""),"Two-way")</f>
        <v>Two-way</v>
      </c>
      <c r="D2" s="267" t="str">
        <f aca="false">IFERROR(__xludf.dummyfunction("""COMPUTED_VALUE"""),"Two-way")</f>
        <v>Two-way</v>
      </c>
      <c r="E2" s="269" t="str">
        <f aca="false">IFERROR(__xludf.dummyfunction("""COMPUTED_VALUE"""),"Two-way")</f>
        <v>Two-way</v>
      </c>
      <c r="F2" s="270" t="str">
        <f aca="false">IFERROR(__xludf.dummyfunction("""COMPUTED_VALUE"""),"Two-way")</f>
        <v>Two-way</v>
      </c>
      <c r="G2" s="269" t="n">
        <f aca="false">IFERROR(__xludf.dummyfunction("""COMPUTED_VALUE"""),2253346)</f>
        <v>2253346</v>
      </c>
      <c r="H2" s="1" t="str">
        <f aca="false">IFERROR(__xludf.dummyfunction("""COMPUTED_VALUE"""),"UFA - Two-way")</f>
        <v>UFA - Two-way</v>
      </c>
      <c r="I2" s="269"/>
      <c r="J2" s="1"/>
      <c r="K2" s="269"/>
      <c r="L2" s="1"/>
      <c r="M2" s="269"/>
      <c r="N2" s="1"/>
      <c r="O2" s="193" t="n">
        <f aca="false">IFERROR(__xludf.dummyfunction("""COMPUTED_VALUE"""),1)</f>
        <v>1</v>
      </c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</row>
    <row r="3" customFormat="false" ht="15.75" hidden="false" customHeight="false" outlineLevel="0" collapsed="false">
      <c r="A3" s="1" t="str">
        <f aca="false">IFERROR(__xludf.dummyfunction("""COMPUTED_VALUE"""),"Michael Ruzic")</f>
        <v>Michael Ruzic</v>
      </c>
      <c r="B3" s="267" t="str">
        <f aca="false">IFERROR(__xludf.dummyfunction("""COMPUTED_VALUE"""),"Atlanta Hawks")</f>
        <v>Atlanta Hawks</v>
      </c>
      <c r="C3" s="269" t="str">
        <f aca="false">IFERROR(__xludf.dummyfunction("""COMPUTED_VALUE"""),"Two-Way")</f>
        <v>Two-Way</v>
      </c>
      <c r="D3" s="267" t="str">
        <f aca="false">IFERROR(__xludf.dummyfunction("""COMPUTED_VALUE"""),"Two-Way")</f>
        <v>Two-Way</v>
      </c>
      <c r="E3" s="269" t="str">
        <f aca="false">IFERROR(__xludf.dummyfunction("""COMPUTED_VALUE"""),"Two-Way")</f>
        <v>Two-Way</v>
      </c>
      <c r="F3" s="267" t="str">
        <f aca="false">IFERROR(__xludf.dummyfunction("""COMPUTED_VALUE"""),"Two-Way")</f>
        <v>Two-Way</v>
      </c>
      <c r="G3" s="269" t="n">
        <f aca="false">IFERROR(__xludf.dummyfunction("""COMPUTED_VALUE"""),2253346)</f>
        <v>2253346</v>
      </c>
      <c r="H3" s="1" t="str">
        <f aca="false">IFERROR(__xludf.dummyfunction("""COMPUTED_VALUE"""),"UFA - Two-Way")</f>
        <v>UFA - Two-Way</v>
      </c>
      <c r="I3" s="269"/>
      <c r="J3" s="1"/>
      <c r="K3" s="269"/>
      <c r="L3" s="1"/>
      <c r="M3" s="269"/>
      <c r="N3" s="1"/>
      <c r="O3" s="193" t="n">
        <f aca="false">IFERROR(__xludf.dummyfunction("""COMPUTED_VALUE"""),1)</f>
        <v>1</v>
      </c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</row>
    <row r="4" customFormat="false" ht="15.75" hidden="false" customHeight="false" outlineLevel="0" collapsed="false">
      <c r="A4" s="1" t="str">
        <f aca="false">IFERROR(__xludf.dummyfunction("""COMPUTED_VALUE"""),"Jalen Johnson")</f>
        <v>Jalen Johnson</v>
      </c>
      <c r="B4" s="267" t="str">
        <f aca="false">IFERROR(__xludf.dummyfunction("""COMPUTED_VALUE"""),"Atlanta Hawks")</f>
        <v>Atlanta Hawks</v>
      </c>
      <c r="C4" s="269" t="n">
        <f aca="false">IFERROR(__xludf.dummyfunction("""COMPUTED_VALUE"""),4510905)</f>
        <v>4510905</v>
      </c>
      <c r="D4" s="1"/>
      <c r="E4" s="269" t="n">
        <f aca="false">IFERROR(__xludf.dummyfunction("""COMPUTED_VALUE"""),30000000)</f>
        <v>30000000</v>
      </c>
      <c r="F4" s="1"/>
      <c r="G4" s="269" t="n">
        <f aca="false">IFERROR(__xludf.dummyfunction("""COMPUTED_VALUE"""),30000000)</f>
        <v>30000000</v>
      </c>
      <c r="H4" s="1"/>
      <c r="I4" s="269" t="n">
        <f aca="false">IFERROR(__xludf.dummyfunction("""COMPUTED_VALUE"""),30000000)</f>
        <v>30000000</v>
      </c>
      <c r="J4" s="1"/>
      <c r="K4" s="269" t="n">
        <f aca="false">IFERROR(__xludf.dummyfunction("""COMPUTED_VALUE"""),30000000)</f>
        <v>30000000</v>
      </c>
      <c r="L4" s="1"/>
      <c r="M4" s="269" t="n">
        <f aca="false">IFERROR(__xludf.dummyfunction("""COMPUTED_VALUE"""),45000000)</f>
        <v>45000000</v>
      </c>
      <c r="N4" s="1" t="str">
        <f aca="false">IFERROR(__xludf.dummyfunction("""COMPUTED_VALUE"""),"UFA - Bird")</f>
        <v>UFA - Bird</v>
      </c>
      <c r="O4" s="193" t="n">
        <f aca="false">IFERROR(__xludf.dummyfunction("""COMPUTED_VALUE"""),1)</f>
        <v>1</v>
      </c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</row>
    <row r="5" customFormat="false" ht="15.75" hidden="false" customHeight="false" outlineLevel="0" collapsed="false">
      <c r="A5" s="1" t="str">
        <f aca="false">IFERROR(__xludf.dummyfunction("""COMPUTED_VALUE"""),"DeMar DeRozan")</f>
        <v>DeMar DeRozan</v>
      </c>
      <c r="B5" s="267" t="str">
        <f aca="false">IFERROR(__xludf.dummyfunction("""COMPUTED_VALUE"""),"Atlanta Hawks")</f>
        <v>Atlanta Hawks</v>
      </c>
      <c r="C5" s="269"/>
      <c r="D5" s="267"/>
      <c r="E5" s="269" t="n">
        <f aca="false">IFERROR(__xludf.dummyfunction("""COMPUTED_VALUE"""),24750000)</f>
        <v>24750000</v>
      </c>
      <c r="F5" s="267"/>
      <c r="G5" s="269" t="n">
        <f aca="false">IFERROR(__xludf.dummyfunction("""COMPUTED_VALUE"""),25740000)</f>
        <v>25740000</v>
      </c>
      <c r="H5" s="267"/>
      <c r="I5" s="269" t="n">
        <f aca="false">IFERROR(__xludf.dummyfunction("""COMPUTED_VALUE"""),38604762)</f>
        <v>38604762</v>
      </c>
      <c r="J5" s="267" t="str">
        <f aca="false">IFERROR(__xludf.dummyfunction("""COMPUTED_VALUE"""),"UFA - Bird")</f>
        <v>UFA - Bird</v>
      </c>
      <c r="K5" s="269"/>
      <c r="L5" s="1"/>
      <c r="M5" s="269"/>
      <c r="N5" s="1"/>
      <c r="O5" s="193" t="n">
        <f aca="false">IFERROR(__xludf.dummyfunction("""COMPUTED_VALUE"""),1)</f>
        <v>1</v>
      </c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</row>
    <row r="6" customFormat="false" ht="15.75" hidden="false" customHeight="false" outlineLevel="0" collapsed="false">
      <c r="A6" s="1" t="str">
        <f aca="false">IFERROR(__xludf.dummyfunction("""COMPUTED_VALUE"""),"Jusuf Nurkic")</f>
        <v>Jusuf Nurkic</v>
      </c>
      <c r="B6" s="267" t="str">
        <f aca="false">IFERROR(__xludf.dummyfunction("""COMPUTED_VALUE"""),"Atlanta Hawks")</f>
        <v>Atlanta Hawks</v>
      </c>
      <c r="C6" s="269" t="n">
        <f aca="false">IFERROR(__xludf.dummyfunction("""COMPUTED_VALUE"""),18125000)</f>
        <v>18125000</v>
      </c>
      <c r="D6" s="267"/>
      <c r="E6" s="269" t="n">
        <f aca="false">IFERROR(__xludf.dummyfunction("""COMPUTED_VALUE"""),19375000)</f>
        <v>19375000</v>
      </c>
      <c r="F6" s="270"/>
      <c r="G6" s="269" t="n">
        <f aca="false">IFERROR(__xludf.dummyfunction("""COMPUTED_VALUE"""),29026500)</f>
        <v>29026500</v>
      </c>
      <c r="H6" s="270" t="str">
        <f aca="false">IFERROR(__xludf.dummyfunction("""COMPUTED_VALUE"""),"UFA - Bird")</f>
        <v>UFA - Bird</v>
      </c>
      <c r="I6" s="269" t="str">
        <f aca="false">IFERROR(__xludf.dummyfunction("""COMPUTED_VALUE"""),"")</f>
        <v/>
      </c>
      <c r="J6" s="270"/>
      <c r="K6" s="269"/>
      <c r="L6" s="1"/>
      <c r="M6" s="269"/>
      <c r="N6" s="1"/>
      <c r="O6" s="193" t="n">
        <f aca="false">IFERROR(__xludf.dummyfunction("""COMPUTED_VALUE"""),1)</f>
        <v>1</v>
      </c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</row>
    <row r="7" customFormat="false" ht="15.75" hidden="false" customHeight="false" outlineLevel="0" collapsed="false">
      <c r="A7" s="1" t="str">
        <f aca="false">IFERROR(__xludf.dummyfunction("""COMPUTED_VALUE"""),"Onyeka Okongwu")</f>
        <v>Onyeka Okongwu</v>
      </c>
      <c r="B7" s="267" t="str">
        <f aca="false">IFERROR(__xludf.dummyfunction("""COMPUTED_VALUE"""),"Atlanta Hawks")</f>
        <v>Atlanta Hawks</v>
      </c>
      <c r="C7" s="269" t="n">
        <f aca="false">IFERROR(__xludf.dummyfunction("""COMPUTED_VALUE"""),14000000)</f>
        <v>14000000</v>
      </c>
      <c r="D7" s="267"/>
      <c r="E7" s="269" t="n">
        <f aca="false">IFERROR(__xludf.dummyfunction("""COMPUTED_VALUE"""),15000000)</f>
        <v>15000000</v>
      </c>
      <c r="F7" s="267"/>
      <c r="G7" s="269" t="n">
        <f aca="false">IFERROR(__xludf.dummyfunction("""COMPUTED_VALUE"""),16100000)</f>
        <v>16100000</v>
      </c>
      <c r="H7" s="267"/>
      <c r="I7" s="269" t="n">
        <f aca="false">IFERROR(__xludf.dummyfunction("""COMPUTED_VALUE"""),16880000)</f>
        <v>16880000</v>
      </c>
      <c r="J7" s="1"/>
      <c r="K7" s="269" t="n">
        <f aca="false">IFERROR(__xludf.dummyfunction("""COMPUTED_VALUE"""),25320000)</f>
        <v>25320000</v>
      </c>
      <c r="L7" s="1" t="str">
        <f aca="false">IFERROR(__xludf.dummyfunction("""COMPUTED_VALUE"""),"UFA - Bird")</f>
        <v>UFA - Bird</v>
      </c>
      <c r="M7" s="269"/>
      <c r="N7" s="1"/>
      <c r="O7" s="193" t="n">
        <f aca="false">IFERROR(__xludf.dummyfunction("""COMPUTED_VALUE"""),1)</f>
        <v>1</v>
      </c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</row>
    <row r="8" customFormat="false" ht="15.75" hidden="false" customHeight="false" outlineLevel="0" collapsed="false">
      <c r="A8" s="1" t="str">
        <f aca="false">IFERROR(__xludf.dummyfunction("""COMPUTED_VALUE"""),"Josh Green")</f>
        <v>Josh Green</v>
      </c>
      <c r="B8" s="270" t="str">
        <f aca="false">IFERROR(__xludf.dummyfunction("""COMPUTED_VALUE"""),"Atlanta Hawks")</f>
        <v>Atlanta Hawks</v>
      </c>
      <c r="C8" s="269" t="n">
        <f aca="false">IFERROR(__xludf.dummyfunction("""COMPUTED_VALUE"""),12654321)</f>
        <v>12654321</v>
      </c>
      <c r="D8" s="1"/>
      <c r="E8" s="269" t="n">
        <f aca="false">IFERROR(__xludf.dummyfunction("""COMPUTED_VALUE"""),13666667)</f>
        <v>13666667</v>
      </c>
      <c r="F8" s="1"/>
      <c r="G8" s="269" t="n">
        <f aca="false">IFERROR(__xludf.dummyfunction("""COMPUTED_VALUE"""),14679012)</f>
        <v>14679012</v>
      </c>
      <c r="H8" s="1"/>
      <c r="I8" s="269" t="n">
        <f aca="false">IFERROR(__xludf.dummyfunction("""COMPUTED_VALUE"""),22018518)</f>
        <v>22018518</v>
      </c>
      <c r="J8" s="1" t="str">
        <f aca="false">IFERROR(__xludf.dummyfunction("""COMPUTED_VALUE"""),"UFA - Bird")</f>
        <v>UFA - Bird</v>
      </c>
      <c r="K8" s="269"/>
      <c r="L8" s="1"/>
      <c r="M8" s="269"/>
      <c r="N8" s="1"/>
      <c r="O8" s="193" t="n">
        <f aca="false">IFERROR(__xludf.dummyfunction("""COMPUTED_VALUE"""),1)</f>
        <v>1</v>
      </c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</row>
    <row r="9" customFormat="false" ht="15.75" hidden="false" customHeight="false" outlineLevel="0" collapsed="false">
      <c r="A9" s="1" t="str">
        <f aca="false">IFERROR(__xludf.dummyfunction("""COMPUTED_VALUE"""),"Zaccharie Risacher")</f>
        <v>Zaccharie Risacher</v>
      </c>
      <c r="B9" s="267" t="str">
        <f aca="false">IFERROR(__xludf.dummyfunction("""COMPUTED_VALUE"""),"Atlanta Hawks")</f>
        <v>Atlanta Hawks</v>
      </c>
      <c r="C9" s="269" t="n">
        <f aca="false">IFERROR(__xludf.dummyfunction("""COMPUTED_VALUE"""),12569040)</f>
        <v>12569040</v>
      </c>
      <c r="D9" s="267"/>
      <c r="E9" s="269" t="n">
        <f aca="false">IFERROR(__xludf.dummyfunction("""COMPUTED_VALUE"""),13197720)</f>
        <v>13197720</v>
      </c>
      <c r="F9" s="1"/>
      <c r="G9" s="269" t="n">
        <f aca="false">IFERROR(__xludf.dummyfunction("""COMPUTED_VALUE"""),13826040)</f>
        <v>13826040</v>
      </c>
      <c r="H9" s="267" t="str">
        <f aca="false">IFERROR(__xludf.dummyfunction("""COMPUTED_VALUE"""),"Club Option")</f>
        <v>Club Option</v>
      </c>
      <c r="I9" s="269" t="n">
        <f aca="false">IFERROR(__xludf.dummyfunction("""COMPUTED_VALUE"""),17434637)</f>
        <v>17434637</v>
      </c>
      <c r="J9" s="267" t="str">
        <f aca="false">IFERROR(__xludf.dummyfunction("""COMPUTED_VALUE"""),"Club Option")</f>
        <v>Club Option</v>
      </c>
      <c r="K9" s="269" t="n">
        <f aca="false">IFERROR(__xludf.dummyfunction("""COMPUTED_VALUE"""),43586593)</f>
        <v>43586593</v>
      </c>
      <c r="L9" s="1" t="str">
        <f aca="false">IFERROR(__xludf.dummyfunction("""COMPUTED_VALUE"""),"RFA - Bird")</f>
        <v>RFA - Bird</v>
      </c>
      <c r="M9" s="269"/>
      <c r="N9" s="1"/>
      <c r="O9" s="193" t="n">
        <f aca="false">IFERROR(__xludf.dummyfunction("""COMPUTED_VALUE"""),1)</f>
        <v>1</v>
      </c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</row>
    <row r="10" customFormat="false" ht="15.75" hidden="false" customHeight="false" outlineLevel="0" collapsed="false">
      <c r="A10" s="1" t="str">
        <f aca="false">IFERROR(__xludf.dummyfunction("""COMPUTED_VALUE"""),"Scoot Henderson")</f>
        <v>Scoot Henderson</v>
      </c>
      <c r="B10" s="267" t="str">
        <f aca="false">IFERROR(__xludf.dummyfunction("""COMPUTED_VALUE"""),"Atlanta Hawks")</f>
        <v>Atlanta Hawks</v>
      </c>
      <c r="C10" s="269"/>
      <c r="D10" s="267"/>
      <c r="E10" s="269" t="n">
        <f aca="false">IFERROR(__xludf.dummyfunction("""COMPUTED_VALUE"""),10748040)</f>
        <v>10748040</v>
      </c>
      <c r="F10" s="1"/>
      <c r="G10" s="269" t="n">
        <f aca="false">IFERROR(__xludf.dummyfunction("""COMPUTED_VALUE"""),13585523)</f>
        <v>13585523</v>
      </c>
      <c r="H10" s="1" t="str">
        <f aca="false">IFERROR(__xludf.dummyfunction("""COMPUTED_VALUE"""),"Club Option")</f>
        <v>Club Option</v>
      </c>
      <c r="I10" s="269" t="n">
        <f aca="false">IFERROR(__xludf.dummyfunction("""COMPUTED_VALUE"""),40756569)</f>
        <v>40756569</v>
      </c>
      <c r="J10" s="1" t="str">
        <f aca="false">IFERROR(__xludf.dummyfunction("""COMPUTED_VALUE"""),"RFA - Bird")</f>
        <v>RFA - Bird</v>
      </c>
      <c r="K10" s="269"/>
      <c r="L10" s="1"/>
      <c r="M10" s="269"/>
      <c r="N10" s="1"/>
      <c r="O10" s="193" t="n">
        <f aca="false">IFERROR(__xludf.dummyfunction("""COMPUTED_VALUE"""),1)</f>
        <v>1</v>
      </c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</row>
    <row r="11" customFormat="false" ht="15.75" hidden="false" customHeight="false" outlineLevel="0" collapsed="false">
      <c r="A11" s="1" t="str">
        <f aca="false">IFERROR(__xludf.dummyfunction("""COMPUTED_VALUE"""),"Jonas Valanciunas")</f>
        <v>Jonas Valanciunas</v>
      </c>
      <c r="B11" s="267" t="str">
        <f aca="false">IFERROR(__xludf.dummyfunction("""COMPUTED_VALUE"""),"Atlanta Hawks")</f>
        <v>Atlanta Hawks</v>
      </c>
      <c r="C11" s="269" t="n">
        <f aca="false">IFERROR(__xludf.dummyfunction("""COMPUTED_VALUE"""),9900000)</f>
        <v>9900000</v>
      </c>
      <c r="D11" s="267"/>
      <c r="E11" s="269" t="n">
        <f aca="false">IFERROR(__xludf.dummyfunction("""COMPUTED_VALUE"""),10395000)</f>
        <v>10395000</v>
      </c>
      <c r="F11" s="267"/>
      <c r="G11" s="269" t="n">
        <f aca="false">IFERROR(__xludf.dummyfunction("""COMPUTED_VALUE"""),10000000)</f>
        <v>10000000</v>
      </c>
      <c r="H11" s="267" t="str">
        <f aca="false">IFERROR(__xludf.dummyfunction("""COMPUTED_VALUE"""),"Non Guaranteed")</f>
        <v>Non Guaranteed</v>
      </c>
      <c r="I11" s="269" t="n">
        <f aca="false">IFERROR(__xludf.dummyfunction("""COMPUTED_VALUE"""),19000000)</f>
        <v>19000000</v>
      </c>
      <c r="J11" s="267" t="str">
        <f aca="false">IFERROR(__xludf.dummyfunction("""COMPUTED_VALUE"""),"UFA - Bird")</f>
        <v>UFA - Bird</v>
      </c>
      <c r="K11" s="269"/>
      <c r="L11" s="1"/>
      <c r="M11" s="269"/>
      <c r="N11" s="1"/>
      <c r="O11" s="193" t="n">
        <f aca="false">IFERROR(__xludf.dummyfunction("""COMPUTED_VALUE"""),1)</f>
        <v>1</v>
      </c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</row>
    <row r="12" customFormat="false" ht="15.75" hidden="false" customHeight="false" outlineLevel="0" collapsed="false">
      <c r="A12" s="1" t="str">
        <f aca="false">IFERROR(__xludf.dummyfunction("""COMPUTED_VALUE"""),"Jaden Ivey")</f>
        <v>Jaden Ivey</v>
      </c>
      <c r="B12" s="267" t="str">
        <f aca="false">IFERROR(__xludf.dummyfunction("""COMPUTED_VALUE"""),"Atlanta Hawks")</f>
        <v>Atlanta Hawks</v>
      </c>
      <c r="C12" s="269"/>
      <c r="D12" s="267"/>
      <c r="E12" s="269" t="n">
        <f aca="false">IFERROR(__xludf.dummyfunction("""COMPUTED_VALUE"""),10107163)</f>
        <v>10107163</v>
      </c>
      <c r="F12" s="267"/>
      <c r="G12" s="269" t="n">
        <f aca="false">IFERROR(__xludf.dummyfunction("""COMPUTED_VALUE"""),30321489)</f>
        <v>30321489</v>
      </c>
      <c r="H12" s="267" t="str">
        <f aca="false">IFERROR(__xludf.dummyfunction("""COMPUTED_VALUE"""),"RFA - Bird")</f>
        <v>RFA - Bird</v>
      </c>
      <c r="I12" s="269" t="str">
        <f aca="false">IFERROR(__xludf.dummyfunction("""COMPUTED_VALUE"""),"")</f>
        <v/>
      </c>
      <c r="J12" s="1"/>
      <c r="K12" s="269"/>
      <c r="L12" s="1"/>
      <c r="M12" s="269"/>
      <c r="N12" s="1"/>
      <c r="O12" s="193" t="n">
        <f aca="false">IFERROR(__xludf.dummyfunction("""COMPUTED_VALUE"""),1)</f>
        <v>1</v>
      </c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</row>
    <row r="13" customFormat="false" ht="15.75" hidden="false" customHeight="false" outlineLevel="0" collapsed="false">
      <c r="A13" s="1" t="str">
        <f aca="false">IFERROR(__xludf.dummyfunction("""COMPUTED_VALUE"""),"Dyson Daniels")</f>
        <v>Dyson Daniels</v>
      </c>
      <c r="B13" s="267" t="str">
        <f aca="false">IFERROR(__xludf.dummyfunction("""COMPUTED_VALUE"""),"Atlanta Hawks")</f>
        <v>Atlanta Hawks</v>
      </c>
      <c r="C13" s="269" t="n">
        <f aca="false">IFERROR(__xludf.dummyfunction("""COMPUTED_VALUE"""),6059520)</f>
        <v>6059520</v>
      </c>
      <c r="D13" s="1"/>
      <c r="E13" s="269" t="n">
        <f aca="false">IFERROR(__xludf.dummyfunction("""COMPUTED_VALUE"""),7707709)</f>
        <v>7707709</v>
      </c>
      <c r="F13" s="1"/>
      <c r="G13" s="269" t="n">
        <f aca="false">IFERROR(__xludf.dummyfunction("""COMPUTED_VALUE"""),23123127)</f>
        <v>23123127</v>
      </c>
      <c r="H13" s="1" t="str">
        <f aca="false">IFERROR(__xludf.dummyfunction("""COMPUTED_VALUE"""),"RFA - Bird")</f>
        <v>RFA - Bird</v>
      </c>
      <c r="I13" s="269" t="str">
        <f aca="false">IFERROR(__xludf.dummyfunction("""COMPUTED_VALUE"""),"")</f>
        <v/>
      </c>
      <c r="J13" s="1"/>
      <c r="K13" s="269"/>
      <c r="L13" s="1"/>
      <c r="M13" s="269"/>
      <c r="N13" s="1"/>
      <c r="O13" s="193" t="n">
        <f aca="false">IFERROR(__xludf.dummyfunction("""COMPUTED_VALUE"""),1)</f>
        <v>1</v>
      </c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</row>
    <row r="14" customFormat="false" ht="15.75" hidden="false" customHeight="false" outlineLevel="0" collapsed="false">
      <c r="A14" s="1" t="str">
        <f aca="false">IFERROR(__xludf.dummyfunction("""COMPUTED_VALUE"""),"Dario Saric")</f>
        <v>Dario Saric</v>
      </c>
      <c r="B14" s="267" t="str">
        <f aca="false">IFERROR(__xludf.dummyfunction("""COMPUTED_VALUE"""),"Atlanta Hawks")</f>
        <v>Atlanta Hawks</v>
      </c>
      <c r="C14" s="269" t="n">
        <f aca="false">IFERROR(__xludf.dummyfunction("""COMPUTED_VALUE"""),5168000)</f>
        <v>5168000</v>
      </c>
      <c r="D14" s="267"/>
      <c r="E14" s="269" t="n">
        <f aca="false">IFERROR(__xludf.dummyfunction("""COMPUTED_VALUE"""),5426400)</f>
        <v>5426400</v>
      </c>
      <c r="F14" s="270"/>
      <c r="G14" s="269" t="n">
        <f aca="false">IFERROR(__xludf.dummyfunction("""COMPUTED_VALUE"""),10310160)</f>
        <v>10310160</v>
      </c>
      <c r="H14" s="270" t="str">
        <f aca="false">IFERROR(__xludf.dummyfunction("""COMPUTED_VALUE"""),"UFA - Early Bird")</f>
        <v>UFA - Early Bird</v>
      </c>
      <c r="I14" s="269" t="str">
        <f aca="false">IFERROR(__xludf.dummyfunction("""COMPUTED_VALUE"""),"")</f>
        <v/>
      </c>
      <c r="J14" s="1"/>
      <c r="K14" s="269"/>
      <c r="L14" s="1"/>
      <c r="M14" s="269"/>
      <c r="N14" s="1"/>
      <c r="O14" s="193" t="n">
        <f aca="false">IFERROR(__xludf.dummyfunction("""COMPUTED_VALUE"""),1)</f>
        <v>1</v>
      </c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</row>
    <row r="15" customFormat="false" ht="15.75" hidden="false" customHeight="false" outlineLevel="0" collapsed="false">
      <c r="A15" s="1" t="str">
        <f aca="false">IFERROR(__xludf.dummyfunction("""COMPUTED_VALUE"""),"Sam Merrill")</f>
        <v>Sam Merrill</v>
      </c>
      <c r="B15" s="267" t="str">
        <f aca="false">IFERROR(__xludf.dummyfunction("""COMPUTED_VALUE"""),"Atlanta Hawks")</f>
        <v>Atlanta Hawks</v>
      </c>
      <c r="C15" s="269" t="n">
        <f aca="false">IFERROR(__xludf.dummyfunction("""COMPUTED_VALUE"""),2164993)</f>
        <v>2164993</v>
      </c>
      <c r="D15" s="267"/>
      <c r="E15" s="269" t="n">
        <f aca="false">IFERROR(__xludf.dummyfunction("""COMPUTED_VALUE"""),5134273.76)</f>
        <v>5134273.76</v>
      </c>
      <c r="F15" s="270"/>
      <c r="G15" s="269" t="n">
        <f aca="false">IFERROR(__xludf.dummyfunction("""COMPUTED_VALUE"""),5390987.45)</f>
        <v>5390987.45</v>
      </c>
      <c r="H15" s="1"/>
      <c r="I15" s="269" t="n">
        <f aca="false">IFERROR(__xludf.dummyfunction("""COMPUTED_VALUE"""),7008283.68)</f>
        <v>7008283.68</v>
      </c>
      <c r="J15" s="267" t="str">
        <f aca="false">IFERROR(__xludf.dummyfunction("""COMPUTED_VALUE"""),"UFA - Early Bird")</f>
        <v>UFA - Early Bird</v>
      </c>
      <c r="K15" s="269"/>
      <c r="L15" s="1"/>
      <c r="M15" s="269"/>
      <c r="N15" s="1"/>
      <c r="O15" s="193" t="n">
        <f aca="false">IFERROR(__xludf.dummyfunction("""COMPUTED_VALUE"""),1)</f>
        <v>1</v>
      </c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</row>
    <row r="16" customFormat="false" ht="15.75" hidden="false" customHeight="false" outlineLevel="0" collapsed="false">
      <c r="A16" s="1" t="str">
        <f aca="false">IFERROR(__xludf.dummyfunction("""COMPUTED_VALUE"""),"Kobe Bufkin")</f>
        <v>Kobe Bufkin</v>
      </c>
      <c r="B16" s="267" t="str">
        <f aca="false">IFERROR(__xludf.dummyfunction("""COMPUTED_VALUE"""),"Atlanta Hawks")</f>
        <v>Atlanta Hawks</v>
      </c>
      <c r="C16" s="268" t="n">
        <f aca="false">IFERROR(__xludf.dummyfunction("""COMPUTED_VALUE"""),4299000)</f>
        <v>4299000</v>
      </c>
      <c r="D16" s="267"/>
      <c r="E16" s="269" t="n">
        <f aca="false">IFERROR(__xludf.dummyfunction("""COMPUTED_VALUE"""),4503668)</f>
        <v>4503668</v>
      </c>
      <c r="F16" s="1"/>
      <c r="G16" s="269" t="n">
        <f aca="false">IFERROR(__xludf.dummyfunction("""COMPUTED_VALUE"""),6904203)</f>
        <v>6904203</v>
      </c>
      <c r="H16" s="1" t="str">
        <f aca="false">IFERROR(__xludf.dummyfunction("""COMPUTED_VALUE"""),"Club Option")</f>
        <v>Club Option</v>
      </c>
      <c r="I16" s="269" t="n">
        <f aca="false">IFERROR(__xludf.dummyfunction("""COMPUTED_VALUE"""),20712609)</f>
        <v>20712609</v>
      </c>
      <c r="J16" s="1" t="str">
        <f aca="false">IFERROR(__xludf.dummyfunction("""COMPUTED_VALUE"""),"RFA - Bird")</f>
        <v>RFA - Bird</v>
      </c>
      <c r="K16" s="269"/>
      <c r="L16" s="1"/>
      <c r="M16" s="269"/>
      <c r="N16" s="1"/>
      <c r="O16" s="193" t="n">
        <f aca="false">IFERROR(__xludf.dummyfunction("""COMPUTED_VALUE"""),1)</f>
        <v>1</v>
      </c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</row>
    <row r="17" customFormat="false" ht="15.75" hidden="false" customHeight="false" outlineLevel="0" collapsed="false">
      <c r="A17" s="1" t="str">
        <f aca="false">IFERROR(__xludf.dummyfunction("""COMPUTED_VALUE"""),"Wesley Matthews")</f>
        <v>Wesley Matthews</v>
      </c>
      <c r="B17" s="270" t="str">
        <f aca="false">IFERROR(__xludf.dummyfunction("""COMPUTED_VALUE"""),"Atlanta Hawks")</f>
        <v>Atlanta Hawks</v>
      </c>
      <c r="C17" s="268" t="n">
        <f aca="false">IFERROR(__xludf.dummyfunction("""COMPUTED_VALUE"""),2087519)</f>
        <v>2087519</v>
      </c>
      <c r="D17" s="270" t="str">
        <f aca="false">IFERROR(__xludf.dummyfunction("""COMPUTED_VALUE"""),"UFA - Non-Bird")</f>
        <v>UFA - Non-Bird</v>
      </c>
      <c r="E17" s="268" t="n">
        <f aca="false">IFERROR(__xludf.dummyfunction("""COMPUTED_VALUE"""),2296274)</f>
        <v>2296274</v>
      </c>
      <c r="F17" s="1" t="str">
        <f aca="false">IFERROR(__xludf.dummyfunction("""COMPUTED_VALUE"""),"UFA - Non-Bird")</f>
        <v>UFA - Non-Bird</v>
      </c>
      <c r="G17" s="268"/>
      <c r="H17" s="1"/>
      <c r="I17" s="268"/>
      <c r="J17" s="1"/>
      <c r="K17" s="268"/>
      <c r="L17" s="1"/>
      <c r="M17" s="268"/>
      <c r="N17" s="1"/>
      <c r="O17" s="193" t="n">
        <f aca="false">IFERROR(__xludf.dummyfunction("""COMPUTED_VALUE"""),1)</f>
        <v>1</v>
      </c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</row>
    <row r="18" customFormat="false" ht="15.75" hidden="false" customHeight="false" outlineLevel="0" collapsed="false">
      <c r="A18" s="1" t="str">
        <f aca="false">IFERROR(__xludf.dummyfunction("""COMPUTED_VALUE"""),"Trent Forrest")</f>
        <v>Trent Forrest</v>
      </c>
      <c r="B18" s="270" t="str">
        <f aca="false">IFERROR(__xludf.dummyfunction("""COMPUTED_VALUE"""),"Atlanta Hawks")</f>
        <v>Atlanta Hawks</v>
      </c>
      <c r="C18" s="268" t="n">
        <f aca="false">IFERROR(__xludf.dummyfunction("""COMPUTED_VALUE"""),2087519)</f>
        <v>2087519</v>
      </c>
      <c r="D18" s="1" t="str">
        <f aca="false">IFERROR(__xludf.dummyfunction("""COMPUTED_VALUE"""),"UFA - Early Bird")</f>
        <v>UFA - Early Bird</v>
      </c>
      <c r="E18" s="268" t="n">
        <f aca="false">IFERROR(__xludf.dummyfunction("""COMPUTED_VALUE"""),2296274)</f>
        <v>2296274</v>
      </c>
      <c r="F18" s="1" t="str">
        <f aca="false">IFERROR(__xludf.dummyfunction("""COMPUTED_VALUE"""),"UFA - Early Bird")</f>
        <v>UFA - Early Bird</v>
      </c>
      <c r="G18" s="268"/>
      <c r="H18" s="1"/>
      <c r="I18" s="268"/>
      <c r="J18" s="1"/>
      <c r="K18" s="268"/>
      <c r="L18" s="1"/>
      <c r="M18" s="268"/>
      <c r="N18" s="1"/>
      <c r="O18" s="193" t="n">
        <f aca="false">IFERROR(__xludf.dummyfunction("""COMPUTED_VALUE"""),1)</f>
        <v>1</v>
      </c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</row>
    <row r="19" customFormat="false" ht="15.75" hidden="false" customHeight="false" outlineLevel="0" collapsed="false">
      <c r="A19" s="1" t="str">
        <f aca="false">IFERROR(__xludf.dummyfunction("""COMPUTED_VALUE"""),"Antonio Reeves")</f>
        <v>Antonio Reeves</v>
      </c>
      <c r="B19" s="270" t="str">
        <f aca="false">IFERROR(__xludf.dummyfunction("""COMPUTED_VALUE"""),"Atlanta Hawks")</f>
        <v>Atlanta Hawks</v>
      </c>
      <c r="C19" s="268" t="n">
        <f aca="false">IFERROR(__xludf.dummyfunction("""COMPUTED_VALUE"""),1157153)</f>
        <v>1157153</v>
      </c>
      <c r="D19" s="1"/>
      <c r="E19" s="268" t="n">
        <f aca="false">IFERROR(__xludf.dummyfunction("""COMPUTED_VALUE"""),2296271)</f>
        <v>2296271</v>
      </c>
      <c r="F19" s="1" t="str">
        <f aca="false">IFERROR(__xludf.dummyfunction("""COMPUTED_VALUE"""),"Damn bro that's bs")</f>
        <v>Damn bro that's bs</v>
      </c>
      <c r="G19" s="268" t="n">
        <f aca="false">IFERROR(__xludf.dummyfunction("""COMPUTED_VALUE"""),2296271)</f>
        <v>2296271</v>
      </c>
      <c r="H19" s="267" t="str">
        <f aca="false">IFERROR(__xludf.dummyfunction("""COMPUTED_VALUE"""),"Player Option")</f>
        <v>Player Option</v>
      </c>
      <c r="I19" s="268" t="n">
        <f aca="false">IFERROR(__xludf.dummyfunction("""COMPUTED_VALUE"""),2525898.1)</f>
        <v>2525898.1</v>
      </c>
      <c r="J19" s="267" t="str">
        <f aca="false">IFERROR(__xludf.dummyfunction("""COMPUTED_VALUE"""),"UFA - Early Bird")</f>
        <v>UFA - Early Bird</v>
      </c>
      <c r="K19" s="268"/>
      <c r="L19" s="1"/>
      <c r="M19" s="268"/>
      <c r="N19" s="1"/>
      <c r="O19" s="193" t="n">
        <f aca="false">IFERROR(__xludf.dummyfunction("""COMPUTED_VALUE"""),1)</f>
        <v>1</v>
      </c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</row>
    <row r="20" customFormat="false" ht="15.75" hidden="false" customHeight="false" outlineLevel="0" collapsed="false">
      <c r="A20" s="1" t="str">
        <f aca="false">IFERROR(__xludf.dummyfunction("""COMPUTED_VALUE"""),"Keaton Wallace")</f>
        <v>Keaton Wallace</v>
      </c>
      <c r="B20" s="270" t="str">
        <f aca="false">IFERROR(__xludf.dummyfunction("""COMPUTED_VALUE"""),"Atlanta Hawks")</f>
        <v>Atlanta Hawks</v>
      </c>
      <c r="C20" s="268" t="str">
        <f aca="false">IFERROR(__xludf.dummyfunction("""COMPUTED_VALUE"""),"Two-way")</f>
        <v>Two-way</v>
      </c>
      <c r="D20" s="270"/>
      <c r="E20" s="268" t="n">
        <f aca="false">IFERROR(__xludf.dummyfunction("""COMPUTED_VALUE"""),2296271)</f>
        <v>2296271</v>
      </c>
      <c r="F20" s="1"/>
      <c r="G20" s="268" t="n">
        <f aca="false">IFERROR(__xludf.dummyfunction("""COMPUTED_VALUE"""),2525898.1)</f>
        <v>2525898.1</v>
      </c>
      <c r="H20" s="267" t="str">
        <f aca="false">IFERROR(__xludf.dummyfunction("""COMPUTED_VALUE"""),"UFA - Non-Bird")</f>
        <v>UFA - Non-Bird</v>
      </c>
      <c r="I20" s="268"/>
      <c r="J20" s="1"/>
      <c r="K20" s="268"/>
      <c r="L20" s="1"/>
      <c r="M20" s="268"/>
      <c r="N20" s="1"/>
      <c r="O20" s="193" t="n">
        <f aca="false">IFERROR(__xludf.dummyfunction("""COMPUTED_VALUE"""),1)</f>
        <v>1</v>
      </c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</row>
    <row r="21" customFormat="false" ht="15.75" hidden="false" customHeight="false" outlineLevel="0" collapsed="false">
      <c r="A21" s="1" t="str">
        <f aca="false">IFERROR(__xludf.dummyfunction("""COMPUTED_VALUE"""),"Dominick Barlow")</f>
        <v>Dominick Barlow</v>
      </c>
      <c r="B21" s="270" t="str">
        <f aca="false">IFERROR(__xludf.dummyfunction("""COMPUTED_VALUE"""),"Atlanta Hawks")</f>
        <v>Atlanta Hawks</v>
      </c>
      <c r="C21" s="268" t="n">
        <f aca="false">IFERROR(__xludf.dummyfunction("""COMPUTED_VALUE"""),491887)</f>
        <v>491887</v>
      </c>
      <c r="D21" s="270"/>
      <c r="E21" s="268" t="n">
        <f aca="false">IFERROR(__xludf.dummyfunction("""COMPUTED_VALUE"""),2270735)</f>
        <v>2270735</v>
      </c>
      <c r="F21" s="1"/>
      <c r="G21" s="268" t="n">
        <f aca="false">IFERROR(__xludf.dummyfunction("""COMPUTED_VALUE"""),2525905)</f>
        <v>2525905</v>
      </c>
      <c r="H21" s="1" t="str">
        <f aca="false">IFERROR(__xludf.dummyfunction("""COMPUTED_VALUE"""),"UFA - Early Bird")</f>
        <v>UFA - Early Bird</v>
      </c>
      <c r="I21" s="268" t="str">
        <f aca="false">IFERROR(__xludf.dummyfunction("""COMPUTED_VALUE"""),"")</f>
        <v/>
      </c>
      <c r="J21" s="1"/>
      <c r="K21" s="268"/>
      <c r="L21" s="1"/>
      <c r="M21" s="268"/>
      <c r="N21" s="1"/>
      <c r="O21" s="193" t="n">
        <f aca="false">IFERROR(__xludf.dummyfunction("""COMPUTED_VALUE"""),1)</f>
        <v>1</v>
      </c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</row>
    <row r="22" customFormat="false" ht="15.75" hidden="false" customHeight="false" outlineLevel="0" collapsed="false">
      <c r="A22" s="1" t="str">
        <f aca="false">IFERROR(__xludf.dummyfunction("""COMPUTED_VALUE"""),"Mouhamed Gueye")</f>
        <v>Mouhamed Gueye</v>
      </c>
      <c r="B22" s="270" t="str">
        <f aca="false">IFERROR(__xludf.dummyfunction("""COMPUTED_VALUE"""),"Atlanta Hawks")</f>
        <v>Atlanta Hawks</v>
      </c>
      <c r="C22" s="268" t="n">
        <f aca="false">IFERROR(__xludf.dummyfunction("""COMPUTED_VALUE"""),1891857)</f>
        <v>1891857</v>
      </c>
      <c r="D22" s="1"/>
      <c r="E22" s="268" t="n">
        <f aca="false">IFERROR(__xludf.dummyfunction("""COMPUTED_VALUE"""),2221677)</f>
        <v>2221677</v>
      </c>
      <c r="F22" s="1"/>
      <c r="G22" s="268" t="n">
        <f aca="false">IFERROR(__xludf.dummyfunction("""COMPUTED_VALUE"""),2406205)</f>
        <v>2406205</v>
      </c>
      <c r="H22" s="1" t="str">
        <f aca="false">IFERROR(__xludf.dummyfunction("""COMPUTED_VALUE"""),"Club Option")</f>
        <v>Club Option</v>
      </c>
      <c r="I22" s="268" t="n">
        <f aca="false">IFERROR(__xludf.dummyfunction("""COMPUTED_VALUE"""),2957063)</f>
        <v>2957063</v>
      </c>
      <c r="J22" s="1" t="str">
        <f aca="false">IFERROR(__xludf.dummyfunction("""COMPUTED_VALUE"""),"UFA - Bird")</f>
        <v>UFA - Bird</v>
      </c>
      <c r="K22" s="268"/>
      <c r="L22" s="1"/>
      <c r="M22" s="268"/>
      <c r="N22" s="1"/>
      <c r="O22" s="193" t="n">
        <f aca="false">IFERROR(__xludf.dummyfunction("""COMPUTED_VALUE"""),1)</f>
        <v>1</v>
      </c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</row>
    <row r="23" customFormat="false" ht="15.75" hidden="false" customHeight="false" outlineLevel="0" collapsed="false">
      <c r="A23" s="1" t="str">
        <f aca="false">IFERROR(__xludf.dummyfunction("""COMPUTED_VALUE"""),"Dylan Windler")</f>
        <v>Dylan Windler</v>
      </c>
      <c r="B23" s="270" t="str">
        <f aca="false">IFERROR(__xludf.dummyfunction("""COMPUTED_VALUE"""),"Atlanta Hawks")</f>
        <v>Atlanta Hawks</v>
      </c>
      <c r="C23" s="269" t="n">
        <f aca="false">IFERROR(__xludf.dummyfunction("""COMPUTED_VALUE"""),1862265)</f>
        <v>1862265</v>
      </c>
      <c r="D23" s="1" t="str">
        <f aca="false">IFERROR(__xludf.dummyfunction("""COMPUTED_VALUE"""),"UFA - Two-way")</f>
        <v>UFA - Two-way</v>
      </c>
      <c r="E23" s="269" t="n">
        <f aca="false">IFERROR(__xludf.dummyfunction("""COMPUTED_VALUE"""),2048494)</f>
        <v>2048494</v>
      </c>
      <c r="F23" s="1" t="str">
        <f aca="false">IFERROR(__xludf.dummyfunction("""COMPUTED_VALUE"""),"UFA - Two-way")</f>
        <v>UFA - Two-way</v>
      </c>
      <c r="G23" s="269"/>
      <c r="H23" s="1"/>
      <c r="I23" s="269"/>
      <c r="J23" s="1"/>
      <c r="K23" s="269"/>
      <c r="L23" s="1"/>
      <c r="M23" s="269"/>
      <c r="N23" s="1"/>
      <c r="O23" s="193" t="n">
        <f aca="false">IFERROR(__xludf.dummyfunction("""COMPUTED_VALUE"""),1)</f>
        <v>1</v>
      </c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</row>
    <row r="24" customFormat="false" ht="15.75" hidden="false" customHeight="false" outlineLevel="0" collapsed="false">
      <c r="A24" s="1" t="str">
        <f aca="false">IFERROR(__xludf.dummyfunction("""COMPUTED_VALUE"""),"Jacob Toppin")</f>
        <v>Jacob Toppin</v>
      </c>
      <c r="B24" s="270" t="str">
        <f aca="false">IFERROR(__xludf.dummyfunction("""COMPUTED_VALUE"""),"Atlanta Hawks")</f>
        <v>Atlanta Hawks</v>
      </c>
      <c r="C24" s="268" t="str">
        <f aca="false">IFERROR(__xludf.dummyfunction("""COMPUTED_VALUE"""),"Two-way")</f>
        <v>Two-way</v>
      </c>
      <c r="D24" s="267" t="str">
        <f aca="false">IFERROR(__xludf.dummyfunction("""COMPUTED_VALUE"""),"Two-way")</f>
        <v>Two-way</v>
      </c>
      <c r="E24" s="268" t="n">
        <f aca="false">IFERROR(__xludf.dummyfunction("""COMPUTED_VALUE"""),2048494)</f>
        <v>2048494</v>
      </c>
      <c r="F24" s="1" t="str">
        <f aca="false">IFERROR(__xludf.dummyfunction("""COMPUTED_VALUE"""),"UFA - Two-way")</f>
        <v>UFA - Two-way</v>
      </c>
      <c r="G24" s="268"/>
      <c r="H24" s="1"/>
      <c r="I24" s="268"/>
      <c r="J24" s="1"/>
      <c r="K24" s="268"/>
      <c r="L24" s="1"/>
      <c r="M24" s="268"/>
      <c r="N24" s="1"/>
      <c r="O24" s="193" t="n">
        <f aca="false">IFERROR(__xludf.dummyfunction("""COMPUTED_VALUE"""),1)</f>
        <v>1</v>
      </c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</row>
    <row r="25" customFormat="false" ht="15.75" hidden="false" customHeight="false" outlineLevel="0" collapsed="false">
      <c r="A25" s="1" t="str">
        <f aca="false">IFERROR(__xludf.dummyfunction("""COMPUTED_VALUE"""),"Miles Norris")</f>
        <v>Miles Norris</v>
      </c>
      <c r="B25" s="270" t="str">
        <f aca="false">IFERROR(__xludf.dummyfunction("""COMPUTED_VALUE"""),"Boston Celtics")</f>
        <v>Boston Celtics</v>
      </c>
      <c r="C25" s="268" t="str">
        <f aca="false">IFERROR(__xludf.dummyfunction("""COMPUTED_VALUE"""),"Two-way")</f>
        <v>Two-way</v>
      </c>
      <c r="D25" s="1" t="str">
        <f aca="false">IFERROR(__xludf.dummyfunction("""COMPUTED_VALUE"""),"Two-way")</f>
        <v>Two-way</v>
      </c>
      <c r="E25" s="268" t="str">
        <f aca="false">IFERROR(__xludf.dummyfunction("""COMPUTED_VALUE"""),"Two-Way")</f>
        <v>Two-Way</v>
      </c>
      <c r="F25" s="1" t="str">
        <f aca="false">IFERROR(__xludf.dummyfunction("""COMPUTED_VALUE"""),"Two-way")</f>
        <v>Two-way</v>
      </c>
      <c r="G25" s="268" t="n">
        <f aca="false">IFERROR(__xludf.dummyfunction("""COMPUTED_VALUE"""),2253346)</f>
        <v>2253346</v>
      </c>
      <c r="H25" s="1" t="str">
        <f aca="false">IFERROR(__xludf.dummyfunction("""COMPUTED_VALUE"""),"UFA - Two-way")</f>
        <v>UFA - Two-way</v>
      </c>
      <c r="I25" s="268"/>
      <c r="J25" s="1"/>
      <c r="K25" s="268"/>
      <c r="L25" s="1"/>
      <c r="M25" s="268"/>
      <c r="N25" s="1"/>
      <c r="O25" s="193" t="n">
        <f aca="false">IFERROR(__xludf.dummyfunction("""COMPUTED_VALUE"""),1)</f>
        <v>1</v>
      </c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</row>
    <row r="26" customFormat="false" ht="15.75" hidden="false" customHeight="false" outlineLevel="0" collapsed="false">
      <c r="A26" s="1" t="str">
        <f aca="false">IFERROR(__xludf.dummyfunction("""COMPUTED_VALUE"""),"RJ Luis Jr. (R)")</f>
        <v>RJ Luis Jr. (R)</v>
      </c>
      <c r="B26" s="267" t="str">
        <f aca="false">IFERROR(__xludf.dummyfunction("""COMPUTED_VALUE"""),"Boston Celtics")</f>
        <v>Boston Celtics</v>
      </c>
      <c r="C26" s="269" t="str">
        <f aca="false">IFERROR(__xludf.dummyfunction("""COMPUTED_VALUE"""),"Two-Way")</f>
        <v>Two-Way</v>
      </c>
      <c r="D26" s="267" t="str">
        <f aca="false">IFERROR(__xludf.dummyfunction("""COMPUTED_VALUE"""),"Two-Way")</f>
        <v>Two-Way</v>
      </c>
      <c r="E26" s="269" t="str">
        <f aca="false">IFERROR(__xludf.dummyfunction("""COMPUTED_VALUE"""),"Two-Way")</f>
        <v>Two-Way</v>
      </c>
      <c r="F26" s="267" t="str">
        <f aca="false">IFERROR(__xludf.dummyfunction("""COMPUTED_VALUE"""),"Two-Way")</f>
        <v>Two-Way</v>
      </c>
      <c r="G26" s="269" t="n">
        <f aca="false">IFERROR(__xludf.dummyfunction("""COMPUTED_VALUE"""),2253346)</f>
        <v>2253346</v>
      </c>
      <c r="H26" s="267" t="str">
        <f aca="false">IFERROR(__xludf.dummyfunction("""COMPUTED_VALUE"""),"UFA - Two-Way")</f>
        <v>UFA - Two-Way</v>
      </c>
      <c r="I26" s="269"/>
      <c r="J26" s="1"/>
      <c r="K26" s="269"/>
      <c r="L26" s="1"/>
      <c r="M26" s="269"/>
      <c r="N26" s="1"/>
      <c r="O26" s="193" t="n">
        <f aca="false">IFERROR(__xludf.dummyfunction("""COMPUTED_VALUE"""),1)</f>
        <v>1</v>
      </c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</row>
    <row r="27" customFormat="false" ht="15.75" hidden="false" customHeight="false" outlineLevel="0" collapsed="false">
      <c r="A27" s="1" t="str">
        <f aca="false">IFERROR(__xludf.dummyfunction("""COMPUTED_VALUE"""),"Jayson Tatum")</f>
        <v>Jayson Tatum</v>
      </c>
      <c r="B27" s="267" t="str">
        <f aca="false">IFERROR(__xludf.dummyfunction("""COMPUTED_VALUE"""),"Boston Celtics")</f>
        <v>Boston Celtics</v>
      </c>
      <c r="C27" s="269" t="n">
        <f aca="false">IFERROR(__xludf.dummyfunction("""COMPUTED_VALUE"""),34848340)</f>
        <v>34848340</v>
      </c>
      <c r="D27" s="267"/>
      <c r="E27" s="269" t="n">
        <f aca="false">IFERROR(__xludf.dummyfunction("""COMPUTED_VALUE"""),54126450)</f>
        <v>54126450</v>
      </c>
      <c r="F27" s="270" t="str">
        <f aca="false">IFERROR(__xludf.dummyfunction("""COMPUTED_VALUE"""),"Estimated")</f>
        <v>Estimated</v>
      </c>
      <c r="G27" s="269" t="n">
        <f aca="false">IFERROR(__xludf.dummyfunction("""COMPUTED_VALUE"""),58456566)</f>
        <v>58456566</v>
      </c>
      <c r="H27" s="270" t="str">
        <f aca="false">IFERROR(__xludf.dummyfunction("""COMPUTED_VALUE"""),"Estimated")</f>
        <v>Estimated</v>
      </c>
      <c r="I27" s="269" t="n">
        <f aca="false">IFERROR(__xludf.dummyfunction("""COMPUTED_VALUE"""),62786682)</f>
        <v>62786682</v>
      </c>
      <c r="J27" s="270" t="str">
        <f aca="false">IFERROR(__xludf.dummyfunction("""COMPUTED_VALUE"""),"Estimated")</f>
        <v>Estimated</v>
      </c>
      <c r="K27" s="269" t="n">
        <f aca="false">IFERROR(__xludf.dummyfunction("""COMPUTED_VALUE"""),67116798)</f>
        <v>67116798</v>
      </c>
      <c r="L27" s="1" t="str">
        <f aca="false">IFERROR(__xludf.dummyfunction("""COMPUTED_VALUE"""),"Estimated")</f>
        <v>Estimated</v>
      </c>
      <c r="M27" s="269" t="n">
        <f aca="false">IFERROR(__xludf.dummyfunction("""COMPUTED_VALUE"""),71446914)</f>
        <v>71446914</v>
      </c>
      <c r="N27" s="1" t="str">
        <f aca="false">IFERROR(__xludf.dummyfunction("""COMPUTED_VALUE"""),"Player Option")</f>
        <v>Player Option</v>
      </c>
      <c r="O27" s="193" t="n">
        <f aca="false">IFERROR(__xludf.dummyfunction("""COMPUTED_VALUE"""),1)</f>
        <v>1</v>
      </c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</row>
    <row r="28" customFormat="false" ht="15.75" hidden="false" customHeight="false" outlineLevel="0" collapsed="false">
      <c r="A28" s="1" t="str">
        <f aca="false">IFERROR(__xludf.dummyfunction("""COMPUTED_VALUE"""),"Jaylen Brown")</f>
        <v>Jaylen Brown</v>
      </c>
      <c r="B28" s="267" t="str">
        <f aca="false">IFERROR(__xludf.dummyfunction("""COMPUTED_VALUE"""),"Boston Celtics")</f>
        <v>Boston Celtics</v>
      </c>
      <c r="C28" s="269" t="n">
        <f aca="false">IFERROR(__xludf.dummyfunction("""COMPUTED_VALUE"""),49205800)</f>
        <v>49205800</v>
      </c>
      <c r="D28" s="267"/>
      <c r="E28" s="269" t="n">
        <f aca="false">IFERROR(__xludf.dummyfunction("""COMPUTED_VALUE"""),53142264)</f>
        <v>53142264</v>
      </c>
      <c r="F28" s="267"/>
      <c r="G28" s="269" t="n">
        <f aca="false">IFERROR(__xludf.dummyfunction("""COMPUTED_VALUE"""),57078728)</f>
        <v>57078728</v>
      </c>
      <c r="H28" s="267"/>
      <c r="I28" s="269" t="n">
        <f aca="false">IFERROR(__xludf.dummyfunction("""COMPUTED_VALUE"""),61015192)</f>
        <v>61015192</v>
      </c>
      <c r="J28" s="1"/>
      <c r="K28" s="269" t="n">
        <f aca="false">IFERROR(__xludf.dummyfunction("""COMPUTED_VALUE"""),64951656)</f>
        <v>64951656</v>
      </c>
      <c r="L28" s="1"/>
      <c r="M28" s="269" t="n">
        <f aca="false">IFERROR(__xludf.dummyfunction("""COMPUTED_VALUE"""),79246433)</f>
        <v>79246433</v>
      </c>
      <c r="N28" s="1" t="str">
        <f aca="false">IFERROR(__xludf.dummyfunction("""COMPUTED_VALUE"""),"UFA - Bird")</f>
        <v>UFA - Bird</v>
      </c>
      <c r="O28" s="193" t="n">
        <f aca="false">IFERROR(__xludf.dummyfunction("""COMPUTED_VALUE"""),1)</f>
        <v>1</v>
      </c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</row>
    <row r="29" customFormat="false" ht="15.75" hidden="false" customHeight="false" outlineLevel="0" collapsed="false">
      <c r="A29" s="1" t="str">
        <f aca="false">IFERROR(__xludf.dummyfunction("""COMPUTED_VALUE"""),"Derrick White")</f>
        <v>Derrick White</v>
      </c>
      <c r="B29" s="267" t="str">
        <f aca="false">IFERROR(__xludf.dummyfunction("""COMPUTED_VALUE"""),"Boston Celtics")</f>
        <v>Boston Celtics</v>
      </c>
      <c r="C29" s="269" t="n">
        <f aca="false">IFERROR(__xludf.dummyfunction("""COMPUTED_VALUE"""),20071429)</f>
        <v>20071429</v>
      </c>
      <c r="D29" s="267"/>
      <c r="E29" s="269" t="n">
        <f aca="false">IFERROR(__xludf.dummyfunction("""COMPUTED_VALUE"""),28100000)</f>
        <v>28100000</v>
      </c>
      <c r="F29" s="1"/>
      <c r="G29" s="269" t="n">
        <f aca="false">IFERROR(__xludf.dummyfunction("""COMPUTED_VALUE"""),30348000)</f>
        <v>30348000</v>
      </c>
      <c r="H29" s="1"/>
      <c r="I29" s="269" t="n">
        <f aca="false">IFERROR(__xludf.dummyfunction("""COMPUTED_VALUE"""),32596000)</f>
        <v>32596000</v>
      </c>
      <c r="J29" s="1"/>
      <c r="K29" s="269" t="n">
        <f aca="false">IFERROR(__xludf.dummyfunction("""COMPUTED_VALUE"""),32674000)</f>
        <v>32674000</v>
      </c>
      <c r="L29" s="1" t="str">
        <f aca="false">IFERROR(__xludf.dummyfunction("""COMPUTED_VALUE"""),"Player Option")</f>
        <v>Player Option</v>
      </c>
      <c r="M29" s="269" t="n">
        <f aca="false">IFERROR(__xludf.dummyfunction("""COMPUTED_VALUE"""),52266002)</f>
        <v>52266002</v>
      </c>
      <c r="N29" s="1" t="str">
        <f aca="false">IFERROR(__xludf.dummyfunction("""COMPUTED_VALUE"""),"UFA - Bird")</f>
        <v>UFA - Bird</v>
      </c>
      <c r="O29" s="193" t="n">
        <f aca="false">IFERROR(__xludf.dummyfunction("""COMPUTED_VALUE"""),1)</f>
        <v>1</v>
      </c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</row>
    <row r="30" customFormat="false" ht="15.75" hidden="false" customHeight="false" outlineLevel="0" collapsed="false">
      <c r="A30" s="1" t="str">
        <f aca="false">IFERROR(__xludf.dummyfunction("""COMPUTED_VALUE"""),"Zach Collins")</f>
        <v>Zach Collins</v>
      </c>
      <c r="B30" s="267" t="str">
        <f aca="false">IFERROR(__xludf.dummyfunction("""COMPUTED_VALUE"""),"Boston Celtics")</f>
        <v>Boston Celtics</v>
      </c>
      <c r="C30" s="269"/>
      <c r="D30" s="267"/>
      <c r="E30" s="269" t="n">
        <f aca="false">IFERROR(__xludf.dummyfunction("""COMPUTED_VALUE"""),18080496)</f>
        <v>18080496</v>
      </c>
      <c r="F30" s="267"/>
      <c r="G30" s="269" t="n">
        <f aca="false">IFERROR(__xludf.dummyfunction("""COMPUTED_VALUE"""),27120744)</f>
        <v>27120744</v>
      </c>
      <c r="H30" s="267" t="str">
        <f aca="false">IFERROR(__xludf.dummyfunction("""COMPUTED_VALUE"""),"UFA - Bird")</f>
        <v>UFA - Bird</v>
      </c>
      <c r="I30" s="269" t="str">
        <f aca="false">IFERROR(__xludf.dummyfunction("""COMPUTED_VALUE"""),"")</f>
        <v/>
      </c>
      <c r="J30" s="1"/>
      <c r="K30" s="269"/>
      <c r="L30" s="1"/>
      <c r="M30" s="269"/>
      <c r="N30" s="1"/>
      <c r="O30" s="193" t="n">
        <f aca="false">IFERROR(__xludf.dummyfunction("""COMPUTED_VALUE"""),1)</f>
        <v>1</v>
      </c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</row>
    <row r="31" customFormat="false" ht="15.75" hidden="false" customHeight="false" outlineLevel="0" collapsed="false">
      <c r="A31" s="1" t="str">
        <f aca="false">IFERROR(__xludf.dummyfunction("""COMPUTED_VALUE"""),"Isaac Okoro")</f>
        <v>Isaac Okoro</v>
      </c>
      <c r="B31" s="267" t="str">
        <f aca="false">IFERROR(__xludf.dummyfunction("""COMPUTED_VALUE"""),"Boston Celtics")</f>
        <v>Boston Celtics</v>
      </c>
      <c r="C31" s="269"/>
      <c r="D31" s="1"/>
      <c r="E31" s="269" t="n">
        <f aca="false">IFERROR(__xludf.dummyfunction("""COMPUTED_VALUE"""),11000000)</f>
        <v>11000000</v>
      </c>
      <c r="F31" s="1"/>
      <c r="G31" s="269" t="n">
        <f aca="false">IFERROR(__xludf.dummyfunction("""COMPUTED_VALUE"""),11814814)</f>
        <v>11814814</v>
      </c>
      <c r="H31" s="1"/>
      <c r="I31" s="269" t="n">
        <f aca="false">IFERROR(__xludf.dummyfunction("""COMPUTED_VALUE"""),22448147)</f>
        <v>22448147</v>
      </c>
      <c r="J31" s="1" t="str">
        <f aca="false">IFERROR(__xludf.dummyfunction("""COMPUTED_VALUE"""),"UFA - Bird")</f>
        <v>UFA - Bird</v>
      </c>
      <c r="K31" s="269"/>
      <c r="L31" s="1"/>
      <c r="M31" s="269"/>
      <c r="N31" s="1"/>
      <c r="O31" s="193" t="n">
        <f aca="false">IFERROR(__xludf.dummyfunction("""COMPUTED_VALUE"""),1)</f>
        <v>1</v>
      </c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</row>
    <row r="32" customFormat="false" ht="15.75" hidden="false" customHeight="false" outlineLevel="0" collapsed="false">
      <c r="A32" s="1" t="str">
        <f aca="false">IFERROR(__xludf.dummyfunction("""COMPUTED_VALUE"""),"Sam Hauser")</f>
        <v>Sam Hauser</v>
      </c>
      <c r="B32" s="267" t="str">
        <f aca="false">IFERROR(__xludf.dummyfunction("""COMPUTED_VALUE"""),"Boston Celtics")</f>
        <v>Boston Celtics</v>
      </c>
      <c r="C32" s="269" t="n">
        <f aca="false">IFERROR(__xludf.dummyfunction("""COMPUTED_VALUE"""),2092344)</f>
        <v>2092344</v>
      </c>
      <c r="D32" s="267"/>
      <c r="E32" s="269" t="n">
        <f aca="false">IFERROR(__xludf.dummyfunction("""COMPUTED_VALUE"""),10044644)</f>
        <v>10044644</v>
      </c>
      <c r="F32" s="267"/>
      <c r="G32" s="269" t="n">
        <f aca="false">IFERROR(__xludf.dummyfunction("""COMPUTED_VALUE"""),10848215)</f>
        <v>10848215</v>
      </c>
      <c r="H32" s="267"/>
      <c r="I32" s="269" t="n">
        <f aca="false">IFERROR(__xludf.dummyfunction("""COMPUTED_VALUE"""),11651785)</f>
        <v>11651785</v>
      </c>
      <c r="J32" s="1"/>
      <c r="K32" s="269" t="n">
        <f aca="false">IFERROR(__xludf.dummyfunction("""COMPUTED_VALUE"""),12455356)</f>
        <v>12455356</v>
      </c>
      <c r="L32" s="1"/>
      <c r="M32" s="269" t="n">
        <f aca="false">IFERROR(__xludf.dummyfunction("""COMPUTED_VALUE"""),22138392)</f>
        <v>22138392</v>
      </c>
      <c r="N32" s="1" t="str">
        <f aca="false">IFERROR(__xludf.dummyfunction("""COMPUTED_VALUE"""),"UFA - Bird")</f>
        <v>UFA - Bird</v>
      </c>
      <c r="O32" s="193" t="n">
        <f aca="false">IFERROR(__xludf.dummyfunction("""COMPUTED_VALUE"""),1)</f>
        <v>1</v>
      </c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</row>
    <row r="33" customFormat="false" ht="15.75" hidden="false" customHeight="false" outlineLevel="0" collapsed="false">
      <c r="A33" s="1" t="str">
        <f aca="false">IFERROR(__xludf.dummyfunction("""COMPUTED_VALUE"""),"Payton Pritchard")</f>
        <v>Payton Pritchard</v>
      </c>
      <c r="B33" s="267" t="str">
        <f aca="false">IFERROR(__xludf.dummyfunction("""COMPUTED_VALUE"""),"Boston Celtics")</f>
        <v>Boston Celtics</v>
      </c>
      <c r="C33" s="269" t="n">
        <f aca="false">IFERROR(__xludf.dummyfunction("""COMPUTED_VALUE"""),6696429)</f>
        <v>6696429</v>
      </c>
      <c r="D33" s="267"/>
      <c r="E33" s="269" t="n">
        <f aca="false">IFERROR(__xludf.dummyfunction("""COMPUTED_VALUE"""),7232143)</f>
        <v>7232143</v>
      </c>
      <c r="F33" s="267"/>
      <c r="G33" s="269" t="n">
        <f aca="false">IFERROR(__xludf.dummyfunction("""COMPUTED_VALUE"""),7767857)</f>
        <v>7767857</v>
      </c>
      <c r="H33" s="1"/>
      <c r="I33" s="269" t="n">
        <f aca="false">IFERROR(__xludf.dummyfunction("""COMPUTED_VALUE"""),8303571)</f>
        <v>8303571</v>
      </c>
      <c r="J33" s="1"/>
      <c r="K33" s="269" t="n">
        <f aca="false">IFERROR(__xludf.dummyfunction("""COMPUTED_VALUE"""),15776785)</f>
        <v>15776785</v>
      </c>
      <c r="L33" s="1" t="str">
        <f aca="false">IFERROR(__xludf.dummyfunction("""COMPUTED_VALUE"""),"UFA - Bird")</f>
        <v>UFA - Bird</v>
      </c>
      <c r="M33" s="269"/>
      <c r="N33" s="1"/>
      <c r="O33" s="193" t="n">
        <f aca="false">IFERROR(__xludf.dummyfunction("""COMPUTED_VALUE"""),1)</f>
        <v>1</v>
      </c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</row>
    <row r="34" customFormat="false" ht="15.75" hidden="false" customHeight="false" outlineLevel="0" collapsed="false">
      <c r="A34" s="1" t="str">
        <f aca="false">IFERROR(__xludf.dummyfunction("""COMPUTED_VALUE"""),"Al Horford")</f>
        <v>Al Horford</v>
      </c>
      <c r="B34" s="270" t="str">
        <f aca="false">IFERROR(__xludf.dummyfunction("""COMPUTED_VALUE"""),"Boston Celtics")</f>
        <v>Boston Celtics</v>
      </c>
      <c r="C34" s="269" t="n">
        <f aca="false">IFERROR(__xludf.dummyfunction("""COMPUTED_VALUE"""),9500000)</f>
        <v>9500000</v>
      </c>
      <c r="D34" s="267"/>
      <c r="E34" s="269" t="n">
        <f aca="false">IFERROR(__xludf.dummyfunction("""COMPUTED_VALUE"""),6000000)</f>
        <v>6000000</v>
      </c>
      <c r="F34" s="1"/>
      <c r="G34" s="269" t="n">
        <f aca="false">IFERROR(__xludf.dummyfunction("""COMPUTED_VALUE"""),6000000)</f>
        <v>6000000</v>
      </c>
      <c r="H34" s="1"/>
      <c r="I34" s="269" t="n">
        <f aca="false">IFERROR(__xludf.dummyfunction("""COMPUTED_VALUE"""),6000000)</f>
        <v>6000000</v>
      </c>
      <c r="J34" s="267" t="str">
        <f aca="false">IFERROR(__xludf.dummyfunction("""COMPUTED_VALUE"""),"Club Option")</f>
        <v>Club Option</v>
      </c>
      <c r="K34" s="269" t="n">
        <f aca="false">IFERROR(__xludf.dummyfunction("""COMPUTED_VALUE"""),11400000)</f>
        <v>11400000</v>
      </c>
      <c r="L34" s="267" t="str">
        <f aca="false">IFERROR(__xludf.dummyfunction("""COMPUTED_VALUE"""),"UFA - Bird")</f>
        <v>UFA - Bird</v>
      </c>
      <c r="M34" s="269"/>
      <c r="N34" s="1"/>
      <c r="O34" s="193" t="n">
        <f aca="false">IFERROR(__xludf.dummyfunction("""COMPUTED_VALUE"""),1)</f>
        <v>1</v>
      </c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</row>
    <row r="35" customFormat="false" ht="15.75" hidden="false" customHeight="false" outlineLevel="0" collapsed="false">
      <c r="A35" s="1" t="str">
        <f aca="false">IFERROR(__xludf.dummyfunction("""COMPUTED_VALUE"""),"Bol Bol")</f>
        <v>Bol Bol</v>
      </c>
      <c r="B35" s="267" t="str">
        <f aca="false">IFERROR(__xludf.dummyfunction("""COMPUTED_VALUE"""),"Boston Celtics")</f>
        <v>Boston Celtics</v>
      </c>
      <c r="C35" s="269" t="n">
        <f aca="false">IFERROR(__xludf.dummyfunction("""COMPUTED_VALUE"""),2087519)</f>
        <v>2087519</v>
      </c>
      <c r="D35" s="267"/>
      <c r="E35" s="269" t="n">
        <f aca="false">IFERROR(__xludf.dummyfunction("""COMPUTED_VALUE"""),5684666.34)</f>
        <v>5684666.34</v>
      </c>
      <c r="F35" s="270"/>
      <c r="G35" s="269" t="n">
        <f aca="false">IFERROR(__xludf.dummyfunction("""COMPUTED_VALUE"""),5684666.34)</f>
        <v>5684666.34</v>
      </c>
      <c r="H35" s="270" t="str">
        <f aca="false">IFERROR(__xludf.dummyfunction("""COMPUTED_VALUE"""),"Club Option")</f>
        <v>Club Option</v>
      </c>
      <c r="I35" s="269" t="n">
        <f aca="false">IFERROR(__xludf.dummyfunction("""COMPUTED_VALUE"""),7390066.24)</f>
        <v>7390066.24</v>
      </c>
      <c r="J35" s="267" t="str">
        <f aca="false">IFERROR(__xludf.dummyfunction("""COMPUTED_VALUE"""),"UFA - Early Bird")</f>
        <v>UFA - Early Bird</v>
      </c>
      <c r="K35" s="269"/>
      <c r="L35" s="1"/>
      <c r="M35" s="269"/>
      <c r="N35" s="1"/>
      <c r="O35" s="193" t="n">
        <f aca="false">IFERROR(__xludf.dummyfunction("""COMPUTED_VALUE"""),1)</f>
        <v>1</v>
      </c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</row>
    <row r="36" customFormat="false" ht="15.75" hidden="false" customHeight="false" outlineLevel="0" collapsed="false">
      <c r="A36" s="1" t="str">
        <f aca="false">IFERROR(__xludf.dummyfunction("""COMPUTED_VALUE"""),"Dillon Jones")</f>
        <v>Dillon Jones</v>
      </c>
      <c r="B36" s="267" t="str">
        <f aca="false">IFERROR(__xludf.dummyfunction("""COMPUTED_VALUE"""),"Boston Celtics")</f>
        <v>Boston Celtics</v>
      </c>
      <c r="C36" s="269"/>
      <c r="D36" s="267"/>
      <c r="E36" s="269" t="n">
        <f aca="false">IFERROR(__xludf.dummyfunction("""COMPUTED_VALUE"""),2753280)</f>
        <v>2753280</v>
      </c>
      <c r="F36" s="267"/>
      <c r="G36" s="269" t="n">
        <f aca="false">IFERROR(__xludf.dummyfunction("""COMPUTED_VALUE"""),2884440)</f>
        <v>2884440</v>
      </c>
      <c r="H36" s="267"/>
      <c r="I36" s="269" t="n">
        <f aca="false">IFERROR(__xludf.dummyfunction("""COMPUTED_VALUE"""),5200646)</f>
        <v>5200646</v>
      </c>
      <c r="J36" s="1"/>
      <c r="K36" s="269" t="n">
        <f aca="false">IFERROR(__xludf.dummyfunction("""COMPUTED_VALUE"""),15601938)</f>
        <v>15601938</v>
      </c>
      <c r="L36" s="267" t="str">
        <f aca="false">IFERROR(__xludf.dummyfunction("""COMPUTED_VALUE"""),"RFA - Bird")</f>
        <v>RFA - Bird</v>
      </c>
      <c r="M36" s="269"/>
      <c r="N36" s="1"/>
      <c r="O36" s="193" t="n">
        <f aca="false">IFERROR(__xludf.dummyfunction("""COMPUTED_VALUE"""),1)</f>
        <v>1</v>
      </c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</row>
    <row r="37" customFormat="false" ht="15.75" hidden="false" customHeight="false" outlineLevel="0" collapsed="false">
      <c r="A37" s="1" t="str">
        <f aca="false">IFERROR(__xludf.dummyfunction("""COMPUTED_VALUE"""),"Baylor Scheierman")</f>
        <v>Baylor Scheierman</v>
      </c>
      <c r="B37" s="267" t="str">
        <f aca="false">IFERROR(__xludf.dummyfunction("""COMPUTED_VALUE"""),"Boston Celtics")</f>
        <v>Boston Celtics</v>
      </c>
      <c r="C37" s="269" t="n">
        <f aca="false">IFERROR(__xludf.dummyfunction("""COMPUTED_VALUE"""),2494320)</f>
        <v>2494320</v>
      </c>
      <c r="D37" s="1"/>
      <c r="E37" s="269" t="n">
        <f aca="false">IFERROR(__xludf.dummyfunction("""COMPUTED_VALUE"""),2619000)</f>
        <v>2619000</v>
      </c>
      <c r="F37" s="1"/>
      <c r="G37" s="269" t="n">
        <f aca="false">IFERROR(__xludf.dummyfunction("""COMPUTED_VALUE"""),2744040)</f>
        <v>2744040</v>
      </c>
      <c r="H37" s="1" t="str">
        <f aca="false">IFERROR(__xludf.dummyfunction("""COMPUTED_VALUE"""),"Club Option")</f>
        <v>Club Option</v>
      </c>
      <c r="I37" s="269" t="n">
        <f aca="false">IFERROR(__xludf.dummyfunction("""COMPUTED_VALUE"""),4952993)</f>
        <v>4952993</v>
      </c>
      <c r="J37" s="1" t="str">
        <f aca="false">IFERROR(__xludf.dummyfunction("""COMPUTED_VALUE"""),"Club Option")</f>
        <v>Club Option</v>
      </c>
      <c r="K37" s="269" t="n">
        <f aca="false">IFERROR(__xludf.dummyfunction("""COMPUTED_VALUE"""),14858979)</f>
        <v>14858979</v>
      </c>
      <c r="L37" s="1" t="str">
        <f aca="false">IFERROR(__xludf.dummyfunction("""COMPUTED_VALUE"""),"RFA - Bird")</f>
        <v>RFA - Bird</v>
      </c>
      <c r="M37" s="269"/>
      <c r="N37" s="1"/>
      <c r="O37" s="193" t="n">
        <f aca="false">IFERROR(__xludf.dummyfunction("""COMPUTED_VALUE"""),1)</f>
        <v>1</v>
      </c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</row>
    <row r="38" customFormat="false" ht="15.75" hidden="false" customHeight="false" outlineLevel="0" collapsed="false">
      <c r="A38" s="1" t="str">
        <f aca="false">IFERROR(__xludf.dummyfunction("""COMPUTED_VALUE"""),"Neemias Queta")</f>
        <v>Neemias Queta</v>
      </c>
      <c r="B38" s="267" t="str">
        <f aca="false">IFERROR(__xludf.dummyfunction("""COMPUTED_VALUE"""),"Boston Celtics")</f>
        <v>Boston Celtics</v>
      </c>
      <c r="C38" s="269" t="n">
        <f aca="false">IFERROR(__xludf.dummyfunction("""COMPUTED_VALUE"""),2162606)</f>
        <v>2162606</v>
      </c>
      <c r="D38" s="267"/>
      <c r="E38" s="269" t="n">
        <f aca="false">IFERROR(__xludf.dummyfunction("""COMPUTED_VALUE"""),2349578)</f>
        <v>2349578</v>
      </c>
      <c r="F38" s="270"/>
      <c r="G38" s="269" t="n">
        <f aca="false">IFERROR(__xludf.dummyfunction("""COMPUTED_VALUE"""),2667944)</f>
        <v>2667944</v>
      </c>
      <c r="H38" s="267" t="str">
        <f aca="false">IFERROR(__xludf.dummyfunction("""COMPUTED_VALUE"""),"Non Guaranteed")</f>
        <v>Non Guaranteed</v>
      </c>
      <c r="I38" s="269" t="n">
        <f aca="false">IFERROR(__xludf.dummyfunction("""COMPUTED_VALUE"""),2778492)</f>
        <v>2778492</v>
      </c>
      <c r="J38" s="1" t="str">
        <f aca="false">IFERROR(__xludf.dummyfunction("""COMPUTED_VALUE"""),"UFA - Bird")</f>
        <v>UFA - Bird</v>
      </c>
      <c r="K38" s="269"/>
      <c r="L38" s="1"/>
      <c r="M38" s="269"/>
      <c r="N38" s="1"/>
      <c r="O38" s="193" t="n">
        <f aca="false">IFERROR(__xludf.dummyfunction("""COMPUTED_VALUE"""),1)</f>
        <v>1</v>
      </c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</row>
    <row r="39" customFormat="false" ht="15.75" hidden="false" customHeight="false" outlineLevel="0" collapsed="false">
      <c r="A39" s="1" t="str">
        <f aca="false">IFERROR(__xludf.dummyfunction("""COMPUTED_VALUE"""),"Torrey Craig")</f>
        <v>Torrey Craig</v>
      </c>
      <c r="B39" s="267" t="str">
        <f aca="false">IFERROR(__xludf.dummyfunction("""COMPUTED_VALUE"""),"Boston Celtics")</f>
        <v>Boston Celtics</v>
      </c>
      <c r="C39" s="269" t="n">
        <f aca="false">IFERROR(__xludf.dummyfunction("""COMPUTED_VALUE"""),779820)</f>
        <v>779820</v>
      </c>
      <c r="D39" s="1"/>
      <c r="E39" s="269" t="n">
        <f aca="false">IFERROR(__xludf.dummyfunction("""COMPUTED_VALUE"""),2296274)</f>
        <v>2296274</v>
      </c>
      <c r="F39" s="1" t="str">
        <f aca="false">IFERROR(__xludf.dummyfunction("""COMPUTED_VALUE"""),"UFA - Non-Bird")</f>
        <v>UFA - Non-Bird</v>
      </c>
      <c r="G39" s="269" t="str">
        <f aca="false">IFERROR(__xludf.dummyfunction("""COMPUTED_VALUE"""),"")</f>
        <v/>
      </c>
      <c r="H39" s="1"/>
      <c r="I39" s="269" t="str">
        <f aca="false">IFERROR(__xludf.dummyfunction("""COMPUTED_VALUE"""),"")</f>
        <v/>
      </c>
      <c r="J39" s="1"/>
      <c r="K39" s="269"/>
      <c r="L39" s="1"/>
      <c r="M39" s="269"/>
      <c r="N39" s="1"/>
      <c r="O39" s="193" t="n">
        <f aca="false">IFERROR(__xludf.dummyfunction("""COMPUTED_VALUE"""),1)</f>
        <v>1</v>
      </c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</row>
    <row r="40" customFormat="false" ht="15.75" hidden="false" customHeight="false" outlineLevel="0" collapsed="false">
      <c r="A40" s="1" t="str">
        <f aca="false">IFERROR(__xludf.dummyfunction("""COMPUTED_VALUE"""),"Luke Kornet")</f>
        <v>Luke Kornet</v>
      </c>
      <c r="B40" s="270" t="str">
        <f aca="false">IFERROR(__xludf.dummyfunction("""COMPUTED_VALUE"""),"Boston Celtics")</f>
        <v>Boston Celtics</v>
      </c>
      <c r="C40" s="268" t="n">
        <f aca="false">IFERROR(__xludf.dummyfunction("""COMPUTED_VALUE"""),2087519)</f>
        <v>2087519</v>
      </c>
      <c r="D40" s="1"/>
      <c r="E40" s="268" t="n">
        <f aca="false">IFERROR(__xludf.dummyfunction("""COMPUTED_VALUE"""),2296271)</f>
        <v>2296271</v>
      </c>
      <c r="F40" s="1"/>
      <c r="G40" s="268" t="n">
        <f aca="false">IFERROR(__xludf.dummyfunction("""COMPUTED_VALUE"""),2525898.1)</f>
        <v>2525898.1</v>
      </c>
      <c r="H40" s="267" t="str">
        <f aca="false">IFERROR(__xludf.dummyfunction("""COMPUTED_VALUE"""),"UFA - Non-Bird")</f>
        <v>UFA - Non-Bird</v>
      </c>
      <c r="I40" s="268"/>
      <c r="J40" s="1"/>
      <c r="K40" s="268"/>
      <c r="L40" s="1"/>
      <c r="M40" s="268"/>
      <c r="N40" s="1"/>
      <c r="O40" s="193" t="n">
        <f aca="false">IFERROR(__xludf.dummyfunction("""COMPUTED_VALUE"""),1)</f>
        <v>1</v>
      </c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</row>
    <row r="41" customFormat="false" ht="15.75" hidden="false" customHeight="false" outlineLevel="0" collapsed="false">
      <c r="A41" s="1" t="str">
        <f aca="false">IFERROR(__xludf.dummyfunction("""COMPUTED_VALUE"""),"J.D. Davison")</f>
        <v>J.D. Davison</v>
      </c>
      <c r="B41" s="270" t="str">
        <f aca="false">IFERROR(__xludf.dummyfunction("""COMPUTED_VALUE"""),"Boston Celtics")</f>
        <v>Boston Celtics</v>
      </c>
      <c r="C41" s="268" t="n">
        <f aca="false">IFERROR(__xludf.dummyfunction("""COMPUTED_VALUE"""),11997)</f>
        <v>11997</v>
      </c>
      <c r="D41" s="1"/>
      <c r="E41" s="268" t="n">
        <f aca="false">IFERROR(__xludf.dummyfunction("""COMPUTED_VALUE"""),2270735)</f>
        <v>2270735</v>
      </c>
      <c r="F41" s="1" t="str">
        <f aca="false">IFERROR(__xludf.dummyfunction("""COMPUTED_VALUE"""),"UFA - Bird")</f>
        <v>UFA - Bird</v>
      </c>
      <c r="G41" s="268"/>
      <c r="H41" s="1"/>
      <c r="I41" s="268"/>
      <c r="J41" s="1"/>
      <c r="K41" s="268"/>
      <c r="L41" s="1"/>
      <c r="M41" s="268"/>
      <c r="N41" s="1"/>
      <c r="O41" s="193" t="n">
        <f aca="false">IFERROR(__xludf.dummyfunction("""COMPUTED_VALUE"""),1)</f>
        <v>1</v>
      </c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</row>
    <row r="42" customFormat="false" ht="15.75" hidden="false" customHeight="false" outlineLevel="0" collapsed="false">
      <c r="A42" s="1" t="str">
        <f aca="false">IFERROR(__xludf.dummyfunction("""COMPUTED_VALUE"""),"Drew Peterson")</f>
        <v>Drew Peterson</v>
      </c>
      <c r="B42" s="270" t="str">
        <f aca="false">IFERROR(__xludf.dummyfunction("""COMPUTED_VALUE"""),"Boston Celtics")</f>
        <v>Boston Celtics</v>
      </c>
      <c r="C42" s="268" t="str">
        <f aca="false">IFERROR(__xludf.dummyfunction("""COMPUTED_VALUE"""),"Two-way")</f>
        <v>Two-way</v>
      </c>
      <c r="D42" s="1" t="str">
        <f aca="false">IFERROR(__xludf.dummyfunction("""COMPUTED_VALUE"""),"Two-way")</f>
        <v>Two-way</v>
      </c>
      <c r="E42" s="268" t="n">
        <f aca="false">IFERROR(__xludf.dummyfunction("""COMPUTED_VALUE"""),2048494)</f>
        <v>2048494</v>
      </c>
      <c r="F42" s="1" t="str">
        <f aca="false">IFERROR(__xludf.dummyfunction("""COMPUTED_VALUE"""),"UFA - Two-way")</f>
        <v>UFA - Two-way</v>
      </c>
      <c r="G42" s="268"/>
      <c r="H42" s="1"/>
      <c r="I42" s="268"/>
      <c r="J42" s="1"/>
      <c r="K42" s="268"/>
      <c r="L42" s="1"/>
      <c r="M42" s="268"/>
      <c r="N42" s="1"/>
      <c r="O42" s="193" t="n">
        <f aca="false">IFERROR(__xludf.dummyfunction("""COMPUTED_VALUE"""),1)</f>
        <v>1</v>
      </c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</row>
    <row r="43" customFormat="false" ht="15.75" hidden="false" customHeight="false" outlineLevel="0" collapsed="false">
      <c r="A43" s="1" t="str">
        <f aca="false">IFERROR(__xludf.dummyfunction("""COMPUTED_VALUE"""),"Jamal Shead")</f>
        <v>Jamal Shead</v>
      </c>
      <c r="B43" s="270" t="str">
        <f aca="false">IFERROR(__xludf.dummyfunction("""COMPUTED_VALUE"""),"Boston Celtics")</f>
        <v>Boston Celtics</v>
      </c>
      <c r="C43" s="268"/>
      <c r="D43" s="1"/>
      <c r="E43" s="268" t="n">
        <f aca="false">IFERROR(__xludf.dummyfunction("""COMPUTED_VALUE"""),1955377)</f>
        <v>1955377</v>
      </c>
      <c r="F43" s="1"/>
      <c r="G43" s="268" t="n">
        <f aca="false">IFERROR(__xludf.dummyfunction("""COMPUTED_VALUE"""),2296271)</f>
        <v>2296271</v>
      </c>
      <c r="H43" s="267" t="str">
        <f aca="false">IFERROR(__xludf.dummyfunction("""COMPUTED_VALUE"""),"Club Option")</f>
        <v>Club Option</v>
      </c>
      <c r="I43" s="268" t="n">
        <f aca="false">IFERROR(__xludf.dummyfunction("""COMPUTED_VALUE"""),3099966)</f>
        <v>3099966</v>
      </c>
      <c r="J43" s="267" t="str">
        <f aca="false">IFERROR(__xludf.dummyfunction("""COMPUTED_VALUE"""),"RFA - Bird")</f>
        <v>RFA - Bird</v>
      </c>
      <c r="K43" s="268"/>
      <c r="L43" s="1"/>
      <c r="M43" s="268"/>
      <c r="N43" s="1"/>
      <c r="O43" s="193" t="n">
        <f aca="false">IFERROR(__xludf.dummyfunction("""COMPUTED_VALUE"""),1)</f>
        <v>1</v>
      </c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</row>
    <row r="44" customFormat="false" ht="15.75" hidden="false" customHeight="false" outlineLevel="0" collapsed="false">
      <c r="A44" s="1" t="str">
        <f aca="false">IFERROR(__xludf.dummyfunction("""COMPUTED_VALUE"""),"Adou Thiero (R)")</f>
        <v>Adou Thiero (R)</v>
      </c>
      <c r="B44" s="270" t="str">
        <f aca="false">IFERROR(__xludf.dummyfunction("""COMPUTED_VALUE"""),"Brooklyn Nets")</f>
        <v>Brooklyn Nets</v>
      </c>
      <c r="C44" s="268" t="str">
        <f aca="false">IFERROR(__xludf.dummyfunction("""COMPUTED_VALUE"""),"Two-Way")</f>
        <v>Two-Way</v>
      </c>
      <c r="D44" s="267" t="str">
        <f aca="false">IFERROR(__xludf.dummyfunction("""COMPUTED_VALUE"""),"Two-Way")</f>
        <v>Two-Way</v>
      </c>
      <c r="E44" s="268" t="str">
        <f aca="false">IFERROR(__xludf.dummyfunction("""COMPUTED_VALUE"""),"Two-Way")</f>
        <v>Two-Way</v>
      </c>
      <c r="F44" s="267" t="str">
        <f aca="false">IFERROR(__xludf.dummyfunction("""COMPUTED_VALUE"""),"Two-Way")</f>
        <v>Two-Way</v>
      </c>
      <c r="G44" s="268" t="n">
        <f aca="false">IFERROR(__xludf.dummyfunction("""COMPUTED_VALUE"""),2253346)</f>
        <v>2253346</v>
      </c>
      <c r="H44" s="267" t="str">
        <f aca="false">IFERROR(__xludf.dummyfunction("""COMPUTED_VALUE"""),"UFA - Two-Way")</f>
        <v>UFA - Two-Way</v>
      </c>
      <c r="I44" s="268"/>
      <c r="J44" s="1"/>
      <c r="K44" s="268"/>
      <c r="L44" s="1"/>
      <c r="M44" s="268"/>
      <c r="N44" s="1"/>
      <c r="O44" s="193" t="n">
        <f aca="false">IFERROR(__xludf.dummyfunction("""COMPUTED_VALUE"""),1)</f>
        <v>1</v>
      </c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</row>
    <row r="45" customFormat="false" ht="15.75" hidden="false" customHeight="false" outlineLevel="0" collapsed="false">
      <c r="A45" s="1" t="str">
        <f aca="false">IFERROR(__xludf.dummyfunction("""COMPUTED_VALUE"""),"Tosan Evbuomwan")</f>
        <v>Tosan Evbuomwan</v>
      </c>
      <c r="B45" s="270" t="str">
        <f aca="false">IFERROR(__xludf.dummyfunction("""COMPUTED_VALUE"""),"Brooklyn Nets")</f>
        <v>Brooklyn Nets</v>
      </c>
      <c r="C45" s="268" t="str">
        <f aca="false">IFERROR(__xludf.dummyfunction("""COMPUTED_VALUE"""),"Two-way")</f>
        <v>Two-way</v>
      </c>
      <c r="D45" s="267" t="str">
        <f aca="false">IFERROR(__xludf.dummyfunction("""COMPUTED_VALUE"""),"Two-way")</f>
        <v>Two-way</v>
      </c>
      <c r="E45" s="268" t="str">
        <f aca="false">IFERROR(__xludf.dummyfunction("""COMPUTED_VALUE"""),"Two-way")</f>
        <v>Two-way</v>
      </c>
      <c r="F45" s="267" t="str">
        <f aca="false">IFERROR(__xludf.dummyfunction("""COMPUTED_VALUE"""),"Two-way")</f>
        <v>Two-way</v>
      </c>
      <c r="G45" s="268" t="n">
        <f aca="false">IFERROR(__xludf.dummyfunction("""COMPUTED_VALUE"""),2253346)</f>
        <v>2253346</v>
      </c>
      <c r="H45" s="1" t="str">
        <f aca="false">IFERROR(__xludf.dummyfunction("""COMPUTED_VALUE"""),"UFA - Two-way")</f>
        <v>UFA - Two-way</v>
      </c>
      <c r="I45" s="268"/>
      <c r="J45" s="1"/>
      <c r="K45" s="268"/>
      <c r="L45" s="1"/>
      <c r="M45" s="268"/>
      <c r="N45" s="1"/>
      <c r="O45" s="193" t="n">
        <f aca="false">IFERROR(__xludf.dummyfunction("""COMPUTED_VALUE"""),1)</f>
        <v>1</v>
      </c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</row>
    <row r="46" customFormat="false" ht="15.75" hidden="false" customHeight="false" outlineLevel="0" collapsed="false">
      <c r="A46" s="1" t="str">
        <f aca="false">IFERROR(__xludf.dummyfunction("""COMPUTED_VALUE"""),"Drew Timme")</f>
        <v>Drew Timme</v>
      </c>
      <c r="B46" s="267" t="str">
        <f aca="false">IFERROR(__xludf.dummyfunction("""COMPUTED_VALUE"""),"Brooklyn Nets")</f>
        <v>Brooklyn Nets</v>
      </c>
      <c r="C46" s="269" t="str">
        <f aca="false">IFERROR(__xludf.dummyfunction("""COMPUTED_VALUE"""),"Two-way")</f>
        <v>Two-way</v>
      </c>
      <c r="D46" s="267" t="str">
        <f aca="false">IFERROR(__xludf.dummyfunction("""COMPUTED_VALUE"""),"Two-way")</f>
        <v>Two-way</v>
      </c>
      <c r="E46" s="269" t="str">
        <f aca="false">IFERROR(__xludf.dummyfunction("""COMPUTED_VALUE"""),"Two-way")</f>
        <v>Two-way</v>
      </c>
      <c r="F46" s="267" t="str">
        <f aca="false">IFERROR(__xludf.dummyfunction("""COMPUTED_VALUE"""),"Two-way")</f>
        <v>Two-way</v>
      </c>
      <c r="G46" s="269" t="n">
        <f aca="false">IFERROR(__xludf.dummyfunction("""COMPUTED_VALUE"""),2253346)</f>
        <v>2253346</v>
      </c>
      <c r="H46" s="267" t="str">
        <f aca="false">IFERROR(__xludf.dummyfunction("""COMPUTED_VALUE"""),"UFA - Two-way")</f>
        <v>UFA - Two-way</v>
      </c>
      <c r="I46" s="269" t="str">
        <f aca="false">IFERROR(__xludf.dummyfunction("""COMPUTED_VALUE"""),"")</f>
        <v/>
      </c>
      <c r="J46" s="1"/>
      <c r="K46" s="268"/>
      <c r="L46" s="1"/>
      <c r="M46" s="1"/>
      <c r="N46" s="1"/>
      <c r="O46" s="193" t="n">
        <f aca="false">IFERROR(__xludf.dummyfunction("""COMPUTED_VALUE"""),1)</f>
        <v>1</v>
      </c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</row>
    <row r="47" customFormat="false" ht="15.75" hidden="false" customHeight="false" outlineLevel="0" collapsed="false">
      <c r="A47" s="1" t="str">
        <f aca="false">IFERROR(__xludf.dummyfunction("""COMPUTED_VALUE"""),"Julius Randle")</f>
        <v>Julius Randle</v>
      </c>
      <c r="B47" s="267" t="str">
        <f aca="false">IFERROR(__xludf.dummyfunction("""COMPUTED_VALUE"""),"Brooklyn Nets")</f>
        <v>Brooklyn Nets</v>
      </c>
      <c r="C47" s="269" t="n">
        <f aca="false">IFERROR(__xludf.dummyfunction("""COMPUTED_VALUE"""),33073920)</f>
        <v>33073920</v>
      </c>
      <c r="D47" s="267"/>
      <c r="E47" s="269" t="n">
        <f aca="false">IFERROR(__xludf.dummyfunction("""COMPUTED_VALUE"""),35000000)</f>
        <v>35000000</v>
      </c>
      <c r="F47" s="267"/>
      <c r="G47" s="269" t="n">
        <f aca="false">IFERROR(__xludf.dummyfunction("""COMPUTED_VALUE"""),35000000)</f>
        <v>35000000</v>
      </c>
      <c r="H47" s="267" t="str">
        <f aca="false">IFERROR(__xludf.dummyfunction("""COMPUTED_VALUE"""),"Player Option")</f>
        <v>Player Option</v>
      </c>
      <c r="I47" s="268" t="n">
        <f aca="false">IFERROR(__xludf.dummyfunction("""COMPUTED_VALUE"""),35000000)</f>
        <v>35000000</v>
      </c>
      <c r="J47" s="267" t="str">
        <f aca="false">IFERROR(__xludf.dummyfunction("""COMPUTED_VALUE"""),"Non-Guaranteed")</f>
        <v>Non-Guaranteed</v>
      </c>
      <c r="K47" s="269" t="n">
        <f aca="false">IFERROR(__xludf.dummyfunction("""COMPUTED_VALUE"""),45500000)</f>
        <v>45500000</v>
      </c>
      <c r="L47" s="267" t="str">
        <f aca="false">IFERROR(__xludf.dummyfunction("""COMPUTED_VALUE"""),"UFA - Early Bird")</f>
        <v>UFA - Early Bird</v>
      </c>
      <c r="M47" s="1"/>
      <c r="N47" s="1"/>
      <c r="O47" s="193" t="n">
        <f aca="false">IFERROR(__xludf.dummyfunction("""COMPUTED_VALUE"""),1)</f>
        <v>1</v>
      </c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</row>
    <row r="48" customFormat="false" ht="15.75" hidden="false" customHeight="false" outlineLevel="0" collapsed="false">
      <c r="A48" s="1" t="str">
        <f aca="false">IFERROR(__xludf.dummyfunction("""COMPUTED_VALUE"""),"Isaiah Joe")</f>
        <v>Isaiah Joe</v>
      </c>
      <c r="B48" s="267" t="str">
        <f aca="false">IFERROR(__xludf.dummyfunction("""COMPUTED_VALUE"""),"Brooklyn Nets")</f>
        <v>Brooklyn Nets</v>
      </c>
      <c r="C48" s="269" t="n">
        <f aca="false">IFERROR(__xludf.dummyfunction("""COMPUTED_VALUE"""),12991650)</f>
        <v>12991650</v>
      </c>
      <c r="D48" s="1"/>
      <c r="E48" s="268" t="n">
        <f aca="false">IFERROR(__xludf.dummyfunction("""COMPUTED_VALUE"""),12362338)</f>
        <v>12362338</v>
      </c>
      <c r="F48" s="1"/>
      <c r="G48" s="269" t="n">
        <f aca="false">IFERROR(__xludf.dummyfunction("""COMPUTED_VALUE"""),11323006)</f>
        <v>11323006</v>
      </c>
      <c r="H48" s="1"/>
      <c r="I48" s="269" t="n">
        <f aca="false">IFERROR(__xludf.dummyfunction("""COMPUTED_VALUE"""),11323006)</f>
        <v>11323006</v>
      </c>
      <c r="J48" s="1" t="str">
        <f aca="false">IFERROR(__xludf.dummyfunction("""COMPUTED_VALUE"""),"Club Option")</f>
        <v>Club Option</v>
      </c>
      <c r="K48" s="269" t="n">
        <f aca="false">IFERROR(__xludf.dummyfunction("""COMPUTED_VALUE"""),18543507)</f>
        <v>18543507</v>
      </c>
      <c r="L48" s="1" t="str">
        <f aca="false">IFERROR(__xludf.dummyfunction("""COMPUTED_VALUE"""),"UFA - Bird")</f>
        <v>UFA - Bird</v>
      </c>
      <c r="M48" s="1"/>
      <c r="N48" s="1"/>
      <c r="O48" s="193" t="n">
        <f aca="false">IFERROR(__xludf.dummyfunction("""COMPUTED_VALUE"""),1)</f>
        <v>1</v>
      </c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</row>
    <row r="49" customFormat="false" ht="15.75" hidden="false" customHeight="false" outlineLevel="0" collapsed="false">
      <c r="A49" s="1" t="str">
        <f aca="false">IFERROR(__xludf.dummyfunction("""COMPUTED_VALUE"""),"Cameron Thomas")</f>
        <v>Cameron Thomas</v>
      </c>
      <c r="B49" s="267" t="str">
        <f aca="false">IFERROR(__xludf.dummyfunction("""COMPUTED_VALUE"""),"Brooklyn Nets")</f>
        <v>Brooklyn Nets</v>
      </c>
      <c r="C49" s="269" t="n">
        <f aca="false">IFERROR(__xludf.dummyfunction("""COMPUTED_VALUE"""),4041249)</f>
        <v>4041249</v>
      </c>
      <c r="D49" s="1"/>
      <c r="E49" s="268" t="n">
        <f aca="false">IFERROR(__xludf.dummyfunction("""COMPUTED_VALUE"""),12123747)</f>
        <v>12123747</v>
      </c>
      <c r="F49" s="1" t="str">
        <f aca="false">IFERROR(__xludf.dummyfunction("""COMPUTED_VALUE"""),"RFA - Bird")</f>
        <v>RFA - Bird</v>
      </c>
      <c r="G49" s="269" t="str">
        <f aca="false">IFERROR(__xludf.dummyfunction("""COMPUTED_VALUE"""),"")</f>
        <v/>
      </c>
      <c r="H49" s="1"/>
      <c r="I49" s="269" t="str">
        <f aca="false">IFERROR(__xludf.dummyfunction("""COMPUTED_VALUE"""),"")</f>
        <v/>
      </c>
      <c r="J49" s="1"/>
      <c r="K49" s="269"/>
      <c r="L49" s="1"/>
      <c r="M49" s="1"/>
      <c r="N49" s="1"/>
      <c r="O49" s="193" t="n">
        <f aca="false">IFERROR(__xludf.dummyfunction("""COMPUTED_VALUE"""),1)</f>
        <v>1</v>
      </c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</row>
    <row r="50" customFormat="false" ht="15.75" hidden="false" customHeight="false" outlineLevel="0" collapsed="false">
      <c r="A50" s="1" t="str">
        <f aca="false">IFERROR(__xludf.dummyfunction("""COMPUTED_VALUE"""),"Mike Conley")</f>
        <v>Mike Conley</v>
      </c>
      <c r="B50" s="267" t="str">
        <f aca="false">IFERROR(__xludf.dummyfunction("""COMPUTED_VALUE"""),"Brooklyn Nets")</f>
        <v>Brooklyn Nets</v>
      </c>
      <c r="C50" s="269" t="n">
        <f aca="false">IFERROR(__xludf.dummyfunction("""COMPUTED_VALUE"""),9975962)</f>
        <v>9975962</v>
      </c>
      <c r="D50" s="1"/>
      <c r="E50" s="268" t="n">
        <f aca="false">IFERROR(__xludf.dummyfunction("""COMPUTED_VALUE"""),10774038)</f>
        <v>10774038</v>
      </c>
      <c r="F50" s="1"/>
      <c r="G50" s="269" t="n">
        <f aca="false">IFERROR(__xludf.dummyfunction("""COMPUTED_VALUE"""),20470672)</f>
        <v>20470672</v>
      </c>
      <c r="H50" s="267" t="str">
        <f aca="false">IFERROR(__xludf.dummyfunction("""COMPUTED_VALUE"""),"UFA - Bird")</f>
        <v>UFA - Bird</v>
      </c>
      <c r="I50" s="269" t="str">
        <f aca="false">IFERROR(__xludf.dummyfunction("""COMPUTED_VALUE"""),"")</f>
        <v/>
      </c>
      <c r="J50" s="1"/>
      <c r="K50" s="269"/>
      <c r="L50" s="1"/>
      <c r="M50" s="1"/>
      <c r="N50" s="1"/>
      <c r="O50" s="193" t="n">
        <f aca="false">IFERROR(__xludf.dummyfunction("""COMPUTED_VALUE"""),1)</f>
        <v>1</v>
      </c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</row>
    <row r="51" customFormat="false" ht="15.75" hidden="false" customHeight="false" outlineLevel="0" collapsed="false">
      <c r="A51" s="1" t="str">
        <f aca="false">IFERROR(__xludf.dummyfunction("""COMPUTED_VALUE"""),"Aaron Wiggins")</f>
        <v>Aaron Wiggins</v>
      </c>
      <c r="B51" s="270" t="str">
        <f aca="false">IFERROR(__xludf.dummyfunction("""COMPUTED_VALUE"""),"Brooklyn Nets")</f>
        <v>Brooklyn Nets</v>
      </c>
      <c r="C51" s="269" t="n">
        <f aca="false">IFERROR(__xludf.dummyfunction("""COMPUTED_VALUE"""),10514017)</f>
        <v>10514017</v>
      </c>
      <c r="D51" s="1"/>
      <c r="E51" s="268" t="n">
        <f aca="false">IFERROR(__xludf.dummyfunction("""COMPUTED_VALUE"""),9672897)</f>
        <v>9672897</v>
      </c>
      <c r="F51" s="1"/>
      <c r="G51" s="269" t="n">
        <f aca="false">IFERROR(__xludf.dummyfunction("""COMPUTED_VALUE"""),8831776)</f>
        <v>8831776</v>
      </c>
      <c r="H51" s="1"/>
      <c r="I51" s="269" t="n">
        <f aca="false">IFERROR(__xludf.dummyfunction("""COMPUTED_VALUE"""),7990655)</f>
        <v>7990655</v>
      </c>
      <c r="J51" s="1"/>
      <c r="K51" s="269" t="n">
        <f aca="false">IFERROR(__xludf.dummyfunction("""COMPUTED_VALUE"""),7990655)</f>
        <v>7990655</v>
      </c>
      <c r="L51" s="1" t="str">
        <f aca="false">IFERROR(__xludf.dummyfunction("""COMPUTED_VALUE"""),"Club Option")</f>
        <v>Club Option</v>
      </c>
      <c r="M51" s="269" t="n">
        <f aca="false">IFERROR(__xludf.dummyfunction("""COMPUTED_VALUE"""),20323449)</f>
        <v>20323449</v>
      </c>
      <c r="N51" s="1" t="str">
        <f aca="false">IFERROR(__xludf.dummyfunction("""COMPUTED_VALUE"""),"UFA - Bird")</f>
        <v>UFA - Bird</v>
      </c>
      <c r="O51" s="193" t="n">
        <f aca="false">IFERROR(__xludf.dummyfunction("""COMPUTED_VALUE"""),1)</f>
        <v>1</v>
      </c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</row>
    <row r="52" customFormat="false" ht="15.75" hidden="false" customHeight="false" outlineLevel="0" collapsed="false">
      <c r="A52" s="1" t="str">
        <f aca="false">IFERROR(__xludf.dummyfunction("""COMPUTED_VALUE"""),"Anthony Black")</f>
        <v>Anthony Black</v>
      </c>
      <c r="B52" s="267" t="str">
        <f aca="false">IFERROR(__xludf.dummyfunction("""COMPUTED_VALUE"""),"Brooklyn Nets")</f>
        <v>Brooklyn Nets</v>
      </c>
      <c r="C52" s="269" t="n">
        <f aca="false">IFERROR(__xludf.dummyfunction("""COMPUTED_VALUE"""),7607760)</f>
        <v>7607760</v>
      </c>
      <c r="D52" s="1"/>
      <c r="E52" s="268" t="n">
        <f aca="false">IFERROR(__xludf.dummyfunction("""COMPUTED_VALUE"""),7970280)</f>
        <v>7970280</v>
      </c>
      <c r="F52" s="1"/>
      <c r="G52" s="269" t="n">
        <f aca="false">IFERROR(__xludf.dummyfunction("""COMPUTED_VALUE"""),10106316)</f>
        <v>10106316</v>
      </c>
      <c r="H52" s="1" t="str">
        <f aca="false">IFERROR(__xludf.dummyfunction("""COMPUTED_VALUE"""),"Club Option")</f>
        <v>Club Option</v>
      </c>
      <c r="I52" s="269" t="n">
        <f aca="false">IFERROR(__xludf.dummyfunction("""COMPUTED_VALUE"""),30318948)</f>
        <v>30318948</v>
      </c>
      <c r="J52" s="267" t="str">
        <f aca="false">IFERROR(__xludf.dummyfunction("""COMPUTED_VALUE"""),"RFA - Bird")</f>
        <v>RFA - Bird</v>
      </c>
      <c r="K52" s="269"/>
      <c r="L52" s="1"/>
      <c r="M52" s="1"/>
      <c r="N52" s="1"/>
      <c r="O52" s="193" t="n">
        <f aca="false">IFERROR(__xludf.dummyfunction("""COMPUTED_VALUE"""),1)</f>
        <v>1</v>
      </c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</row>
    <row r="53" customFormat="false" ht="15.75" hidden="false" customHeight="false" outlineLevel="0" collapsed="false">
      <c r="A53" s="1" t="str">
        <f aca="false">IFERROR(__xludf.dummyfunction("""COMPUTED_VALUE"""),"Gary Harris")</f>
        <v>Gary Harris</v>
      </c>
      <c r="B53" s="267" t="str">
        <f aca="false">IFERROR(__xludf.dummyfunction("""COMPUTED_VALUE"""),"Brooklyn Nets")</f>
        <v>Brooklyn Nets</v>
      </c>
      <c r="C53" s="269" t="n">
        <f aca="false">IFERROR(__xludf.dummyfunction("""COMPUTED_VALUE"""),7500000)</f>
        <v>7500000</v>
      </c>
      <c r="D53" s="267"/>
      <c r="E53" s="269" t="n">
        <f aca="false">IFERROR(__xludf.dummyfunction("""COMPUTED_VALUE"""),7500000)</f>
        <v>7500000</v>
      </c>
      <c r="F53" s="267"/>
      <c r="G53" s="269" t="n">
        <f aca="false">IFERROR(__xludf.dummyfunction("""COMPUTED_VALUE"""),14250000)</f>
        <v>14250000</v>
      </c>
      <c r="H53" s="1" t="str">
        <f aca="false">IFERROR(__xludf.dummyfunction("""COMPUTED_VALUE"""),"UFA - Bird")</f>
        <v>UFA - Bird</v>
      </c>
      <c r="I53" s="268" t="str">
        <f aca="false">IFERROR(__xludf.dummyfunction("""COMPUTED_VALUE"""),"")</f>
        <v/>
      </c>
      <c r="J53" s="1"/>
      <c r="K53" s="269"/>
      <c r="L53" s="1"/>
      <c r="M53" s="1"/>
      <c r="N53" s="1"/>
      <c r="O53" s="193" t="n">
        <f aca="false">IFERROR(__xludf.dummyfunction("""COMPUTED_VALUE"""),1)</f>
        <v>1</v>
      </c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</row>
    <row r="54" customFormat="false" ht="15.75" hidden="false" customHeight="false" outlineLevel="0" collapsed="false">
      <c r="A54" s="1" t="str">
        <f aca="false">IFERROR(__xludf.dummyfunction("""COMPUTED_VALUE"""),"Malcolm Brogdon")</f>
        <v>Malcolm Brogdon</v>
      </c>
      <c r="B54" s="267" t="str">
        <f aca="false">IFERROR(__xludf.dummyfunction("""COMPUTED_VALUE"""),"Brooklyn Nets")</f>
        <v>Brooklyn Nets</v>
      </c>
      <c r="C54" s="269" t="n">
        <f aca="false">IFERROR(__xludf.dummyfunction("""COMPUTED_VALUE"""),22500000)</f>
        <v>22500000</v>
      </c>
      <c r="D54" s="267"/>
      <c r="E54" s="269" t="n">
        <f aca="false">IFERROR(__xludf.dummyfunction("""COMPUTED_VALUE"""),7101010)</f>
        <v>7101010</v>
      </c>
      <c r="F54" s="267"/>
      <c r="G54" s="269" t="n">
        <f aca="false">IFERROR(__xludf.dummyfunction("""COMPUTED_VALUE"""),8521212)</f>
        <v>8521212</v>
      </c>
      <c r="H54" s="1" t="str">
        <f aca="false">IFERROR(__xludf.dummyfunction("""COMPUTED_VALUE"""),"UFA - Non-Bird")</f>
        <v>UFA - Non-Bird</v>
      </c>
      <c r="I54" s="268"/>
      <c r="J54" s="1"/>
      <c r="K54" s="269"/>
      <c r="L54" s="1"/>
      <c r="M54" s="1"/>
      <c r="N54" s="1"/>
      <c r="O54" s="193" t="n">
        <f aca="false">IFERROR(__xludf.dummyfunction("""COMPUTED_VALUE"""),1)</f>
        <v>1</v>
      </c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</row>
    <row r="55" customFormat="false" ht="15.75" hidden="false" customHeight="false" outlineLevel="0" collapsed="false">
      <c r="A55" s="1" t="str">
        <f aca="false">IFERROR(__xludf.dummyfunction("""COMPUTED_VALUE"""),"Cason Wallace")</f>
        <v>Cason Wallace</v>
      </c>
      <c r="B55" s="267" t="str">
        <f aca="false">IFERROR(__xludf.dummyfunction("""COMPUTED_VALUE"""),"Brooklyn Nets")</f>
        <v>Brooklyn Nets</v>
      </c>
      <c r="C55" s="269" t="n">
        <f aca="false">IFERROR(__xludf.dummyfunction("""COMPUTED_VALUE"""),5555880)</f>
        <v>5555880</v>
      </c>
      <c r="D55" s="1"/>
      <c r="E55" s="268" t="n">
        <f aca="false">IFERROR(__xludf.dummyfunction("""COMPUTED_VALUE"""),5820240)</f>
        <v>5820240</v>
      </c>
      <c r="F55" s="1"/>
      <c r="G55" s="269" t="n">
        <f aca="false">IFERROR(__xludf.dummyfunction("""COMPUTED_VALUE"""),7420806)</f>
        <v>7420806</v>
      </c>
      <c r="H55" s="1" t="str">
        <f aca="false">IFERROR(__xludf.dummyfunction("""COMPUTED_VALUE"""),"Club Option")</f>
        <v>Club Option</v>
      </c>
      <c r="I55" s="269" t="n">
        <f aca="false">IFERROR(__xludf.dummyfunction("""COMPUTED_VALUE"""),22262418)</f>
        <v>22262418</v>
      </c>
      <c r="J55" s="267" t="str">
        <f aca="false">IFERROR(__xludf.dummyfunction("""COMPUTED_VALUE"""),"RFA - Bird")</f>
        <v>RFA - Bird</v>
      </c>
      <c r="K55" s="269"/>
      <c r="L55" s="1"/>
      <c r="M55" s="1"/>
      <c r="N55" s="1"/>
      <c r="O55" s="193" t="n">
        <f aca="false">IFERROR(__xludf.dummyfunction("""COMPUTED_VALUE"""),1)</f>
        <v>1</v>
      </c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</row>
    <row r="56" customFormat="false" ht="15.75" hidden="false" customHeight="false" outlineLevel="0" collapsed="false">
      <c r="A56" s="1" t="str">
        <f aca="false">IFERROR(__xludf.dummyfunction("""COMPUTED_VALUE"""),"Cody Williams")</f>
        <v>Cody Williams</v>
      </c>
      <c r="B56" s="267" t="str">
        <f aca="false">IFERROR(__xludf.dummyfunction("""COMPUTED_VALUE"""),"Brooklyn Nets")</f>
        <v>Brooklyn Nets</v>
      </c>
      <c r="C56" s="269"/>
      <c r="D56" s="267"/>
      <c r="E56" s="269" t="n">
        <f aca="false">IFERROR(__xludf.dummyfunction("""COMPUTED_VALUE"""),5742480)</f>
        <v>5742480</v>
      </c>
      <c r="F56" s="1"/>
      <c r="G56" s="268" t="n">
        <f aca="false">IFERROR(__xludf.dummyfunction("""COMPUTED_VALUE"""),6015600)</f>
        <v>6015600</v>
      </c>
      <c r="H56" s="267" t="str">
        <f aca="false">IFERROR(__xludf.dummyfunction("""COMPUTED_VALUE"""),"Club Option")</f>
        <v>Club Option</v>
      </c>
      <c r="I56" s="269" t="n">
        <f aca="false">IFERROR(__xludf.dummyfunction("""COMPUTED_VALUE"""),7669890)</f>
        <v>7669890</v>
      </c>
      <c r="J56" s="267" t="str">
        <f aca="false">IFERROR(__xludf.dummyfunction("""COMPUTED_VALUE"""),"Club Option")</f>
        <v>Club Option</v>
      </c>
      <c r="K56" s="269" t="n">
        <f aca="false">IFERROR(__xludf.dummyfunction("""COMPUTED_VALUE"""),23009670)</f>
        <v>23009670</v>
      </c>
      <c r="L56" s="1" t="str">
        <f aca="false">IFERROR(__xludf.dummyfunction("""COMPUTED_VALUE"""),"RFA - Bird")</f>
        <v>RFA - Bird</v>
      </c>
      <c r="M56" s="1"/>
      <c r="N56" s="1"/>
      <c r="O56" s="193" t="n">
        <f aca="false">IFERROR(__xludf.dummyfunction("""COMPUTED_VALUE"""),1)</f>
        <v>1</v>
      </c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</row>
    <row r="57" customFormat="false" ht="15.75" hidden="false" customHeight="false" outlineLevel="0" collapsed="false">
      <c r="A57" s="1" t="str">
        <f aca="false">IFERROR(__xludf.dummyfunction("""COMPUTED_VALUE"""),"Thomas Sorber (R)")</f>
        <v>Thomas Sorber (R)</v>
      </c>
      <c r="B57" s="267" t="str">
        <f aca="false">IFERROR(__xludf.dummyfunction("""COMPUTED_VALUE"""),"Brooklyn Nets")</f>
        <v>Brooklyn Nets</v>
      </c>
      <c r="C57" s="269"/>
      <c r="D57" s="267"/>
      <c r="E57" s="269" t="n">
        <f aca="false">IFERROR(__xludf.dummyfunction("""COMPUTED_VALUE"""),4422360)</f>
        <v>4422360</v>
      </c>
      <c r="F57" s="1"/>
      <c r="G57" s="268" t="n">
        <f aca="false">IFERROR(__xludf.dummyfunction("""COMPUTED_VALUE"""),4643520)</f>
        <v>4643520</v>
      </c>
      <c r="H57" s="1"/>
      <c r="I57" s="269" t="n">
        <f aca="false">IFERROR(__xludf.dummyfunction("""COMPUTED_VALUE"""),4864920)</f>
        <v>4864920</v>
      </c>
      <c r="J57" s="267" t="str">
        <f aca="false">IFERROR(__xludf.dummyfunction("""COMPUTED_VALUE"""),"Club Option")</f>
        <v>Club Option</v>
      </c>
      <c r="K57" s="269" t="n">
        <f aca="false">IFERROR(__xludf.dummyfunction("""COMPUTED_VALUE"""),7462787.28)</f>
        <v>7462787.28</v>
      </c>
      <c r="L57" s="267" t="str">
        <f aca="false">IFERROR(__xludf.dummyfunction("""COMPUTED_VALUE"""),"Club Option")</f>
        <v>Club Option</v>
      </c>
      <c r="M57" s="269" t="n">
        <f aca="false">IFERROR(__xludf.dummyfunction("""COMPUTED_VALUE"""),22388361.84)</f>
        <v>22388361.84</v>
      </c>
      <c r="N57" s="267" t="str">
        <f aca="false">IFERROR(__xludf.dummyfunction("""COMPUTED_VALUE"""),"RFA - Bird")</f>
        <v>RFA - Bird</v>
      </c>
      <c r="O57" s="193" t="n">
        <f aca="false">IFERROR(__xludf.dummyfunction("""COMPUTED_VALUE"""),1)</f>
        <v>1</v>
      </c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</row>
    <row r="58" customFormat="false" ht="15.75" hidden="false" customHeight="false" outlineLevel="0" collapsed="false">
      <c r="A58" s="1" t="str">
        <f aca="false">IFERROR(__xludf.dummyfunction("""COMPUTED_VALUE"""),"Yaxel Lendeborg (R)")</f>
        <v>Yaxel Lendeborg (R)</v>
      </c>
      <c r="B58" s="267" t="str">
        <f aca="false">IFERROR(__xludf.dummyfunction("""COMPUTED_VALUE"""),"Brooklyn Nets")</f>
        <v>Brooklyn Nets</v>
      </c>
      <c r="C58" s="269"/>
      <c r="D58" s="267"/>
      <c r="E58" s="269" t="n">
        <f aca="false">IFERROR(__xludf.dummyfunction("""COMPUTED_VALUE"""),3991320)</f>
        <v>3991320</v>
      </c>
      <c r="F58" s="270"/>
      <c r="G58" s="269" t="n">
        <f aca="false">IFERROR(__xludf.dummyfunction("""COMPUTED_VALUE"""),4190520)</f>
        <v>4190520</v>
      </c>
      <c r="H58" s="1"/>
      <c r="I58" s="268" t="n">
        <f aca="false">IFERROR(__xludf.dummyfunction("""COMPUTED_VALUE"""),4390320)</f>
        <v>4390320</v>
      </c>
      <c r="J58" s="267" t="str">
        <f aca="false">IFERROR(__xludf.dummyfunction("""COMPUTED_VALUE"""),"Club Option")</f>
        <v>Club Option</v>
      </c>
      <c r="K58" s="269" t="n">
        <f aca="false">IFERROR(__xludf.dummyfunction("""COMPUTED_VALUE"""),6752312.16)</f>
        <v>6752312.16</v>
      </c>
      <c r="L58" s="267" t="str">
        <f aca="false">IFERROR(__xludf.dummyfunction("""COMPUTED_VALUE"""),"Club Option")</f>
        <v>Club Option</v>
      </c>
      <c r="M58" s="269" t="n">
        <f aca="false">IFERROR(__xludf.dummyfunction("""COMPUTED_VALUE"""),20256936.48)</f>
        <v>20256936.48</v>
      </c>
      <c r="N58" s="267" t="str">
        <f aca="false">IFERROR(__xludf.dummyfunction("""COMPUTED_VALUE"""),"RFA - Bird")</f>
        <v>RFA - Bird</v>
      </c>
      <c r="O58" s="193" t="n">
        <f aca="false">IFERROR(__xludf.dummyfunction("""COMPUTED_VALUE"""),1)</f>
        <v>1</v>
      </c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</row>
    <row r="59" customFormat="false" ht="15.75" hidden="false" customHeight="false" outlineLevel="0" collapsed="false">
      <c r="A59" s="1" t="str">
        <f aca="false">IFERROR(__xludf.dummyfunction("""COMPUTED_VALUE"""),"Tristan Da Silva")</f>
        <v>Tristan Da Silva</v>
      </c>
      <c r="B59" s="267" t="str">
        <f aca="false">IFERROR(__xludf.dummyfunction("""COMPUTED_VALUE"""),"Brooklyn Nets")</f>
        <v>Brooklyn Nets</v>
      </c>
      <c r="C59" s="269" t="n">
        <f aca="false">IFERROR(__xludf.dummyfunction("""COMPUTED_VALUE"""),3628440)</f>
        <v>3628440</v>
      </c>
      <c r="D59" s="267"/>
      <c r="E59" s="269" t="n">
        <f aca="false">IFERROR(__xludf.dummyfunction("""COMPUTED_VALUE"""),3809520)</f>
        <v>3809520</v>
      </c>
      <c r="F59" s="1"/>
      <c r="G59" s="268" t="n">
        <f aca="false">IFERROR(__xludf.dummyfunction("""COMPUTED_VALUE"""),3991200)</f>
        <v>3991200</v>
      </c>
      <c r="H59" s="1" t="str">
        <f aca="false">IFERROR(__xludf.dummyfunction("""COMPUTED_VALUE"""),"Club Option")</f>
        <v>Club Option</v>
      </c>
      <c r="I59" s="269" t="n">
        <f aca="false">IFERROR(__xludf.dummyfunction("""COMPUTED_VALUE"""),6138466)</f>
        <v>6138466</v>
      </c>
      <c r="J59" s="1" t="str">
        <f aca="false">IFERROR(__xludf.dummyfunction("""COMPUTED_VALUE"""),"Club Option")</f>
        <v>Club Option</v>
      </c>
      <c r="K59" s="269" t="n">
        <f aca="false">IFERROR(__xludf.dummyfunction("""COMPUTED_VALUE"""),18415398)</f>
        <v>18415398</v>
      </c>
      <c r="L59" s="267" t="str">
        <f aca="false">IFERROR(__xludf.dummyfunction("""COMPUTED_VALUE"""),"RFA - Bird")</f>
        <v>RFA - Bird</v>
      </c>
      <c r="M59" s="1"/>
      <c r="N59" s="1"/>
      <c r="O59" s="193" t="n">
        <f aca="false">IFERROR(__xludf.dummyfunction("""COMPUTED_VALUE"""),1)</f>
        <v>1</v>
      </c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</row>
    <row r="60" customFormat="false" ht="15.75" hidden="false" customHeight="false" outlineLevel="0" collapsed="false">
      <c r="A60" s="1" t="str">
        <f aca="false">IFERROR(__xludf.dummyfunction("""COMPUTED_VALUE"""),"Cam Whitmore")</f>
        <v>Cam Whitmore</v>
      </c>
      <c r="B60" s="267" t="str">
        <f aca="false">IFERROR(__xludf.dummyfunction("""COMPUTED_VALUE"""),"Brooklyn Nets")</f>
        <v>Brooklyn Nets</v>
      </c>
      <c r="C60" s="269"/>
      <c r="D60" s="267"/>
      <c r="E60" s="269" t="n">
        <f aca="false">IFERROR(__xludf.dummyfunction("""COMPUTED_VALUE"""),3539760)</f>
        <v>3539760</v>
      </c>
      <c r="F60" s="1"/>
      <c r="G60" s="268" t="n">
        <f aca="false">IFERROR(__xludf.dummyfunction("""COMPUTED_VALUE"""),5458310)</f>
        <v>5458310</v>
      </c>
      <c r="H60" s="267" t="str">
        <f aca="false">IFERROR(__xludf.dummyfunction("""COMPUTED_VALUE"""),"Club Option")</f>
        <v>Club Option</v>
      </c>
      <c r="I60" s="269" t="str">
        <f aca="false">IFERROR(__xludf.dummyfunction("""COMPUTED_VALUE"""),"")</f>
        <v/>
      </c>
      <c r="J60" s="1"/>
      <c r="K60" s="269"/>
      <c r="L60" s="1"/>
      <c r="M60" s="1"/>
      <c r="N60" s="1"/>
      <c r="O60" s="193" t="n">
        <f aca="false">IFERROR(__xludf.dummyfunction("""COMPUTED_VALUE"""),1)</f>
        <v>1</v>
      </c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</row>
    <row r="61" customFormat="false" ht="15.75" hidden="false" customHeight="false" outlineLevel="0" collapsed="false">
      <c r="A61" s="1" t="str">
        <f aca="false">IFERROR(__xludf.dummyfunction("""COMPUTED_VALUE"""),"Labaron Philon (R)")</f>
        <v>Labaron Philon (R)</v>
      </c>
      <c r="B61" s="270" t="str">
        <f aca="false">IFERROR(__xludf.dummyfunction("""COMPUTED_VALUE"""),"Brooklyn Nets")</f>
        <v>Brooklyn Nets</v>
      </c>
      <c r="C61" s="268"/>
      <c r="D61" s="270"/>
      <c r="E61" s="268" t="n">
        <f aca="false">IFERROR(__xludf.dummyfunction("""COMPUTED_VALUE"""),2983320)</f>
        <v>2983320</v>
      </c>
      <c r="F61" s="270"/>
      <c r="G61" s="268" t="n">
        <f aca="false">IFERROR(__xludf.dummyfunction("""COMPUTED_VALUE"""),3132360)</f>
        <v>3132360</v>
      </c>
      <c r="H61" s="1"/>
      <c r="I61" s="269" t="n">
        <f aca="false">IFERROR(__xludf.dummyfunction("""COMPUTED_VALUE"""),3282000)</f>
        <v>3282000</v>
      </c>
      <c r="J61" s="267" t="str">
        <f aca="false">IFERROR(__xludf.dummyfunction("""COMPUTED_VALUE"""),"Club Option")</f>
        <v>Club Option</v>
      </c>
      <c r="K61" s="269" t="n">
        <f aca="false">IFERROR(__xludf.dummyfunction("""COMPUTED_VALUE"""),5910882)</f>
        <v>5910882</v>
      </c>
      <c r="L61" s="267" t="str">
        <f aca="false">IFERROR(__xludf.dummyfunction("""COMPUTED_VALUE"""),"Club Option")</f>
        <v>Club Option</v>
      </c>
      <c r="M61" s="269" t="n">
        <f aca="false">IFERROR(__xludf.dummyfunction("""COMPUTED_VALUE"""),17732646)</f>
        <v>17732646</v>
      </c>
      <c r="N61" s="267" t="str">
        <f aca="false">IFERROR(__xludf.dummyfunction("""COMPUTED_VALUE"""),"RFA - Bird")</f>
        <v>RFA - Bird</v>
      </c>
      <c r="O61" s="193" t="n">
        <f aca="false">IFERROR(__xludf.dummyfunction("""COMPUTED_VALUE"""),1)</f>
        <v>1</v>
      </c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</row>
    <row r="62" customFormat="false" ht="15.75" hidden="false" customHeight="false" outlineLevel="0" collapsed="false">
      <c r="A62" s="1" t="str">
        <f aca="false">IFERROR(__xludf.dummyfunction("""COMPUTED_VALUE"""),"Maxwell Lewis")</f>
        <v>Maxwell Lewis</v>
      </c>
      <c r="B62" s="270" t="str">
        <f aca="false">IFERROR(__xludf.dummyfunction("""COMPUTED_VALUE"""),"Brooklyn Nets")</f>
        <v>Brooklyn Nets</v>
      </c>
      <c r="C62" s="268" t="n">
        <f aca="false">IFERROR(__xludf.dummyfunction("""COMPUTED_VALUE"""),1891857)</f>
        <v>1891857</v>
      </c>
      <c r="D62" s="270" t="str">
        <f aca="false">IFERROR(__xludf.dummyfunction("""COMPUTED_VALUE"""),"Dead Cap")</f>
        <v>Dead Cap</v>
      </c>
      <c r="E62" s="268" t="n">
        <f aca="false">IFERROR(__xludf.dummyfunction("""COMPUTED_VALUE"""),100000)</f>
        <v>100000</v>
      </c>
      <c r="F62" s="267" t="str">
        <f aca="false">IFERROR(__xludf.dummyfunction("""COMPUTED_VALUE"""),"Dead Cap")</f>
        <v>Dead Cap</v>
      </c>
      <c r="G62" s="268"/>
      <c r="H62" s="1"/>
      <c r="I62" s="269"/>
      <c r="J62" s="1"/>
      <c r="K62" s="269"/>
      <c r="L62" s="1"/>
      <c r="M62" s="1"/>
      <c r="N62" s="1"/>
      <c r="O62" s="193" t="n">
        <f aca="false">IFERROR(__xludf.dummyfunction("""COMPUTED_VALUE"""),1)</f>
        <v>1</v>
      </c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</row>
    <row r="63" customFormat="false" ht="15.75" hidden="false" customHeight="false" outlineLevel="0" collapsed="false">
      <c r="A63" s="1" t="str">
        <f aca="false">IFERROR(__xludf.dummyfunction("""COMPUTED_VALUE"""),"De'Anthony Melton")</f>
        <v>De'Anthony Melton</v>
      </c>
      <c r="B63" s="270" t="str">
        <f aca="false">IFERROR(__xludf.dummyfunction("""COMPUTED_VALUE"""),"Brooklyn Nets")</f>
        <v>Brooklyn Nets</v>
      </c>
      <c r="C63" s="268" t="n">
        <f aca="false">IFERROR(__xludf.dummyfunction("""COMPUTED_VALUE"""),12822000)</f>
        <v>12822000</v>
      </c>
      <c r="D63" s="270"/>
      <c r="E63" s="269"/>
      <c r="F63" s="1" t="str">
        <f aca="false">IFERROR(__xludf.dummyfunction("""COMPUTED_VALUE"""),"UFA - Rights Renounced")</f>
        <v>UFA - Rights Renounced</v>
      </c>
      <c r="G63" s="268" t="str">
        <f aca="false">IFERROR(__xludf.dummyfunction("""COMPUTED_VALUE"""),"")</f>
        <v/>
      </c>
      <c r="H63" s="1"/>
      <c r="I63" s="269" t="str">
        <f aca="false">IFERROR(__xludf.dummyfunction("""COMPUTED_VALUE"""),"")</f>
        <v/>
      </c>
      <c r="J63" s="1"/>
      <c r="K63" s="269"/>
      <c r="L63" s="1"/>
      <c r="M63" s="1"/>
      <c r="N63" s="1"/>
      <c r="O63" s="193" t="n">
        <f aca="false">IFERROR(__xludf.dummyfunction("""COMPUTED_VALUE"""),1)</f>
        <v>1</v>
      </c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</row>
    <row r="64" customFormat="false" ht="15.75" hidden="false" customHeight="false" outlineLevel="0" collapsed="false">
      <c r="A64" s="1" t="str">
        <f aca="false">IFERROR(__xludf.dummyfunction("""COMPUTED_VALUE"""),"LaMarcus Aldridge")</f>
        <v>LaMarcus Aldridge</v>
      </c>
      <c r="B64" s="270" t="str">
        <f aca="false">IFERROR(__xludf.dummyfunction("""COMPUTED_VALUE"""),"Brooklyn Nets")</f>
        <v>Brooklyn Nets</v>
      </c>
      <c r="C64" s="268" t="n">
        <f aca="false">IFERROR(__xludf.dummyfunction("""COMPUTED_VALUE"""),2087519)</f>
        <v>2087519</v>
      </c>
      <c r="D64" s="270" t="str">
        <f aca="false">IFERROR(__xludf.dummyfunction("""COMPUTED_VALUE"""),"UFA - Early Bird")</f>
        <v>UFA - Early Bird</v>
      </c>
      <c r="E64" s="269"/>
      <c r="F64" s="1" t="str">
        <f aca="false">IFERROR(__xludf.dummyfunction("""COMPUTED_VALUE"""),"UFA - Rights Renounced")</f>
        <v>UFA - Rights Renounced</v>
      </c>
      <c r="G64" s="268"/>
      <c r="H64" s="1"/>
      <c r="I64" s="269"/>
      <c r="J64" s="1"/>
      <c r="K64" s="269"/>
      <c r="L64" s="1"/>
      <c r="M64" s="1"/>
      <c r="N64" s="1"/>
      <c r="O64" s="193" t="n">
        <f aca="false">IFERROR(__xludf.dummyfunction("""COMPUTED_VALUE"""),1)</f>
        <v>1</v>
      </c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</row>
    <row r="65" customFormat="false" ht="15.75" hidden="false" customHeight="false" outlineLevel="0" collapsed="false">
      <c r="A65" s="1" t="str">
        <f aca="false">IFERROR(__xludf.dummyfunction("""COMPUTED_VALUE"""),"Nikola Milutinov")</f>
        <v>Nikola Milutinov</v>
      </c>
      <c r="B65" s="270" t="str">
        <f aca="false">IFERROR(__xludf.dummyfunction("""COMPUTED_VALUE"""),"Brooklyn Nets")</f>
        <v>Brooklyn Nets</v>
      </c>
      <c r="C65" s="268" t="n">
        <f aca="false">IFERROR(__xludf.dummyfunction("""COMPUTED_VALUE"""),4158440)</f>
        <v>4158440</v>
      </c>
      <c r="D65" s="270" t="str">
        <f aca="false">IFERROR(__xludf.dummyfunction("""COMPUTED_VALUE"""),"UFA - 1st Round")</f>
        <v>UFA - 1st Round</v>
      </c>
      <c r="E65" s="269"/>
      <c r="F65" s="1" t="str">
        <f aca="false">IFERROR(__xludf.dummyfunction("""COMPUTED_VALUE"""),"UFA - Rights Renounced")</f>
        <v>UFA - Rights Renounced</v>
      </c>
      <c r="G65" s="268"/>
      <c r="H65" s="1"/>
      <c r="I65" s="269"/>
      <c r="J65" s="1"/>
      <c r="K65" s="269"/>
      <c r="L65" s="1"/>
      <c r="M65" s="1"/>
      <c r="N65" s="1"/>
      <c r="O65" s="193" t="n">
        <f aca="false">IFERROR(__xludf.dummyfunction("""COMPUTED_VALUE"""),1)</f>
        <v>1</v>
      </c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</row>
    <row r="66" customFormat="false" ht="15.75" hidden="false" customHeight="false" outlineLevel="0" collapsed="false">
      <c r="A66" s="1" t="str">
        <f aca="false">IFERROR(__xludf.dummyfunction("""COMPUTED_VALUE"""),"Reece Beekman")</f>
        <v>Reece Beekman</v>
      </c>
      <c r="B66" s="270" t="str">
        <f aca="false">IFERROR(__xludf.dummyfunction("""COMPUTED_VALUE"""),"Brooklyn Nets")</f>
        <v>Brooklyn Nets</v>
      </c>
      <c r="C66" s="268"/>
      <c r="D66" s="270"/>
      <c r="E66" s="268"/>
      <c r="F66" s="1" t="str">
        <f aca="false">IFERROR(__xludf.dummyfunction("""COMPUTED_VALUE"""),"UFA - Rights Renounced")</f>
        <v>UFA - Rights Renounced</v>
      </c>
      <c r="G66" s="268"/>
      <c r="H66" s="1"/>
      <c r="I66" s="269"/>
      <c r="J66" s="1"/>
      <c r="K66" s="269"/>
      <c r="L66" s="1"/>
      <c r="M66" s="1"/>
      <c r="N66" s="1"/>
      <c r="O66" s="193" t="n">
        <f aca="false">IFERROR(__xludf.dummyfunction("""COMPUTED_VALUE"""),1)</f>
        <v>1</v>
      </c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</row>
    <row r="67" customFormat="false" ht="15.75" hidden="false" customHeight="false" outlineLevel="0" collapsed="false">
      <c r="A67" s="1" t="str">
        <f aca="false">IFERROR(__xludf.dummyfunction("""COMPUTED_VALUE"""),"Trendon Watford")</f>
        <v>Trendon Watford</v>
      </c>
      <c r="B67" s="270" t="str">
        <f aca="false">IFERROR(__xludf.dummyfunction("""COMPUTED_VALUE"""),"Brooklyn Nets")</f>
        <v>Brooklyn Nets</v>
      </c>
      <c r="C67" s="268" t="n">
        <f aca="false">IFERROR(__xludf.dummyfunction("""COMPUTED_VALUE"""),2726603)</f>
        <v>2726603</v>
      </c>
      <c r="D67" s="270"/>
      <c r="E67" s="268"/>
      <c r="F67" s="1" t="str">
        <f aca="false">IFERROR(__xludf.dummyfunction("""COMPUTED_VALUE"""),"UFA - Rights Renounced")</f>
        <v>UFA - Rights Renounced</v>
      </c>
      <c r="G67" s="268" t="str">
        <f aca="false">IFERROR(__xludf.dummyfunction("""COMPUTED_VALUE"""),"")</f>
        <v/>
      </c>
      <c r="H67" s="1"/>
      <c r="I67" s="269" t="str">
        <f aca="false">IFERROR(__xludf.dummyfunction("""COMPUTED_VALUE"""),"")</f>
        <v/>
      </c>
      <c r="J67" s="1"/>
      <c r="K67" s="269"/>
      <c r="L67" s="1"/>
      <c r="M67" s="1"/>
      <c r="N67" s="1"/>
      <c r="O67" s="193" t="n">
        <f aca="false">IFERROR(__xludf.dummyfunction("""COMPUTED_VALUE"""),1)</f>
        <v>1</v>
      </c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</row>
    <row r="68" customFormat="false" ht="15.75" hidden="false" customHeight="false" outlineLevel="0" collapsed="false">
      <c r="A68" s="1" t="str">
        <f aca="false">IFERROR(__xludf.dummyfunction("""COMPUTED_VALUE"""),"Wilson Chandler")</f>
        <v>Wilson Chandler</v>
      </c>
      <c r="B68" s="270" t="str">
        <f aca="false">IFERROR(__xludf.dummyfunction("""COMPUTED_VALUE"""),"Brooklyn Nets")</f>
        <v>Brooklyn Nets</v>
      </c>
      <c r="C68" s="268" t="n">
        <f aca="false">IFERROR(__xludf.dummyfunction("""COMPUTED_VALUE"""),2087519)</f>
        <v>2087519</v>
      </c>
      <c r="D68" s="270" t="str">
        <f aca="false">IFERROR(__xludf.dummyfunction("""COMPUTED_VALUE"""),"UFA - Non-Bird")</f>
        <v>UFA - Non-Bird</v>
      </c>
      <c r="E68" s="268"/>
      <c r="F68" s="1" t="str">
        <f aca="false">IFERROR(__xludf.dummyfunction("""COMPUTED_VALUE"""),"UFA - Rights Renounced")</f>
        <v>UFA - Rights Renounced</v>
      </c>
      <c r="G68" s="268"/>
      <c r="H68" s="1"/>
      <c r="I68" s="269"/>
      <c r="J68" s="1"/>
      <c r="K68" s="269"/>
      <c r="L68" s="1"/>
      <c r="M68" s="1"/>
      <c r="N68" s="1"/>
      <c r="O68" s="193" t="n">
        <f aca="false">IFERROR(__xludf.dummyfunction("""COMPUTED_VALUE"""),1)</f>
        <v>1</v>
      </c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</row>
    <row r="69" customFormat="false" ht="15.75" hidden="false" customHeight="false" outlineLevel="0" collapsed="false">
      <c r="A69" s="1" t="str">
        <f aca="false">IFERROR(__xludf.dummyfunction("""COMPUTED_VALUE"""),"Damion Baugh")</f>
        <v>Damion Baugh</v>
      </c>
      <c r="B69" s="270" t="str">
        <f aca="false">IFERROR(__xludf.dummyfunction("""COMPUTED_VALUE"""),"Charlotte Hornets")</f>
        <v>Charlotte Hornets</v>
      </c>
      <c r="C69" s="268" t="str">
        <f aca="false">IFERROR(__xludf.dummyfunction("""COMPUTED_VALUE"""),"Two-way")</f>
        <v>Two-way</v>
      </c>
      <c r="D69" s="270" t="str">
        <f aca="false">IFERROR(__xludf.dummyfunction("""COMPUTED_VALUE"""),"Two-way")</f>
        <v>Two-way</v>
      </c>
      <c r="E69" s="268" t="str">
        <f aca="false">IFERROR(__xludf.dummyfunction("""COMPUTED_VALUE"""),"Two-way")</f>
        <v>Two-way</v>
      </c>
      <c r="F69" s="267" t="str">
        <f aca="false">IFERROR(__xludf.dummyfunction("""COMPUTED_VALUE"""),"Two-way")</f>
        <v>Two-way</v>
      </c>
      <c r="G69" s="268" t="n">
        <f aca="false">IFERROR(__xludf.dummyfunction("""COMPUTED_VALUE"""),2253346)</f>
        <v>2253346</v>
      </c>
      <c r="H69" s="1" t="str">
        <f aca="false">IFERROR(__xludf.dummyfunction("""COMPUTED_VALUE"""),"UFA - Two-way")</f>
        <v>UFA - Two-way</v>
      </c>
      <c r="I69" s="269"/>
      <c r="J69" s="1"/>
      <c r="K69" s="269"/>
      <c r="L69" s="1"/>
      <c r="M69" s="1"/>
      <c r="N69" s="1"/>
      <c r="O69" s="193" t="n">
        <f aca="false">IFERROR(__xludf.dummyfunction("""COMPUTED_VALUE"""),1)</f>
        <v>1</v>
      </c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</row>
    <row r="70" customFormat="false" ht="15.75" hidden="false" customHeight="false" outlineLevel="0" collapsed="false">
      <c r="A70" s="1" t="str">
        <f aca="false">IFERROR(__xludf.dummyfunction("""COMPUTED_VALUE"""),"K.J. Simpson")</f>
        <v>K.J. Simpson</v>
      </c>
      <c r="B70" s="267" t="str">
        <f aca="false">IFERROR(__xludf.dummyfunction("""COMPUTED_VALUE"""),"Charlotte Hornets")</f>
        <v>Charlotte Hornets</v>
      </c>
      <c r="C70" s="269" t="str">
        <f aca="false">IFERROR(__xludf.dummyfunction("""COMPUTED_VALUE"""),"Two-way")</f>
        <v>Two-way</v>
      </c>
      <c r="D70" s="267" t="str">
        <f aca="false">IFERROR(__xludf.dummyfunction("""COMPUTED_VALUE"""),"Two-way")</f>
        <v>Two-way</v>
      </c>
      <c r="E70" s="269" t="str">
        <f aca="false">IFERROR(__xludf.dummyfunction("""COMPUTED_VALUE"""),"Two-way")</f>
        <v>Two-way</v>
      </c>
      <c r="F70" s="267" t="str">
        <f aca="false">IFERROR(__xludf.dummyfunction("""COMPUTED_VALUE"""),"Two-way")</f>
        <v>Two-way</v>
      </c>
      <c r="G70" s="269" t="n">
        <f aca="false">IFERROR(__xludf.dummyfunction("""COMPUTED_VALUE"""),2253346)</f>
        <v>2253346</v>
      </c>
      <c r="H70" s="1" t="str">
        <f aca="false">IFERROR(__xludf.dummyfunction("""COMPUTED_VALUE"""),"UFA - Two-way")</f>
        <v>UFA - Two-way</v>
      </c>
      <c r="I70" s="1"/>
      <c r="J70" s="1"/>
      <c r="K70" s="1"/>
      <c r="L70" s="1"/>
      <c r="M70" s="1"/>
      <c r="N70" s="1"/>
      <c r="O70" s="193" t="n">
        <f aca="false">IFERROR(__xludf.dummyfunction("""COMPUTED_VALUE"""),1)</f>
        <v>1</v>
      </c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</row>
    <row r="71" customFormat="false" ht="15.75" hidden="false" customHeight="false" outlineLevel="0" collapsed="false">
      <c r="A71" s="1" t="str">
        <f aca="false">IFERROR(__xludf.dummyfunction("""COMPUTED_VALUE"""),"LaMelo Ball")</f>
        <v>LaMelo Ball</v>
      </c>
      <c r="B71" s="267" t="str">
        <f aca="false">IFERROR(__xludf.dummyfunction("""COMPUTED_VALUE"""),"Charlotte Hornets")</f>
        <v>Charlotte Hornets</v>
      </c>
      <c r="C71" s="269" t="n">
        <f aca="false">IFERROR(__xludf.dummyfunction("""COMPUTED_VALUE"""),35147000)</f>
        <v>35147000</v>
      </c>
      <c r="D71" s="1"/>
      <c r="E71" s="269" t="n">
        <f aca="false">IFERROR(__xludf.dummyfunction("""COMPUTED_VALUE"""),37958760)</f>
        <v>37958760</v>
      </c>
      <c r="F71" s="1"/>
      <c r="G71" s="269" t="n">
        <f aca="false">IFERROR(__xludf.dummyfunction("""COMPUTED_VALUE"""),40770520)</f>
        <v>40770520</v>
      </c>
      <c r="H71" s="1"/>
      <c r="I71" s="269" t="n">
        <f aca="false">IFERROR(__xludf.dummyfunction("""COMPUTED_VALUE"""),43582280)</f>
        <v>43582280</v>
      </c>
      <c r="J71" s="1"/>
      <c r="K71" s="269" t="n">
        <f aca="false">IFERROR(__xludf.dummyfunction("""COMPUTED_VALUE"""),46394040)</f>
        <v>46394040</v>
      </c>
      <c r="L71" s="1"/>
      <c r="M71" s="269" t="n">
        <f aca="false">IFERROR(__xludf.dummyfunction("""COMPUTED_VALUE"""),69591060)</f>
        <v>69591060</v>
      </c>
      <c r="N71" s="1" t="str">
        <f aca="false">IFERROR(__xludf.dummyfunction("""COMPUTED_VALUE"""),"UFA - Bird")</f>
        <v>UFA - Bird</v>
      </c>
      <c r="O71" s="193" t="n">
        <f aca="false">IFERROR(__xludf.dummyfunction("""COMPUTED_VALUE"""),1)</f>
        <v>1</v>
      </c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</row>
    <row r="72" customFormat="false" ht="15.75" hidden="false" customHeight="false" outlineLevel="0" collapsed="false">
      <c r="A72" s="1" t="str">
        <f aca="false">IFERROR(__xludf.dummyfunction("""COMPUTED_VALUE"""),"Miles Bridges")</f>
        <v>Miles Bridges</v>
      </c>
      <c r="B72" s="267" t="str">
        <f aca="false">IFERROR(__xludf.dummyfunction("""COMPUTED_VALUE"""),"Charlotte Hornets")</f>
        <v>Charlotte Hornets</v>
      </c>
      <c r="C72" s="269" t="n">
        <f aca="false">IFERROR(__xludf.dummyfunction("""COMPUTED_VALUE"""),27173913)</f>
        <v>27173913</v>
      </c>
      <c r="D72" s="1"/>
      <c r="E72" s="269" t="n">
        <f aca="false">IFERROR(__xludf.dummyfunction("""COMPUTED_VALUE"""),25000000)</f>
        <v>25000000</v>
      </c>
      <c r="F72" s="1"/>
      <c r="G72" s="269" t="n">
        <f aca="false">IFERROR(__xludf.dummyfunction("""COMPUTED_VALUE"""),22826087)</f>
        <v>22826087</v>
      </c>
      <c r="H72" s="1"/>
      <c r="I72" s="269" t="n">
        <f aca="false">IFERROR(__xludf.dummyfunction("""COMPUTED_VALUE"""),34239131)</f>
        <v>34239131</v>
      </c>
      <c r="J72" s="1" t="str">
        <f aca="false">IFERROR(__xludf.dummyfunction("""COMPUTED_VALUE"""),"UFA - Bird")</f>
        <v>UFA - Bird</v>
      </c>
      <c r="K72" s="1"/>
      <c r="L72" s="1"/>
      <c r="M72" s="1"/>
      <c r="N72" s="1"/>
      <c r="O72" s="193" t="n">
        <f aca="false">IFERROR(__xludf.dummyfunction("""COMPUTED_VALUE"""),1)</f>
        <v>1</v>
      </c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</row>
    <row r="73" customFormat="false" ht="15.75" hidden="false" customHeight="false" outlineLevel="0" collapsed="false">
      <c r="A73" s="1" t="str">
        <f aca="false">IFERROR(__xludf.dummyfunction("""COMPUTED_VALUE"""),"Marcus Smart")</f>
        <v>Marcus Smart</v>
      </c>
      <c r="B73" s="267" t="str">
        <f aca="false">IFERROR(__xludf.dummyfunction("""COMPUTED_VALUE"""),"Charlotte Hornets")</f>
        <v>Charlotte Hornets</v>
      </c>
      <c r="C73" s="1"/>
      <c r="D73" s="1"/>
      <c r="E73" s="269" t="n">
        <f aca="false">IFERROR(__xludf.dummyfunction("""COMPUTED_VALUE"""),21586856)</f>
        <v>21586856</v>
      </c>
      <c r="F73" s="1"/>
      <c r="G73" s="269" t="n">
        <f aca="false">IFERROR(__xludf.dummyfunction("""COMPUTED_VALUE"""),32005284)</f>
        <v>32005284</v>
      </c>
      <c r="H73" s="1" t="str">
        <f aca="false">IFERROR(__xludf.dummyfunction("""COMPUTED_VALUE"""),"UFA - Bird")</f>
        <v>UFA - Bird</v>
      </c>
      <c r="I73" s="269" t="str">
        <f aca="false">IFERROR(__xludf.dummyfunction("""COMPUTED_VALUE"""),"")</f>
        <v/>
      </c>
      <c r="J73" s="1"/>
      <c r="K73" s="1"/>
      <c r="L73" s="1"/>
      <c r="M73" s="1"/>
      <c r="N73" s="1"/>
      <c r="O73" s="193" t="n">
        <f aca="false">IFERROR(__xludf.dummyfunction("""COMPUTED_VALUE"""),1)</f>
        <v>1</v>
      </c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</row>
    <row r="74" customFormat="false" ht="15.75" hidden="false" customHeight="false" outlineLevel="0" collapsed="false">
      <c r="A74" s="1" t="str">
        <f aca="false">IFERROR(__xludf.dummyfunction("""COMPUTED_VALUE"""),"Tre Mann")</f>
        <v>Tre Mann</v>
      </c>
      <c r="B74" s="267" t="str">
        <f aca="false">IFERROR(__xludf.dummyfunction("""COMPUTED_VALUE"""),"Charlotte Hornets")</f>
        <v>Charlotte Hornets</v>
      </c>
      <c r="C74" s="269" t="n">
        <f aca="false">IFERROR(__xludf.dummyfunction("""COMPUTED_VALUE"""),4908373)</f>
        <v>4908373</v>
      </c>
      <c r="D74" s="1"/>
      <c r="E74" s="269" t="n">
        <f aca="false">IFERROR(__xludf.dummyfunction("""COMPUTED_VALUE"""),14103787.94)</f>
        <v>14103787.94</v>
      </c>
      <c r="F74" s="1"/>
      <c r="G74" s="269" t="n">
        <f aca="false">IFERROR(__xludf.dummyfunction("""COMPUTED_VALUE"""),14808977.33)</f>
        <v>14808977.33</v>
      </c>
      <c r="H74" s="1"/>
      <c r="I74" s="269" t="n">
        <f aca="false">IFERROR(__xludf.dummyfunction("""COMPUTED_VALUE"""),15514166.73)</f>
        <v>15514166.73</v>
      </c>
      <c r="J74" s="1"/>
      <c r="K74" s="269" t="n">
        <f aca="false">IFERROR(__xludf.dummyfunction("""COMPUTED_VALUE"""),29476916.79)</f>
        <v>29476916.79</v>
      </c>
      <c r="L74" s="1" t="str">
        <f aca="false">IFERROR(__xludf.dummyfunction("""COMPUTED_VALUE"""),"UFA - Bird")</f>
        <v>UFA - Bird</v>
      </c>
      <c r="M74" s="1"/>
      <c r="N74" s="1"/>
      <c r="O74" s="193" t="n">
        <f aca="false">IFERROR(__xludf.dummyfunction("""COMPUTED_VALUE"""),1)</f>
        <v>1</v>
      </c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</row>
    <row r="75" customFormat="false" ht="15.75" hidden="false" customHeight="false" outlineLevel="0" collapsed="false">
      <c r="A75" s="1" t="str">
        <f aca="false">IFERROR(__xludf.dummyfunction("""COMPUTED_VALUE"""),"Josh Okogie")</f>
        <v>Josh Okogie</v>
      </c>
      <c r="B75" s="267" t="str">
        <f aca="false">IFERROR(__xludf.dummyfunction("""COMPUTED_VALUE"""),"Charlotte Hornets")</f>
        <v>Charlotte Hornets</v>
      </c>
      <c r="C75" s="269" t="n">
        <f aca="false">IFERROR(__xludf.dummyfunction("""COMPUTED_VALUE"""),8250000)</f>
        <v>8250000</v>
      </c>
      <c r="D75" s="1"/>
      <c r="E75" s="269" t="n">
        <f aca="false">IFERROR(__xludf.dummyfunction("""COMPUTED_VALUE"""),12375000)</f>
        <v>12375000</v>
      </c>
      <c r="F75" s="1"/>
      <c r="G75" s="269" t="n">
        <f aca="false">IFERROR(__xludf.dummyfunction("""COMPUTED_VALUE"""),14725000)</f>
        <v>14725000</v>
      </c>
      <c r="H75" s="1" t="str">
        <f aca="false">IFERROR(__xludf.dummyfunction("""COMPUTED_VALUE"""),"UFA - Bird")</f>
        <v>UFA - Bird</v>
      </c>
      <c r="I75" s="269" t="str">
        <f aca="false">IFERROR(__xludf.dummyfunction("""COMPUTED_VALUE"""),"")</f>
        <v/>
      </c>
      <c r="J75" s="1"/>
      <c r="K75" s="1"/>
      <c r="L75" s="1"/>
      <c r="M75" s="1"/>
      <c r="N75" s="1"/>
      <c r="O75" s="193" t="n">
        <f aca="false">IFERROR(__xludf.dummyfunction("""COMPUTED_VALUE"""),1)</f>
        <v>1</v>
      </c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</row>
    <row r="76" customFormat="false" ht="15.75" hidden="false" customHeight="false" outlineLevel="0" collapsed="false">
      <c r="A76" s="1" t="str">
        <f aca="false">IFERROR(__xludf.dummyfunction("""COMPUTED_VALUE"""),"Brandon Miller")</f>
        <v>Brandon Miller</v>
      </c>
      <c r="B76" s="267" t="str">
        <f aca="false">IFERROR(__xludf.dummyfunction("""COMPUTED_VALUE"""),"Charlotte Hornets")</f>
        <v>Charlotte Hornets</v>
      </c>
      <c r="C76" s="269" t="n">
        <f aca="false">IFERROR(__xludf.dummyfunction("""COMPUTED_VALUE"""),11424600)</f>
        <v>11424600</v>
      </c>
      <c r="D76" s="1"/>
      <c r="E76" s="269" t="n">
        <f aca="false">IFERROR(__xludf.dummyfunction("""COMPUTED_VALUE"""),11968800)</f>
        <v>11968800</v>
      </c>
      <c r="F76" s="1"/>
      <c r="G76" s="269" t="n">
        <f aca="false">IFERROR(__xludf.dummyfunction("""COMPUTED_VALUE"""),15104626)</f>
        <v>15104626</v>
      </c>
      <c r="H76" s="1" t="str">
        <f aca="false">IFERROR(__xludf.dummyfunction("""COMPUTED_VALUE"""),"Club Option")</f>
        <v>Club Option</v>
      </c>
      <c r="I76" s="269" t="n">
        <f aca="false">IFERROR(__xludf.dummyfunction("""COMPUTED_VALUE"""),37761565)</f>
        <v>37761565</v>
      </c>
      <c r="J76" s="1" t="str">
        <f aca="false">IFERROR(__xludf.dummyfunction("""COMPUTED_VALUE"""),"RFA - Bird")</f>
        <v>RFA - Bird</v>
      </c>
      <c r="K76" s="1"/>
      <c r="L76" s="1"/>
      <c r="M76" s="1"/>
      <c r="N76" s="1"/>
      <c r="O76" s="193" t="n">
        <f aca="false">IFERROR(__xludf.dummyfunction("""COMPUTED_VALUE"""),1)</f>
        <v>1</v>
      </c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</row>
    <row r="77" customFormat="false" ht="15.75" hidden="false" customHeight="false" outlineLevel="0" collapsed="false">
      <c r="A77" s="1" t="str">
        <f aca="false">IFERROR(__xludf.dummyfunction("""COMPUTED_VALUE"""),"Moses Moody")</f>
        <v>Moses Moody</v>
      </c>
      <c r="B77" s="267" t="str">
        <f aca="false">IFERROR(__xludf.dummyfunction("""COMPUTED_VALUE"""),"Charlotte Hornets")</f>
        <v>Charlotte Hornets</v>
      </c>
      <c r="C77" s="1"/>
      <c r="D77" s="1"/>
      <c r="E77" s="269" t="n">
        <f aca="false">IFERROR(__xludf.dummyfunction("""COMPUTED_VALUE"""),11574075)</f>
        <v>11574075</v>
      </c>
      <c r="F77" s="1"/>
      <c r="G77" s="269" t="n">
        <f aca="false">IFERROR(__xludf.dummyfunction("""COMPUTED_VALUE"""),12500000)</f>
        <v>12500000</v>
      </c>
      <c r="H77" s="1"/>
      <c r="I77" s="269" t="n">
        <f aca="false">IFERROR(__xludf.dummyfunction("""COMPUTED_VALUE"""),13425925)</f>
        <v>13425925</v>
      </c>
      <c r="J77" s="1"/>
      <c r="K77" s="269" t="n">
        <f aca="false">IFERROR(__xludf.dummyfunction("""COMPUTED_VALUE"""),20944445)</f>
        <v>20944445</v>
      </c>
      <c r="L77" s="267" t="str">
        <f aca="false">IFERROR(__xludf.dummyfunction("""COMPUTED_VALUE"""),"UFA - Bird")</f>
        <v>UFA - Bird</v>
      </c>
      <c r="M77" s="1"/>
      <c r="N77" s="1"/>
      <c r="O77" s="193" t="n">
        <f aca="false">IFERROR(__xludf.dummyfunction("""COMPUTED_VALUE"""),1)</f>
        <v>1</v>
      </c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</row>
    <row r="78" customFormat="false" ht="15.75" hidden="false" customHeight="false" outlineLevel="0" collapsed="false">
      <c r="A78" s="1" t="str">
        <f aca="false">IFERROR(__xludf.dummyfunction("""COMPUTED_VALUE"""),"Matisse Thybulle")</f>
        <v>Matisse Thybulle</v>
      </c>
      <c r="B78" s="267" t="str">
        <f aca="false">IFERROR(__xludf.dummyfunction("""COMPUTED_VALUE"""),"Charlotte Hornets")</f>
        <v>Charlotte Hornets</v>
      </c>
      <c r="C78" s="269" t="n">
        <f aca="false">IFERROR(__xludf.dummyfunction("""COMPUTED_VALUE"""),11025000)</f>
        <v>11025000</v>
      </c>
      <c r="D78" s="1"/>
      <c r="E78" s="269" t="n">
        <f aca="false">IFERROR(__xludf.dummyfunction("""COMPUTED_VALUE"""),11550000)</f>
        <v>11550000</v>
      </c>
      <c r="F78" s="1"/>
      <c r="G78" s="269" t="n">
        <f aca="false">IFERROR(__xludf.dummyfunction("""COMPUTED_VALUE"""),21945000)</f>
        <v>21945000</v>
      </c>
      <c r="H78" s="1" t="str">
        <f aca="false">IFERROR(__xludf.dummyfunction("""COMPUTED_VALUE"""),"UFA - Bird")</f>
        <v>UFA - Bird</v>
      </c>
      <c r="I78" s="269" t="str">
        <f aca="false">IFERROR(__xludf.dummyfunction("""COMPUTED_VALUE"""),"")</f>
        <v/>
      </c>
      <c r="J78" s="1"/>
      <c r="K78" s="1"/>
      <c r="L78" s="1"/>
      <c r="M78" s="1"/>
      <c r="N78" s="1"/>
      <c r="O78" s="193" t="n">
        <f aca="false">IFERROR(__xludf.dummyfunction("""COMPUTED_VALUE"""),1)</f>
        <v>1</v>
      </c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</row>
    <row r="79" customFormat="false" ht="15.75" hidden="false" customHeight="false" outlineLevel="0" collapsed="false">
      <c r="A79" s="1" t="str">
        <f aca="false">IFERROR(__xludf.dummyfunction("""COMPUTED_VALUE"""),"VJ Edgecombe (R)")</f>
        <v>VJ Edgecombe (R)</v>
      </c>
      <c r="B79" s="267" t="str">
        <f aca="false">IFERROR(__xludf.dummyfunction("""COMPUTED_VALUE"""),"Charlotte Hornets")</f>
        <v>Charlotte Hornets</v>
      </c>
      <c r="C79" s="1"/>
      <c r="D79" s="1"/>
      <c r="E79" s="269" t="n">
        <f aca="false">IFERROR(__xludf.dummyfunction("""COMPUTED_VALUE"""),10015680)</f>
        <v>10015680</v>
      </c>
      <c r="F79" s="1"/>
      <c r="G79" s="269" t="n">
        <f aca="false">IFERROR(__xludf.dummyfunction("""COMPUTED_VALUE"""),10516560)</f>
        <v>10516560</v>
      </c>
      <c r="H79" s="1"/>
      <c r="I79" s="269" t="n">
        <f aca="false">IFERROR(__xludf.dummyfunction("""COMPUTED_VALUE"""),11017560)</f>
        <v>11017560</v>
      </c>
      <c r="J79" s="267" t="str">
        <f aca="false">IFERROR(__xludf.dummyfunction("""COMPUTED_VALUE"""),"Club Option")</f>
        <v>Club Option</v>
      </c>
      <c r="K79" s="269" t="n">
        <f aca="false">IFERROR(__xludf.dummyfunction("""COMPUTED_VALUE"""),13937213.4)</f>
        <v>13937213.4</v>
      </c>
      <c r="L79" s="267" t="str">
        <f aca="false">IFERROR(__xludf.dummyfunction("""COMPUTED_VALUE"""),"Club Option")</f>
        <v>Club Option</v>
      </c>
      <c r="M79" s="269" t="n">
        <f aca="false">IFERROR(__xludf.dummyfunction("""COMPUTED_VALUE"""),41811640.2)</f>
        <v>41811640.2</v>
      </c>
      <c r="N79" s="267" t="str">
        <f aca="false">IFERROR(__xludf.dummyfunction("""COMPUTED_VALUE"""),"RFA - Bird")</f>
        <v>RFA - Bird</v>
      </c>
      <c r="O79" s="193" t="n">
        <f aca="false">IFERROR(__xludf.dummyfunction("""COMPUTED_VALUE"""),1)</f>
        <v>1</v>
      </c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</row>
    <row r="80" customFormat="false" ht="15.75" hidden="false" customHeight="false" outlineLevel="0" collapsed="false">
      <c r="A80" s="1" t="str">
        <f aca="false">IFERROR(__xludf.dummyfunction("""COMPUTED_VALUE"""),"Simone Fontecchio")</f>
        <v>Simone Fontecchio</v>
      </c>
      <c r="B80" s="267" t="str">
        <f aca="false">IFERROR(__xludf.dummyfunction("""COMPUTED_VALUE"""),"Charlotte Hornets")</f>
        <v>Charlotte Hornets</v>
      </c>
      <c r="C80" s="1"/>
      <c r="D80" s="1"/>
      <c r="E80" s="269" t="n">
        <f aca="false">IFERROR(__xludf.dummyfunction("""COMPUTED_VALUE"""),8307692)</f>
        <v>8307692</v>
      </c>
      <c r="F80" s="1"/>
      <c r="G80" s="269" t="n">
        <f aca="false">IFERROR(__xludf.dummyfunction("""COMPUTED_VALUE"""),15784615)</f>
        <v>15784615</v>
      </c>
      <c r="H80" s="267" t="str">
        <f aca="false">IFERROR(__xludf.dummyfunction("""COMPUTED_VALUE"""),"UFA - Bird")</f>
        <v>UFA - Bird</v>
      </c>
      <c r="I80" s="269" t="str">
        <f aca="false">IFERROR(__xludf.dummyfunction("""COMPUTED_VALUE"""),"")</f>
        <v/>
      </c>
      <c r="J80" s="1"/>
      <c r="K80" s="1"/>
      <c r="L80" s="1"/>
      <c r="M80" s="1"/>
      <c r="N80" s="1"/>
      <c r="O80" s="193" t="n">
        <f aca="false">IFERROR(__xludf.dummyfunction("""COMPUTED_VALUE"""),1)</f>
        <v>1</v>
      </c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</row>
    <row r="81" customFormat="false" ht="15.75" hidden="false" customHeight="false" outlineLevel="0" collapsed="false">
      <c r="A81" s="1" t="str">
        <f aca="false">IFERROR(__xludf.dummyfunction("""COMPUTED_VALUE"""),"Tidjane Salaun")</f>
        <v>Tidjane Salaun</v>
      </c>
      <c r="B81" s="267" t="str">
        <f aca="false">IFERROR(__xludf.dummyfunction("""COMPUTED_VALUE"""),"Charlotte Hornets")</f>
        <v>Charlotte Hornets</v>
      </c>
      <c r="C81" s="269" t="n">
        <f aca="false">IFERROR(__xludf.dummyfunction("""COMPUTED_VALUE"""),7488720)</f>
        <v>7488720</v>
      </c>
      <c r="D81" s="1"/>
      <c r="E81" s="269" t="n">
        <f aca="false">IFERROR(__xludf.dummyfunction("""COMPUTED_VALUE"""),7863240)</f>
        <v>7863240</v>
      </c>
      <c r="F81" s="1"/>
      <c r="G81" s="269" t="n">
        <f aca="false">IFERROR(__xludf.dummyfunction("""COMPUTED_VALUE"""),8237880)</f>
        <v>8237880</v>
      </c>
      <c r="H81" s="1" t="str">
        <f aca="false">IFERROR(__xludf.dummyfunction("""COMPUTED_VALUE"""),"Club Option")</f>
        <v>Club Option</v>
      </c>
      <c r="I81" s="269" t="n">
        <f aca="false">IFERROR(__xludf.dummyfunction("""COMPUTED_VALUE"""),10445633)</f>
        <v>10445633</v>
      </c>
      <c r="J81" s="1" t="str">
        <f aca="false">IFERROR(__xludf.dummyfunction("""COMPUTED_VALUE"""),"Club Option")</f>
        <v>Club Option</v>
      </c>
      <c r="K81" s="269" t="n">
        <f aca="false">IFERROR(__xludf.dummyfunction("""COMPUTED_VALUE"""),31336899)</f>
        <v>31336899</v>
      </c>
      <c r="L81" s="1" t="str">
        <f aca="false">IFERROR(__xludf.dummyfunction("""COMPUTED_VALUE"""),"RFA - Bird")</f>
        <v>RFA - Bird</v>
      </c>
      <c r="M81" s="1"/>
      <c r="N81" s="1"/>
      <c r="O81" s="193" t="n">
        <f aca="false">IFERROR(__xludf.dummyfunction("""COMPUTED_VALUE"""),1)</f>
        <v>1</v>
      </c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</row>
    <row r="82" customFormat="false" ht="15.75" hidden="false" customHeight="false" outlineLevel="0" collapsed="false">
      <c r="A82" s="1" t="str">
        <f aca="false">IFERROR(__xludf.dummyfunction("""COMPUTED_VALUE"""),"Paul Reed")</f>
        <v>Paul Reed</v>
      </c>
      <c r="B82" s="267" t="str">
        <f aca="false">IFERROR(__xludf.dummyfunction("""COMPUTED_VALUE"""),"Charlotte Hornets")</f>
        <v>Charlotte Hornets</v>
      </c>
      <c r="C82" s="269" t="n">
        <f aca="false">IFERROR(__xludf.dummyfunction("""COMPUTED_VALUE"""),1427671)</f>
        <v>1427671</v>
      </c>
      <c r="D82" s="1"/>
      <c r="E82" s="269" t="n">
        <f aca="false">IFERROR(__xludf.dummyfunction("""COMPUTED_VALUE"""),5300000)</f>
        <v>5300000</v>
      </c>
      <c r="F82" s="1"/>
      <c r="G82" s="269" t="n">
        <f aca="false">IFERROR(__xludf.dummyfunction("""COMPUTED_VALUE"""),5300000)</f>
        <v>5300000</v>
      </c>
      <c r="H82" s="267" t="str">
        <f aca="false">IFERROR(__xludf.dummyfunction("""COMPUTED_VALUE"""),"Club Option")</f>
        <v>Club Option</v>
      </c>
      <c r="I82" s="269" t="n">
        <f aca="false">IFERROR(__xludf.dummyfunction("""COMPUTED_VALUE"""),6890000)</f>
        <v>6890000</v>
      </c>
      <c r="J82" s="267" t="str">
        <f aca="false">IFERROR(__xludf.dummyfunction("""COMPUTED_VALUE"""),"UFA - Early Bird")</f>
        <v>UFA - Early Bird</v>
      </c>
      <c r="K82" s="1"/>
      <c r="L82" s="1"/>
      <c r="M82" s="1"/>
      <c r="N82" s="1"/>
      <c r="O82" s="193" t="n">
        <f aca="false">IFERROR(__xludf.dummyfunction("""COMPUTED_VALUE"""),1)</f>
        <v>1</v>
      </c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</row>
    <row r="83" customFormat="false" ht="15.75" hidden="false" customHeight="false" outlineLevel="0" collapsed="false">
      <c r="A83" s="1" t="str">
        <f aca="false">IFERROR(__xludf.dummyfunction("""COMPUTED_VALUE"""),"Monte Morris")</f>
        <v>Monte Morris</v>
      </c>
      <c r="B83" s="267" t="str">
        <f aca="false">IFERROR(__xludf.dummyfunction("""COMPUTED_VALUE"""),"Charlotte Hornets")</f>
        <v>Charlotte Hornets</v>
      </c>
      <c r="C83" s="269" t="n">
        <f aca="false">IFERROR(__xludf.dummyfunction("""COMPUTED_VALUE"""),2087519)</f>
        <v>2087519</v>
      </c>
      <c r="D83" s="1"/>
      <c r="E83" s="269" t="n">
        <f aca="false">IFERROR(__xludf.dummyfunction("""COMPUTED_VALUE"""),4750000)</f>
        <v>4750000</v>
      </c>
      <c r="F83" s="1"/>
      <c r="G83" s="269" t="n">
        <f aca="false">IFERROR(__xludf.dummyfunction("""COMPUTED_VALUE"""),4750000)</f>
        <v>4750000</v>
      </c>
      <c r="H83" s="267" t="str">
        <f aca="false">IFERROR(__xludf.dummyfunction("""COMPUTED_VALUE"""),"Club Option")</f>
        <v>Club Option</v>
      </c>
      <c r="I83" s="269" t="n">
        <f aca="false">IFERROR(__xludf.dummyfunction("""COMPUTED_VALUE"""),9025000)</f>
        <v>9025000</v>
      </c>
      <c r="J83" s="267" t="str">
        <f aca="false">IFERROR(__xludf.dummyfunction("""COMPUTED_VALUE"""),"UFA - Early Bird")</f>
        <v>UFA - Early Bird</v>
      </c>
      <c r="K83" s="1"/>
      <c r="L83" s="1"/>
      <c r="M83" s="1"/>
      <c r="N83" s="1"/>
      <c r="O83" s="193" t="n">
        <f aca="false">IFERROR(__xludf.dummyfunction("""COMPUTED_VALUE"""),1)</f>
        <v>1</v>
      </c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</row>
    <row r="84" customFormat="false" ht="15.75" hidden="false" customHeight="false" outlineLevel="0" collapsed="false">
      <c r="A84" s="1" t="str">
        <f aca="false">IFERROR(__xludf.dummyfunction("""COMPUTED_VALUE"""),"Jae’Sean Tate")</f>
        <v>Jae’Sean Tate</v>
      </c>
      <c r="B84" s="267" t="str">
        <f aca="false">IFERROR(__xludf.dummyfunction("""COMPUTED_VALUE"""),"Charlotte Hornets")</f>
        <v>Charlotte Hornets</v>
      </c>
      <c r="C84" s="269" t="n">
        <f aca="false">IFERROR(__xludf.dummyfunction("""COMPUTED_VALUE"""),7565217)</f>
        <v>7565217</v>
      </c>
      <c r="D84" s="1"/>
      <c r="E84" s="269" t="n">
        <f aca="false">IFERROR(__xludf.dummyfunction("""COMPUTED_VALUE"""),3800000)</f>
        <v>3800000</v>
      </c>
      <c r="F84" s="1"/>
      <c r="G84" s="269" t="n">
        <f aca="false">IFERROR(__xludf.dummyfunction("""COMPUTED_VALUE"""),3800000)</f>
        <v>3800000</v>
      </c>
      <c r="H84" s="1"/>
      <c r="I84" s="269" t="n">
        <f aca="false">IFERROR(__xludf.dummyfunction("""COMPUTED_VALUE"""),7220000)</f>
        <v>7220000</v>
      </c>
      <c r="J84" s="267" t="str">
        <f aca="false">IFERROR(__xludf.dummyfunction("""COMPUTED_VALUE"""),"UFA - Early Bird")</f>
        <v>UFA - Early Bird</v>
      </c>
      <c r="K84" s="1"/>
      <c r="L84" s="1"/>
      <c r="M84" s="1"/>
      <c r="N84" s="1"/>
      <c r="O84" s="193" t="n">
        <f aca="false">IFERROR(__xludf.dummyfunction("""COMPUTED_VALUE"""),1)</f>
        <v>1</v>
      </c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</row>
    <row r="85" customFormat="false" ht="15.75" hidden="false" customHeight="false" outlineLevel="0" collapsed="false">
      <c r="A85" s="1" t="str">
        <f aca="false">IFERROR(__xludf.dummyfunction("""COMPUTED_VALUE"""),"Nick Smith Jr.")</f>
        <v>Nick Smith Jr.</v>
      </c>
      <c r="B85" s="267" t="str">
        <f aca="false">IFERROR(__xludf.dummyfunction("""COMPUTED_VALUE"""),"Charlotte Hornets")</f>
        <v>Charlotte Hornets</v>
      </c>
      <c r="C85" s="269" t="n">
        <f aca="false">IFERROR(__xludf.dummyfunction("""COMPUTED_VALUE"""),2587200)</f>
        <v>2587200</v>
      </c>
      <c r="D85" s="1"/>
      <c r="E85" s="269" t="n">
        <f aca="false">IFERROR(__xludf.dummyfunction("""COMPUTED_VALUE"""),2710680)</f>
        <v>2710680</v>
      </c>
      <c r="F85" s="1"/>
      <c r="G85" s="269" t="n">
        <f aca="false">IFERROR(__xludf.dummyfunction("""COMPUTED_VALUE"""),4890067)</f>
        <v>4890067</v>
      </c>
      <c r="H85" s="1" t="str">
        <f aca="false">IFERROR(__xludf.dummyfunction("""COMPUTED_VALUE"""),"Club Option")</f>
        <v>Club Option</v>
      </c>
      <c r="I85" s="269" t="n">
        <f aca="false">IFERROR(__xludf.dummyfunction("""COMPUTED_VALUE"""),14670201)</f>
        <v>14670201</v>
      </c>
      <c r="J85" s="1" t="str">
        <f aca="false">IFERROR(__xludf.dummyfunction("""COMPUTED_VALUE"""),"RFA - Bird")</f>
        <v>RFA - Bird</v>
      </c>
      <c r="K85" s="1"/>
      <c r="L85" s="1"/>
      <c r="M85" s="1"/>
      <c r="N85" s="1"/>
      <c r="O85" s="193" t="n">
        <f aca="false">IFERROR(__xludf.dummyfunction("""COMPUTED_VALUE"""),1)</f>
        <v>1</v>
      </c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</row>
    <row r="86" customFormat="false" ht="15.75" hidden="false" customHeight="false" outlineLevel="0" collapsed="false">
      <c r="A86" s="1" t="str">
        <f aca="false">IFERROR(__xludf.dummyfunction("""COMPUTED_VALUE"""),"Xavier Tillman")</f>
        <v>Xavier Tillman</v>
      </c>
      <c r="B86" s="267" t="str">
        <f aca="false">IFERROR(__xludf.dummyfunction("""COMPUTED_VALUE"""),"Charlotte Hornets")</f>
        <v>Charlotte Hornets</v>
      </c>
      <c r="C86" s="269" t="n">
        <f aca="false">IFERROR(__xludf.dummyfunction("""COMPUTED_VALUE"""),2237691)</f>
        <v>2237691</v>
      </c>
      <c r="D86" s="1"/>
      <c r="E86" s="269" t="n">
        <f aca="false">IFERROR(__xludf.dummyfunction("""COMPUTED_VALUE"""),2546675)</f>
        <v>2546675</v>
      </c>
      <c r="F86" s="1"/>
      <c r="G86" s="269" t="n">
        <f aca="false">IFERROR(__xludf.dummyfunction("""COMPUTED_VALUE"""),2525905)</f>
        <v>2525905</v>
      </c>
      <c r="H86" s="1" t="str">
        <f aca="false">IFERROR(__xludf.dummyfunction("""COMPUTED_VALUE"""),"UFA - Bird")</f>
        <v>UFA - Bird</v>
      </c>
      <c r="I86" s="269" t="str">
        <f aca="false">IFERROR(__xludf.dummyfunction("""COMPUTED_VALUE"""),"")</f>
        <v/>
      </c>
      <c r="J86" s="1"/>
      <c r="K86" s="1"/>
      <c r="L86" s="1"/>
      <c r="M86" s="1"/>
      <c r="N86" s="1"/>
      <c r="O86" s="193" t="n">
        <f aca="false">IFERROR(__xludf.dummyfunction("""COMPUTED_VALUE"""),1)</f>
        <v>1</v>
      </c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</row>
    <row r="87" customFormat="false" ht="15.75" hidden="false" customHeight="false" outlineLevel="0" collapsed="false">
      <c r="A87" s="1" t="str">
        <f aca="false">IFERROR(__xludf.dummyfunction("""COMPUTED_VALUE"""),"Trayce Jackson-Davis")</f>
        <v>Trayce Jackson-Davis</v>
      </c>
      <c r="B87" s="267" t="str">
        <f aca="false">IFERROR(__xludf.dummyfunction("""COMPUTED_VALUE"""),"Charlotte Hornets")</f>
        <v>Charlotte Hornets</v>
      </c>
      <c r="C87" s="1"/>
      <c r="D87" s="1"/>
      <c r="E87" s="269" t="n">
        <f aca="false">IFERROR(__xludf.dummyfunction("""COMPUTED_VALUE"""),2221677)</f>
        <v>2221677</v>
      </c>
      <c r="F87" s="1"/>
      <c r="G87" s="269" t="n">
        <f aca="false">IFERROR(__xludf.dummyfunction("""COMPUTED_VALUE"""),2406205)</f>
        <v>2406205</v>
      </c>
      <c r="H87" s="267" t="str">
        <f aca="false">IFERROR(__xludf.dummyfunction("""COMPUTED_VALUE"""),"Club Option")</f>
        <v>Club Option</v>
      </c>
      <c r="I87" s="269" t="n">
        <f aca="false">IFERROR(__xludf.dummyfunction("""COMPUTED_VALUE"""),2957063)</f>
        <v>2957063</v>
      </c>
      <c r="J87" s="267" t="str">
        <f aca="false">IFERROR(__xludf.dummyfunction("""COMPUTED_VALUE"""),"UFA - Bird")</f>
        <v>UFA - Bird</v>
      </c>
      <c r="K87" s="1"/>
      <c r="L87" s="1"/>
      <c r="M87" s="1"/>
      <c r="N87" s="1"/>
      <c r="O87" s="193" t="n">
        <f aca="false">IFERROR(__xludf.dummyfunction("""COMPUTED_VALUE"""),1)</f>
        <v>1</v>
      </c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</row>
    <row r="88" customFormat="false" ht="15.75" hidden="false" customHeight="false" outlineLevel="0" collapsed="false">
      <c r="A88" s="1" t="str">
        <f aca="false">IFERROR(__xludf.dummyfunction("""COMPUTED_VALUE"""),"Taj Gibson")</f>
        <v>Taj Gibson</v>
      </c>
      <c r="B88" s="267" t="str">
        <f aca="false">IFERROR(__xludf.dummyfunction("""COMPUTED_VALUE"""),"Charlotte Hornets")</f>
        <v>Charlotte Hornets</v>
      </c>
      <c r="C88" s="269" t="n">
        <f aca="false">IFERROR(__xludf.dummyfunction("""COMPUTED_VALUE"""),2087519)</f>
        <v>2087519</v>
      </c>
      <c r="D88" s="1"/>
      <c r="E88" s="1"/>
      <c r="F88" s="1" t="str">
        <f aca="false">IFERROR(__xludf.dummyfunction("""COMPUTED_VALUE"""),"UFA - Rights Renounced")</f>
        <v>UFA - Rights Renounced</v>
      </c>
      <c r="G88" s="269" t="str">
        <f aca="false">IFERROR(__xludf.dummyfunction("""COMPUTED_VALUE"""),"")</f>
        <v/>
      </c>
      <c r="H88" s="1"/>
      <c r="I88" s="269" t="str">
        <f aca="false">IFERROR(__xludf.dummyfunction("""COMPUTED_VALUE"""),"")</f>
        <v/>
      </c>
      <c r="J88" s="1"/>
      <c r="K88" s="1"/>
      <c r="L88" s="1"/>
      <c r="M88" s="1"/>
      <c r="N88" s="1"/>
      <c r="O88" s="193" t="n">
        <f aca="false">IFERROR(__xludf.dummyfunction("""COMPUTED_VALUE"""),1)</f>
        <v>1</v>
      </c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</row>
    <row r="89" customFormat="false" ht="15.75" hidden="false" customHeight="false" outlineLevel="0" collapsed="false">
      <c r="A89" s="1" t="str">
        <f aca="false">IFERROR(__xludf.dummyfunction("""COMPUTED_VALUE"""),"Nolan Traore")</f>
        <v>Nolan Traore</v>
      </c>
      <c r="B89" s="267" t="str">
        <f aca="false">IFERROR(__xludf.dummyfunction("""COMPUTED_VALUE"""),"Charlotte Hornets")</f>
        <v>Charlotte Hornets</v>
      </c>
      <c r="C89" s="1"/>
      <c r="D89" s="267" t="str">
        <f aca="false">IFERROR(__xludf.dummyfunction("""COMPUTED_VALUE"""),"Not In League")</f>
        <v>Not In League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93" t="n">
        <f aca="false">IFERROR(__xludf.dummyfunction("""COMPUTED_VALUE"""),1)</f>
        <v>1</v>
      </c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</row>
    <row r="90" customFormat="false" ht="15.75" hidden="false" customHeight="false" outlineLevel="0" collapsed="false">
      <c r="A90" s="1" t="str">
        <f aca="false">IFERROR(__xludf.dummyfunction("""COMPUTED_VALUE"""),"Alex Condon (R)")</f>
        <v>Alex Condon (R)</v>
      </c>
      <c r="B90" s="267" t="str">
        <f aca="false">IFERROR(__xludf.dummyfunction("""COMPUTED_VALUE"""),"Chicago Bulls")</f>
        <v>Chicago Bulls</v>
      </c>
      <c r="C90" s="269" t="str">
        <f aca="false">IFERROR(__xludf.dummyfunction("""COMPUTED_VALUE"""),"Two-Way")</f>
        <v>Two-Way</v>
      </c>
      <c r="D90" s="267" t="str">
        <f aca="false">IFERROR(__xludf.dummyfunction("""COMPUTED_VALUE"""),"Two-Way")</f>
        <v>Two-Way</v>
      </c>
      <c r="E90" s="269" t="str">
        <f aca="false">IFERROR(__xludf.dummyfunction("""COMPUTED_VALUE"""),"Two-Way")</f>
        <v>Two-Way</v>
      </c>
      <c r="F90" s="267" t="str">
        <f aca="false">IFERROR(__xludf.dummyfunction("""COMPUTED_VALUE"""),"Two-Way")</f>
        <v>Two-Way</v>
      </c>
      <c r="G90" s="269" t="n">
        <f aca="false">IFERROR(__xludf.dummyfunction("""COMPUTED_VALUE"""),2253346)</f>
        <v>2253346</v>
      </c>
      <c r="H90" s="267" t="str">
        <f aca="false">IFERROR(__xludf.dummyfunction("""COMPUTED_VALUE"""),"UFA - Two-Way")</f>
        <v>UFA - Two-Way</v>
      </c>
      <c r="I90" s="1"/>
      <c r="J90" s="1"/>
      <c r="K90" s="1"/>
      <c r="L90" s="1"/>
      <c r="M90" s="1"/>
      <c r="N90" s="1"/>
      <c r="O90" s="193" t="n">
        <f aca="false">IFERROR(__xludf.dummyfunction("""COMPUTED_VALUE"""),1)</f>
        <v>1</v>
      </c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</row>
    <row r="91" customFormat="false" ht="15.75" hidden="false" customHeight="false" outlineLevel="0" collapsed="false">
      <c r="A91" s="1" t="str">
        <f aca="false">IFERROR(__xludf.dummyfunction("""COMPUTED_VALUE"""),"Sergio De Larrea (R)")</f>
        <v>Sergio De Larrea (R)</v>
      </c>
      <c r="B91" s="267" t="str">
        <f aca="false">IFERROR(__xludf.dummyfunction("""COMPUTED_VALUE"""),"Chicago Bulls")</f>
        <v>Chicago Bulls</v>
      </c>
      <c r="C91" s="269" t="str">
        <f aca="false">IFERROR(__xludf.dummyfunction("""COMPUTED_VALUE"""),"Two-Way")</f>
        <v>Two-Way</v>
      </c>
      <c r="D91" s="267" t="str">
        <f aca="false">IFERROR(__xludf.dummyfunction("""COMPUTED_VALUE"""),"Two-Way")</f>
        <v>Two-Way</v>
      </c>
      <c r="E91" s="269" t="str">
        <f aca="false">IFERROR(__xludf.dummyfunction("""COMPUTED_VALUE"""),"Two-Way")</f>
        <v>Two-Way</v>
      </c>
      <c r="F91" s="267" t="str">
        <f aca="false">IFERROR(__xludf.dummyfunction("""COMPUTED_VALUE"""),"Two-Way")</f>
        <v>Two-Way</v>
      </c>
      <c r="G91" s="269" t="n">
        <f aca="false">IFERROR(__xludf.dummyfunction("""COMPUTED_VALUE"""),2253346)</f>
        <v>2253346</v>
      </c>
      <c r="H91" s="267" t="str">
        <f aca="false">IFERROR(__xludf.dummyfunction("""COMPUTED_VALUE"""),"UFA - Two-Way")</f>
        <v>UFA - Two-Way</v>
      </c>
      <c r="I91" s="1"/>
      <c r="J91" s="1"/>
      <c r="K91" s="1"/>
      <c r="L91" s="1"/>
      <c r="M91" s="1"/>
      <c r="N91" s="1"/>
      <c r="O91" s="193" t="n">
        <f aca="false">IFERROR(__xludf.dummyfunction("""COMPUTED_VALUE"""),1)</f>
        <v>1</v>
      </c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</row>
    <row r="92" customFormat="false" ht="15.75" hidden="false" customHeight="false" outlineLevel="0" collapsed="false">
      <c r="A92" s="1" t="str">
        <f aca="false">IFERROR(__xludf.dummyfunction("""COMPUTED_VALUE"""),"Jahmir Young")</f>
        <v>Jahmir Young</v>
      </c>
      <c r="B92" s="267" t="str">
        <f aca="false">IFERROR(__xludf.dummyfunction("""COMPUTED_VALUE"""),"Chicago Bulls")</f>
        <v>Chicago Bulls</v>
      </c>
      <c r="C92" s="269" t="str">
        <f aca="false">IFERROR(__xludf.dummyfunction("""COMPUTED_VALUE"""),"Two-way")</f>
        <v>Two-way</v>
      </c>
      <c r="D92" s="267" t="str">
        <f aca="false">IFERROR(__xludf.dummyfunction("""COMPUTED_VALUE"""),"Two-way")</f>
        <v>Two-way</v>
      </c>
      <c r="E92" s="269" t="str">
        <f aca="false">IFERROR(__xludf.dummyfunction("""COMPUTED_VALUE"""),"Two-way")</f>
        <v>Two-way</v>
      </c>
      <c r="F92" s="1" t="str">
        <f aca="false">IFERROR(__xludf.dummyfunction("""COMPUTED_VALUE"""),"Two-way")</f>
        <v>Two-way</v>
      </c>
      <c r="G92" s="269" t="n">
        <f aca="false">IFERROR(__xludf.dummyfunction("""COMPUTED_VALUE"""),2253346)</f>
        <v>2253346</v>
      </c>
      <c r="H92" s="1" t="str">
        <f aca="false">IFERROR(__xludf.dummyfunction("""COMPUTED_VALUE"""),"UFA - Two-way")</f>
        <v>UFA - Two-way</v>
      </c>
      <c r="I92" s="1"/>
      <c r="J92" s="1"/>
      <c r="K92" s="1"/>
      <c r="L92" s="1"/>
      <c r="M92" s="1"/>
      <c r="N92" s="1"/>
      <c r="O92" s="193" t="n">
        <f aca="false">IFERROR(__xludf.dummyfunction("""COMPUTED_VALUE"""),1)</f>
        <v>1</v>
      </c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</row>
    <row r="93" customFormat="false" ht="15.75" hidden="false" customHeight="false" outlineLevel="0" collapsed="false">
      <c r="A93" s="1" t="str">
        <f aca="false">IFERROR(__xludf.dummyfunction("""COMPUTED_VALUE"""),"Fred VanVleet")</f>
        <v>Fred VanVleet</v>
      </c>
      <c r="B93" s="267" t="str">
        <f aca="false">IFERROR(__xludf.dummyfunction("""COMPUTED_VALUE"""),"Chicago Bulls")</f>
        <v>Chicago Bulls</v>
      </c>
      <c r="C93" s="1"/>
      <c r="D93" s="1"/>
      <c r="E93" s="269" t="n">
        <f aca="false">IFERROR(__xludf.dummyfunction("""COMPUTED_VALUE"""),44886930)</f>
        <v>44886930</v>
      </c>
      <c r="F93" s="1"/>
      <c r="G93" s="269" t="n">
        <f aca="false">IFERROR(__xludf.dummyfunction("""COMPUTED_VALUE"""),63365050)</f>
        <v>63365050</v>
      </c>
      <c r="H93" s="267" t="str">
        <f aca="false">IFERROR(__xludf.dummyfunction("""COMPUTED_VALUE"""),"UFA - Bird")</f>
        <v>UFA - Bird</v>
      </c>
      <c r="I93" s="269" t="str">
        <f aca="false">IFERROR(__xludf.dummyfunction("""COMPUTED_VALUE"""),"")</f>
        <v/>
      </c>
      <c r="J93" s="1"/>
      <c r="K93" s="1"/>
      <c r="L93" s="1"/>
      <c r="M93" s="1"/>
      <c r="N93" s="1"/>
      <c r="O93" s="193" t="n">
        <f aca="false">IFERROR(__xludf.dummyfunction("""COMPUTED_VALUE"""),1)</f>
        <v>1</v>
      </c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</row>
    <row r="94" customFormat="false" ht="15.75" hidden="false" customHeight="false" outlineLevel="0" collapsed="false">
      <c r="A94" s="1" t="str">
        <f aca="false">IFERROR(__xludf.dummyfunction("""COMPUTED_VALUE"""),"Jerami Grant")</f>
        <v>Jerami Grant</v>
      </c>
      <c r="B94" s="267" t="str">
        <f aca="false">IFERROR(__xludf.dummyfunction("""COMPUTED_VALUE"""),"Chicago Bulls")</f>
        <v>Chicago Bulls</v>
      </c>
      <c r="C94" s="1"/>
      <c r="D94" s="1"/>
      <c r="E94" s="269" t="n">
        <f aca="false">IFERROR(__xludf.dummyfunction("""COMPUTED_VALUE"""),32000001)</f>
        <v>32000001</v>
      </c>
      <c r="F94" s="1"/>
      <c r="G94" s="269" t="n">
        <f aca="false">IFERROR(__xludf.dummyfunction("""COMPUTED_VALUE"""),34206898)</f>
        <v>34206898</v>
      </c>
      <c r="H94" s="1"/>
      <c r="I94" s="269" t="n">
        <f aca="false">IFERROR(__xludf.dummyfunction("""COMPUTED_VALUE"""),36413790)</f>
        <v>36413790</v>
      </c>
      <c r="J94" s="1" t="str">
        <f aca="false">IFERROR(__xludf.dummyfunction("""COMPUTED_VALUE"""),"Player Option")</f>
        <v>Player Option</v>
      </c>
      <c r="K94" s="269" t="n">
        <f aca="false">IFERROR(__xludf.dummyfunction("""COMPUTED_VALUE"""),54620685)</f>
        <v>54620685</v>
      </c>
      <c r="L94" s="1" t="str">
        <f aca="false">IFERROR(__xludf.dummyfunction("""COMPUTED_VALUE"""),"UFA - Bird")</f>
        <v>UFA - Bird</v>
      </c>
      <c r="M94" s="1"/>
      <c r="N94" s="1"/>
      <c r="O94" s="193" t="n">
        <f aca="false">IFERROR(__xludf.dummyfunction("""COMPUTED_VALUE"""),1)</f>
        <v>1</v>
      </c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</row>
    <row r="95" customFormat="false" ht="15.75" hidden="false" customHeight="false" outlineLevel="0" collapsed="false">
      <c r="A95" s="193" t="str">
        <f aca="false">IFERROR(__xludf.dummyfunction("""COMPUTED_VALUE"""),"Josh Giddey")</f>
        <v>Josh Giddey</v>
      </c>
      <c r="B95" s="271" t="str">
        <f aca="false">IFERROR(__xludf.dummyfunction("""COMPUTED_VALUE"""),"Chicago Bulls")</f>
        <v>Chicago Bulls</v>
      </c>
      <c r="C95" s="272" t="n">
        <f aca="false">IFERROR(__xludf.dummyfunction("""COMPUTED_VALUE"""),8352367)</f>
        <v>8352367</v>
      </c>
      <c r="D95" s="193"/>
      <c r="E95" s="272" t="n">
        <f aca="false">IFERROR(__xludf.dummyfunction("""COMPUTED_VALUE"""),22321428.57)</f>
        <v>22321428.57</v>
      </c>
      <c r="F95" s="193"/>
      <c r="G95" s="272" t="n">
        <f aca="false">IFERROR(__xludf.dummyfunction("""COMPUTED_VALUE"""),24107142.86)</f>
        <v>24107142.86</v>
      </c>
      <c r="H95" s="193"/>
      <c r="I95" s="272" t="n">
        <f aca="false">IFERROR(__xludf.dummyfunction("""COMPUTED_VALUE"""),25892857.14)</f>
        <v>25892857.14</v>
      </c>
      <c r="J95" s="193"/>
      <c r="K95" s="272" t="n">
        <f aca="false">IFERROR(__xludf.dummyfunction("""COMPUTED_VALUE"""),27678571.43)</f>
        <v>27678571.43</v>
      </c>
      <c r="L95" s="193"/>
      <c r="M95" s="272" t="n">
        <f aca="false">IFERROR(__xludf.dummyfunction("""COMPUTED_VALUE"""),41517857.14)</f>
        <v>41517857.14</v>
      </c>
      <c r="N95" s="271" t="str">
        <f aca="false">IFERROR(__xludf.dummyfunction("""COMPUTED_VALUE"""),"UFA - Bird")</f>
        <v>UFA - Bird</v>
      </c>
      <c r="O95" s="193" t="n">
        <f aca="false">IFERROR(__xludf.dummyfunction("""COMPUTED_VALUE"""),1)</f>
        <v>1</v>
      </c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</row>
    <row r="96" customFormat="false" ht="15.75" hidden="false" customHeight="false" outlineLevel="0" collapsed="false">
      <c r="A96" s="193" t="str">
        <f aca="false">IFERROR(__xludf.dummyfunction("""COMPUTED_VALUE"""),"Patrick Williams")</f>
        <v>Patrick Williams</v>
      </c>
      <c r="B96" s="271" t="str">
        <f aca="false">IFERROR(__xludf.dummyfunction("""COMPUTED_VALUE"""),"Chicago Bulls")</f>
        <v>Chicago Bulls</v>
      </c>
      <c r="C96" s="272" t="n">
        <f aca="false">IFERROR(__xludf.dummyfunction("""COMPUTED_VALUE"""),18000000)</f>
        <v>18000000</v>
      </c>
      <c r="D96" s="193"/>
      <c r="E96" s="272" t="n">
        <f aca="false">IFERROR(__xludf.dummyfunction("""COMPUTED_VALUE"""),18000000)</f>
        <v>18000000</v>
      </c>
      <c r="F96" s="193"/>
      <c r="G96" s="272" t="n">
        <f aca="false">IFERROR(__xludf.dummyfunction("""COMPUTED_VALUE"""),18000000)</f>
        <v>18000000</v>
      </c>
      <c r="H96" s="193"/>
      <c r="I96" s="272" t="n">
        <f aca="false">IFERROR(__xludf.dummyfunction("""COMPUTED_VALUE"""),18000000)</f>
        <v>18000000</v>
      </c>
      <c r="J96" s="193"/>
      <c r="K96" s="272" t="n">
        <f aca="false">IFERROR(__xludf.dummyfunction("""COMPUTED_VALUE"""),18000000)</f>
        <v>18000000</v>
      </c>
      <c r="L96" s="193" t="str">
        <f aca="false">IFERROR(__xludf.dummyfunction("""COMPUTED_VALUE"""),"Player Option")</f>
        <v>Player Option</v>
      </c>
      <c r="M96" s="273" t="n">
        <f aca="false">IFERROR(__xludf.dummyfunction("""COMPUTED_VALUE"""),27000000)</f>
        <v>27000000</v>
      </c>
      <c r="N96" s="193" t="str">
        <f aca="false">IFERROR(__xludf.dummyfunction("""COMPUTED_VALUE"""),"UFA - Bird")</f>
        <v>UFA - Bird</v>
      </c>
      <c r="O96" s="193" t="n">
        <f aca="false">IFERROR(__xludf.dummyfunction("""COMPUTED_VALUE"""),1)</f>
        <v>1</v>
      </c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</row>
    <row r="97" customFormat="false" ht="15.75" hidden="false" customHeight="false" outlineLevel="0" collapsed="false">
      <c r="A97" s="193" t="str">
        <f aca="false">IFERROR(__xludf.dummyfunction("""COMPUTED_VALUE"""),"Day'Ron Sharpe")</f>
        <v>Day'Ron Sharpe</v>
      </c>
      <c r="B97" s="271" t="str">
        <f aca="false">IFERROR(__xludf.dummyfunction("""COMPUTED_VALUE"""),"Chicago Bulls")</f>
        <v>Chicago Bulls</v>
      </c>
      <c r="C97" s="272" t="n">
        <f aca="false">IFERROR(__xludf.dummyfunction("""COMPUTED_VALUE"""),3989122)</f>
        <v>3989122</v>
      </c>
      <c r="D97" s="193"/>
      <c r="E97" s="272" t="n">
        <f aca="false">IFERROR(__xludf.dummyfunction("""COMPUTED_VALUE"""),14103788.16)</f>
        <v>14103788.16</v>
      </c>
      <c r="F97" s="193"/>
      <c r="G97" s="272" t="n">
        <f aca="false">IFERROR(__xludf.dummyfunction("""COMPUTED_VALUE"""),14808977.57)</f>
        <v>14808977.57</v>
      </c>
      <c r="H97" s="193"/>
      <c r="I97" s="272" t="n">
        <f aca="false">IFERROR(__xludf.dummyfunction("""COMPUTED_VALUE"""),15549426.45)</f>
        <v>15549426.45</v>
      </c>
      <c r="J97" s="193"/>
      <c r="K97" s="272" t="n">
        <f aca="false">IFERROR(__xludf.dummyfunction("""COMPUTED_VALUE"""),16326897.77)</f>
        <v>16326897.77</v>
      </c>
      <c r="L97" s="271" t="str">
        <f aca="false">IFERROR(__xludf.dummyfunction("""COMPUTED_VALUE"""),"Club Option")</f>
        <v>Club Option</v>
      </c>
      <c r="M97" s="272" t="n">
        <f aca="false">IFERROR(__xludf.dummyfunction("""COMPUTED_VALUE"""),31021105.76)</f>
        <v>31021105.76</v>
      </c>
      <c r="N97" s="271" t="str">
        <f aca="false">IFERROR(__xludf.dummyfunction("""COMPUTED_VALUE"""),"UFA - Bird")</f>
        <v>UFA - Bird</v>
      </c>
      <c r="O97" s="193" t="n">
        <f aca="false">IFERROR(__xludf.dummyfunction("""COMPUTED_VALUE"""),1)</f>
        <v>1</v>
      </c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</row>
    <row r="98" customFormat="false" ht="15.75" hidden="false" customHeight="false" outlineLevel="0" collapsed="false">
      <c r="A98" s="193" t="str">
        <f aca="false">IFERROR(__xludf.dummyfunction("""COMPUTED_VALUE"""),"Grant Williams")</f>
        <v>Grant Williams</v>
      </c>
      <c r="B98" s="271" t="str">
        <f aca="false">IFERROR(__xludf.dummyfunction("""COMPUTED_VALUE"""),"Chicago Bulls")</f>
        <v>Chicago Bulls</v>
      </c>
      <c r="C98" s="272" t="n">
        <f aca="false">IFERROR(__xludf.dummyfunction("""COMPUTED_VALUE"""),13025250)</f>
        <v>13025250</v>
      </c>
      <c r="D98" s="193"/>
      <c r="E98" s="272" t="n">
        <f aca="false">IFERROR(__xludf.dummyfunction("""COMPUTED_VALUE"""),13645500)</f>
        <v>13645500</v>
      </c>
      <c r="F98" s="193"/>
      <c r="G98" s="272" t="n">
        <f aca="false">IFERROR(__xludf.dummyfunction("""COMPUTED_VALUE"""),14265750)</f>
        <v>14265750</v>
      </c>
      <c r="H98" s="193"/>
      <c r="I98" s="272" t="n">
        <f aca="false">IFERROR(__xludf.dummyfunction("""COMPUTED_VALUE"""),21398625)</f>
        <v>21398625</v>
      </c>
      <c r="J98" s="193" t="str">
        <f aca="false">IFERROR(__xludf.dummyfunction("""COMPUTED_VALUE"""),"UFA - Bird")</f>
        <v>UFA - Bird</v>
      </c>
      <c r="K98" s="273"/>
      <c r="L98" s="193"/>
      <c r="M98" s="273"/>
      <c r="N98" s="193"/>
      <c r="O98" s="193" t="n">
        <f aca="false">IFERROR(__xludf.dummyfunction("""COMPUTED_VALUE"""),1)</f>
        <v>1</v>
      </c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</row>
    <row r="99" customFormat="false" ht="15.75" hidden="false" customHeight="false" outlineLevel="0" collapsed="false">
      <c r="A99" s="193" t="str">
        <f aca="false">IFERROR(__xludf.dummyfunction("""COMPUTED_VALUE"""),"Tre Johnson (R)")</f>
        <v>Tre Johnson (R)</v>
      </c>
      <c r="B99" s="271" t="str">
        <f aca="false">IFERROR(__xludf.dummyfunction("""COMPUTED_VALUE"""),"Chicago Bulls")</f>
        <v>Chicago Bulls</v>
      </c>
      <c r="C99" s="273"/>
      <c r="D99" s="193"/>
      <c r="E99" s="272" t="n">
        <f aca="false">IFERROR(__xludf.dummyfunction("""COMPUTED_VALUE"""),8237640)</f>
        <v>8237640</v>
      </c>
      <c r="F99" s="193"/>
      <c r="G99" s="272" t="n">
        <f aca="false">IFERROR(__xludf.dummyfunction("""COMPUTED_VALUE"""),8649600)</f>
        <v>8649600</v>
      </c>
      <c r="H99" s="193"/>
      <c r="I99" s="272" t="n">
        <f aca="false">IFERROR(__xludf.dummyfunction("""COMPUTED_VALUE"""),9061680)</f>
        <v>9061680</v>
      </c>
      <c r="J99" s="271" t="str">
        <f aca="false">IFERROR(__xludf.dummyfunction("""COMPUTED_VALUE"""),"Club Option")</f>
        <v>Club Option</v>
      </c>
      <c r="K99" s="272" t="n">
        <f aca="false">IFERROR(__xludf.dummyfunction("""COMPUTED_VALUE"""),11490210.24)</f>
        <v>11490210.24</v>
      </c>
      <c r="L99" s="271" t="str">
        <f aca="false">IFERROR(__xludf.dummyfunction("""COMPUTED_VALUE"""),"Club Option")</f>
        <v>Club Option</v>
      </c>
      <c r="M99" s="272" t="n">
        <f aca="false">IFERROR(__xludf.dummyfunction("""COMPUTED_VALUE"""),34470630.72)</f>
        <v>34470630.72</v>
      </c>
      <c r="N99" s="271" t="str">
        <f aca="false">IFERROR(__xludf.dummyfunction("""COMPUTED_VALUE"""),"RFA - Bird")</f>
        <v>RFA - Bird</v>
      </c>
      <c r="O99" s="193" t="n">
        <f aca="false">IFERROR(__xludf.dummyfunction("""COMPUTED_VALUE"""),1)</f>
        <v>1</v>
      </c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</row>
    <row r="100" customFormat="false" ht="15.75" hidden="false" customHeight="false" outlineLevel="0" collapsed="false">
      <c r="A100" s="193" t="str">
        <f aca="false">IFERROR(__xludf.dummyfunction("""COMPUTED_VALUE"""),"John Konchar")</f>
        <v>John Konchar</v>
      </c>
      <c r="B100" s="271" t="str">
        <f aca="false">IFERROR(__xludf.dummyfunction("""COMPUTED_VALUE"""),"Chicago Bulls")</f>
        <v>Chicago Bulls</v>
      </c>
      <c r="C100" s="272" t="n">
        <f aca="false">IFERROR(__xludf.dummyfunction("""COMPUTED_VALUE"""),6165000)</f>
        <v>6165000</v>
      </c>
      <c r="D100" s="193"/>
      <c r="E100" s="272" t="n">
        <f aca="false">IFERROR(__xludf.dummyfunction("""COMPUTED_VALUE"""),6165000)</f>
        <v>6165000</v>
      </c>
      <c r="F100" s="193"/>
      <c r="G100" s="272" t="n">
        <f aca="false">IFERROR(__xludf.dummyfunction("""COMPUTED_VALUE"""),6165000)</f>
        <v>6165000</v>
      </c>
      <c r="H100" s="193"/>
      <c r="I100" s="272" t="n">
        <f aca="false">IFERROR(__xludf.dummyfunction("""COMPUTED_VALUE"""),11713500)</f>
        <v>11713500</v>
      </c>
      <c r="J100" s="271" t="str">
        <f aca="false">IFERROR(__xludf.dummyfunction("""COMPUTED_VALUE"""),"UFA - Bird")</f>
        <v>UFA - Bird</v>
      </c>
      <c r="K100" s="273"/>
      <c r="L100" s="193"/>
      <c r="M100" s="273"/>
      <c r="N100" s="193"/>
      <c r="O100" s="193" t="n">
        <f aca="false">IFERROR(__xludf.dummyfunction("""COMPUTED_VALUE"""),1)</f>
        <v>1</v>
      </c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</row>
    <row r="101" customFormat="false" ht="15.75" hidden="false" customHeight="false" outlineLevel="0" collapsed="false">
      <c r="A101" s="193" t="str">
        <f aca="false">IFERROR(__xludf.dummyfunction("""COMPUTED_VALUE"""),"Kasparas Jakucionis (R)")</f>
        <v>Kasparas Jakucionis (R)</v>
      </c>
      <c r="B101" s="271" t="str">
        <f aca="false">IFERROR(__xludf.dummyfunction("""COMPUTED_VALUE"""),"Chicago Bulls")</f>
        <v>Chicago Bulls</v>
      </c>
      <c r="C101" s="273"/>
      <c r="D101" s="193"/>
      <c r="E101" s="272" t="n">
        <f aca="false">IFERROR(__xludf.dummyfunction("""COMPUTED_VALUE"""),5715120)</f>
        <v>5715120</v>
      </c>
      <c r="F101" s="193"/>
      <c r="G101" s="272" t="n">
        <f aca="false">IFERROR(__xludf.dummyfunction("""COMPUTED_VALUE"""),6001080)</f>
        <v>6001080</v>
      </c>
      <c r="H101" s="193"/>
      <c r="I101" s="272" t="n">
        <f aca="false">IFERROR(__xludf.dummyfunction("""COMPUTED_VALUE"""),6286920)</f>
        <v>6286920</v>
      </c>
      <c r="J101" s="271" t="str">
        <f aca="false">IFERROR(__xludf.dummyfunction("""COMPUTED_VALUE"""),"Club Option")</f>
        <v>Club Option</v>
      </c>
      <c r="K101" s="272" t="n">
        <f aca="false">IFERROR(__xludf.dummyfunction("""COMPUTED_VALUE"""),8342742.84)</f>
        <v>8342742.84</v>
      </c>
      <c r="L101" s="271" t="str">
        <f aca="false">IFERROR(__xludf.dummyfunction("""COMPUTED_VALUE"""),"Club Option")</f>
        <v>Club Option</v>
      </c>
      <c r="M101" s="272" t="n">
        <f aca="false">IFERROR(__xludf.dummyfunction("""COMPUTED_VALUE"""),25028228.52)</f>
        <v>25028228.52</v>
      </c>
      <c r="N101" s="271" t="str">
        <f aca="false">IFERROR(__xludf.dummyfunction("""COMPUTED_VALUE"""),"RFA - Bird")</f>
        <v>RFA - Bird</v>
      </c>
      <c r="O101" s="193" t="n">
        <f aca="false">IFERROR(__xludf.dummyfunction("""COMPUTED_VALUE"""),1)</f>
        <v>1</v>
      </c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</row>
    <row r="102" customFormat="false" ht="15.75" hidden="false" customHeight="false" outlineLevel="0" collapsed="false">
      <c r="A102" s="193" t="str">
        <f aca="false">IFERROR(__xludf.dummyfunction("""COMPUTED_VALUE"""),"Matas Buzelis")</f>
        <v>Matas Buzelis</v>
      </c>
      <c r="B102" s="271" t="str">
        <f aca="false">IFERROR(__xludf.dummyfunction("""COMPUTED_VALUE"""),"Chicago Bulls")</f>
        <v>Chicago Bulls</v>
      </c>
      <c r="C102" s="272" t="n">
        <f aca="false">IFERROR(__xludf.dummyfunction("""COMPUTED_VALUE"""),5195520)</f>
        <v>5195520</v>
      </c>
      <c r="D102" s="193"/>
      <c r="E102" s="272" t="n">
        <f aca="false">IFERROR(__xludf.dummyfunction("""COMPUTED_VALUE"""),5455560)</f>
        <v>5455560</v>
      </c>
      <c r="F102" s="193"/>
      <c r="G102" s="272" t="n">
        <f aca="false">IFERROR(__xludf.dummyfunction("""COMPUTED_VALUE"""),5715360)</f>
        <v>5715360</v>
      </c>
      <c r="H102" s="193" t="str">
        <f aca="false">IFERROR(__xludf.dummyfunction("""COMPUTED_VALUE"""),"Club Option")</f>
        <v>Club Option</v>
      </c>
      <c r="I102" s="272" t="n">
        <f aca="false">IFERROR(__xludf.dummyfunction("""COMPUTED_VALUE"""),7584283)</f>
        <v>7584283</v>
      </c>
      <c r="J102" s="193" t="str">
        <f aca="false">IFERROR(__xludf.dummyfunction("""COMPUTED_VALUE"""),"Club Option")</f>
        <v>Club Option</v>
      </c>
      <c r="K102" s="272" t="n">
        <f aca="false">IFERROR(__xludf.dummyfunction("""COMPUTED_VALUE"""),22752849)</f>
        <v>22752849</v>
      </c>
      <c r="L102" s="193" t="str">
        <f aca="false">IFERROR(__xludf.dummyfunction("""COMPUTED_VALUE"""),"RFA - Bird")</f>
        <v>RFA - Bird</v>
      </c>
      <c r="M102" s="273"/>
      <c r="N102" s="193"/>
      <c r="O102" s="193" t="n">
        <f aca="false">IFERROR(__xludf.dummyfunction("""COMPUTED_VALUE"""),1)</f>
        <v>1</v>
      </c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</row>
    <row r="103" customFormat="false" ht="15.75" hidden="false" customHeight="false" outlineLevel="0" collapsed="false">
      <c r="A103" s="193" t="str">
        <f aca="false">IFERROR(__xludf.dummyfunction("""COMPUTED_VALUE"""),"Jordan Clarkson")</f>
        <v>Jordan Clarkson</v>
      </c>
      <c r="B103" s="271" t="str">
        <f aca="false">IFERROR(__xludf.dummyfunction("""COMPUTED_VALUE"""),"Chicago Bulls")</f>
        <v>Chicago Bulls</v>
      </c>
      <c r="C103" s="273"/>
      <c r="D103" s="271" t="str">
        <f aca="false">IFERROR(__xludf.dummyfunction("""COMPUTED_VALUE"""),"Dead Cap")</f>
        <v>Dead Cap</v>
      </c>
      <c r="E103" s="272" t="n">
        <f aca="false">IFERROR(__xludf.dummyfunction("""COMPUTED_VALUE"""),4761904.66666667)</f>
        <v>4761904.667</v>
      </c>
      <c r="F103" s="271" t="str">
        <f aca="false">IFERROR(__xludf.dummyfunction("""COMPUTED_VALUE"""),"Dead Cap")</f>
        <v>Dead Cap</v>
      </c>
      <c r="G103" s="272" t="n">
        <f aca="false">IFERROR(__xludf.dummyfunction("""COMPUTED_VALUE"""),4761904.66666667)</f>
        <v>4761904.667</v>
      </c>
      <c r="H103" s="271" t="str">
        <f aca="false">IFERROR(__xludf.dummyfunction("""COMPUTED_VALUE"""),"Dead Cap")</f>
        <v>Dead Cap</v>
      </c>
      <c r="I103" s="272" t="n">
        <f aca="false">IFERROR(__xludf.dummyfunction("""COMPUTED_VALUE"""),4761904.66666667)</f>
        <v>4761904.667</v>
      </c>
      <c r="J103" s="271" t="str">
        <f aca="false">IFERROR(__xludf.dummyfunction("""COMPUTED_VALUE"""),"Dead Cap")</f>
        <v>Dead Cap</v>
      </c>
      <c r="K103" s="273"/>
      <c r="L103" s="193"/>
      <c r="M103" s="273"/>
      <c r="N103" s="193"/>
      <c r="O103" s="193" t="n">
        <f aca="false">IFERROR(__xludf.dummyfunction("""COMPUTED_VALUE"""),1)</f>
        <v>1</v>
      </c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</row>
    <row r="104" customFormat="false" ht="15.75" hidden="false" customHeight="false" outlineLevel="0" collapsed="false">
      <c r="A104" s="193" t="str">
        <f aca="false">IFERROR(__xludf.dummyfunction("""COMPUTED_VALUE"""),"Olivier-Maxence Prosper")</f>
        <v>Olivier-Maxence Prosper</v>
      </c>
      <c r="B104" s="271" t="str">
        <f aca="false">IFERROR(__xludf.dummyfunction("""COMPUTED_VALUE"""),"Chicago Bulls")</f>
        <v>Chicago Bulls</v>
      </c>
      <c r="C104" s="272" t="n">
        <f aca="false">IFERROR(__xludf.dummyfunction("""COMPUTED_VALUE"""),2870400)</f>
        <v>2870400</v>
      </c>
      <c r="D104" s="193"/>
      <c r="E104" s="272" t="n">
        <f aca="false">IFERROR(__xludf.dummyfunction("""COMPUTED_VALUE"""),3007080)</f>
        <v>3007080</v>
      </c>
      <c r="F104" s="193"/>
      <c r="G104" s="272" t="n">
        <f aca="false">IFERROR(__xludf.dummyfunction("""COMPUTED_VALUE"""),5259383)</f>
        <v>5259383</v>
      </c>
      <c r="H104" s="193" t="str">
        <f aca="false">IFERROR(__xludf.dummyfunction("""COMPUTED_VALUE"""),"Club Option")</f>
        <v>Club Option</v>
      </c>
      <c r="I104" s="272" t="n">
        <f aca="false">IFERROR(__xludf.dummyfunction("""COMPUTED_VALUE"""),15778149)</f>
        <v>15778149</v>
      </c>
      <c r="J104" s="193" t="str">
        <f aca="false">IFERROR(__xludf.dummyfunction("""COMPUTED_VALUE"""),"RFA - Bird")</f>
        <v>RFA - Bird</v>
      </c>
      <c r="K104" s="273"/>
      <c r="L104" s="193"/>
      <c r="M104" s="273"/>
      <c r="N104" s="193"/>
      <c r="O104" s="193" t="n">
        <f aca="false">IFERROR(__xludf.dummyfunction("""COMPUTED_VALUE"""),1)</f>
        <v>1</v>
      </c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</row>
    <row r="105" customFormat="false" ht="15.75" hidden="false" customHeight="false" outlineLevel="0" collapsed="false">
      <c r="A105" s="193" t="str">
        <f aca="false">IFERROR(__xludf.dummyfunction("""COMPUTED_VALUE"""),"Shake Milton")</f>
        <v>Shake Milton</v>
      </c>
      <c r="B105" s="271" t="str">
        <f aca="false">IFERROR(__xludf.dummyfunction("""COMPUTED_VALUE"""),"Chicago Bulls")</f>
        <v>Chicago Bulls</v>
      </c>
      <c r="C105" s="273"/>
      <c r="D105" s="193"/>
      <c r="E105" s="272" t="n">
        <f aca="false">IFERROR(__xludf.dummyfunction("""COMPUTED_VALUE"""),3000000)</f>
        <v>3000000</v>
      </c>
      <c r="F105" s="193"/>
      <c r="G105" s="272" t="n">
        <f aca="false">IFERROR(__xludf.dummyfunction("""COMPUTED_VALUE"""),3287406)</f>
        <v>3287406</v>
      </c>
      <c r="H105" s="271" t="str">
        <f aca="false">IFERROR(__xludf.dummyfunction("""COMPUTED_VALUE"""),"Non Guaranteed")</f>
        <v>Non Guaranteed</v>
      </c>
      <c r="I105" s="272" t="n">
        <f aca="false">IFERROR(__xludf.dummyfunction("""COMPUTED_VALUE"""),5764372)</f>
        <v>5764372</v>
      </c>
      <c r="J105" s="271" t="str">
        <f aca="false">IFERROR(__xludf.dummyfunction("""COMPUTED_VALUE"""),"UFA - Bird")</f>
        <v>UFA - Bird</v>
      </c>
      <c r="K105" s="273"/>
      <c r="L105" s="193"/>
      <c r="M105" s="273"/>
      <c r="N105" s="193"/>
      <c r="O105" s="193" t="n">
        <f aca="false">IFERROR(__xludf.dummyfunction("""COMPUTED_VALUE"""),1)</f>
        <v>1</v>
      </c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</row>
    <row r="106" customFormat="false" ht="15.75" hidden="false" customHeight="false" outlineLevel="0" collapsed="false">
      <c r="A106" s="193" t="str">
        <f aca="false">IFERROR(__xludf.dummyfunction("""COMPUTED_VALUE"""),"Matt Thomas")</f>
        <v>Matt Thomas</v>
      </c>
      <c r="B106" s="271" t="str">
        <f aca="false">IFERROR(__xludf.dummyfunction("""COMPUTED_VALUE"""),"Chicago Bulls")</f>
        <v>Chicago Bulls</v>
      </c>
      <c r="C106" s="272" t="n">
        <f aca="false">IFERROR(__xludf.dummyfunction("""COMPUTED_VALUE"""),2087519)</f>
        <v>2087519</v>
      </c>
      <c r="D106" s="271" t="str">
        <f aca="false">IFERROR(__xludf.dummyfunction("""COMPUTED_VALUE"""),"UFA - Non-Bird")</f>
        <v>UFA - Non-Bird</v>
      </c>
      <c r="E106" s="272" t="n">
        <f aca="false">IFERROR(__xludf.dummyfunction("""COMPUTED_VALUE"""),2296274)</f>
        <v>2296274</v>
      </c>
      <c r="F106" s="193" t="str">
        <f aca="false">IFERROR(__xludf.dummyfunction("""COMPUTED_VALUE"""),"UFA - Non-Bird")</f>
        <v>UFA - Non-Bird</v>
      </c>
      <c r="G106" s="273"/>
      <c r="H106" s="193"/>
      <c r="I106" s="273"/>
      <c r="J106" s="193"/>
      <c r="K106" s="273"/>
      <c r="L106" s="193"/>
      <c r="M106" s="273"/>
      <c r="N106" s="193"/>
      <c r="O106" s="193" t="n">
        <f aca="false">IFERROR(__xludf.dummyfunction("""COMPUTED_VALUE"""),1)</f>
        <v>1</v>
      </c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</row>
    <row r="107" customFormat="false" ht="15.75" hidden="false" customHeight="false" outlineLevel="0" collapsed="false">
      <c r="A107" s="193" t="str">
        <f aca="false">IFERROR(__xludf.dummyfunction("""COMPUTED_VALUE"""),"Talen Horton-Tucker")</f>
        <v>Talen Horton-Tucker</v>
      </c>
      <c r="B107" s="271" t="str">
        <f aca="false">IFERROR(__xludf.dummyfunction("""COMPUTED_VALUE"""),"Chicago Bulls")</f>
        <v>Chicago Bulls</v>
      </c>
      <c r="C107" s="272" t="n">
        <f aca="false">IFERROR(__xludf.dummyfunction("""COMPUTED_VALUE"""),2087519)</f>
        <v>2087519</v>
      </c>
      <c r="D107" s="193"/>
      <c r="E107" s="272" t="n">
        <f aca="false">IFERROR(__xludf.dummyfunction("""COMPUTED_VALUE"""),2296271)</f>
        <v>2296271</v>
      </c>
      <c r="F107" s="193" t="str">
        <f aca="false">IFERROR(__xludf.dummyfunction("""COMPUTED_VALUE"""),"UFA - Non-Bird")</f>
        <v>UFA - Non-Bird</v>
      </c>
      <c r="G107" s="272" t="str">
        <f aca="false">IFERROR(__xludf.dummyfunction("""COMPUTED_VALUE"""),"")</f>
        <v/>
      </c>
      <c r="H107" s="193"/>
      <c r="I107" s="272" t="str">
        <f aca="false">IFERROR(__xludf.dummyfunction("""COMPUTED_VALUE"""),"")</f>
        <v/>
      </c>
      <c r="J107" s="193"/>
      <c r="K107" s="273"/>
      <c r="L107" s="193"/>
      <c r="M107" s="273"/>
      <c r="N107" s="193"/>
      <c r="O107" s="193" t="n">
        <f aca="false">IFERROR(__xludf.dummyfunction("""COMPUTED_VALUE"""),1)</f>
        <v>1</v>
      </c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</row>
    <row r="108" customFormat="false" ht="15.75" hidden="false" customHeight="false" outlineLevel="0" collapsed="false">
      <c r="A108" s="193" t="str">
        <f aca="false">IFERROR(__xludf.dummyfunction("""COMPUTED_VALUE"""),"Julian Phillips")</f>
        <v>Julian Phillips</v>
      </c>
      <c r="B108" s="271" t="str">
        <f aca="false">IFERROR(__xludf.dummyfunction("""COMPUTED_VALUE"""),"Chicago Bulls")</f>
        <v>Chicago Bulls</v>
      </c>
      <c r="C108" s="272" t="n">
        <f aca="false">IFERROR(__xludf.dummyfunction("""COMPUTED_VALUE"""),1891857)</f>
        <v>1891857</v>
      </c>
      <c r="D108" s="193"/>
      <c r="E108" s="272" t="n">
        <f aca="false">IFERROR(__xludf.dummyfunction("""COMPUTED_VALUE"""),2221677)</f>
        <v>2221677</v>
      </c>
      <c r="F108" s="193"/>
      <c r="G108" s="272" t="n">
        <f aca="false">IFERROR(__xludf.dummyfunction("""COMPUTED_VALUE"""),2406205)</f>
        <v>2406205</v>
      </c>
      <c r="H108" s="193" t="str">
        <f aca="false">IFERROR(__xludf.dummyfunction("""COMPUTED_VALUE"""),"Club Option")</f>
        <v>Club Option</v>
      </c>
      <c r="I108" s="272" t="n">
        <f aca="false">IFERROR(__xludf.dummyfunction("""COMPUTED_VALUE"""),2957063)</f>
        <v>2957063</v>
      </c>
      <c r="J108" s="193" t="str">
        <f aca="false">IFERROR(__xludf.dummyfunction("""COMPUTED_VALUE"""),"UFA - Bird")</f>
        <v>UFA - Bird</v>
      </c>
      <c r="K108" s="273"/>
      <c r="L108" s="193"/>
      <c r="M108" s="273"/>
      <c r="N108" s="193"/>
      <c r="O108" s="193" t="n">
        <f aca="false">IFERROR(__xludf.dummyfunction("""COMPUTED_VALUE"""),1)</f>
        <v>1</v>
      </c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</row>
    <row r="109" customFormat="false" ht="15.75" hidden="false" customHeight="false" outlineLevel="0" collapsed="false">
      <c r="A109" s="193" t="str">
        <f aca="false">IFERROR(__xludf.dummyfunction("""COMPUTED_VALUE"""),"Josh Minott")</f>
        <v>Josh Minott</v>
      </c>
      <c r="B109" s="271" t="str">
        <f aca="false">IFERROR(__xludf.dummyfunction("""COMPUTED_VALUE"""),"Chicago Bulls")</f>
        <v>Chicago Bulls</v>
      </c>
      <c r="C109" s="272" t="n">
        <f aca="false">IFERROR(__xludf.dummyfunction("""COMPUTED_VALUE"""),2019699)</f>
        <v>2019699</v>
      </c>
      <c r="D109" s="193"/>
      <c r="E109" s="272" t="n">
        <f aca="false">IFERROR(__xludf.dummyfunction("""COMPUTED_VALUE"""),2187451)</f>
        <v>2187451</v>
      </c>
      <c r="F109" s="193"/>
      <c r="G109" s="272" t="n">
        <f aca="false">IFERROR(__xludf.dummyfunction("""COMPUTED_VALUE"""),2233394)</f>
        <v>2233394</v>
      </c>
      <c r="H109" s="271" t="str">
        <f aca="false">IFERROR(__xludf.dummyfunction("""COMPUTED_VALUE"""),"UFA - Bird")</f>
        <v>UFA - Bird</v>
      </c>
      <c r="I109" s="272" t="str">
        <f aca="false">IFERROR(__xludf.dummyfunction("""COMPUTED_VALUE"""),"")</f>
        <v/>
      </c>
      <c r="J109" s="193"/>
      <c r="K109" s="273"/>
      <c r="L109" s="193"/>
      <c r="M109" s="273"/>
      <c r="N109" s="193"/>
      <c r="O109" s="193" t="n">
        <f aca="false">IFERROR(__xludf.dummyfunction("""COMPUTED_VALUE"""),1)</f>
        <v>1</v>
      </c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</row>
    <row r="110" customFormat="false" ht="15.75" hidden="false" customHeight="false" outlineLevel="0" collapsed="false">
      <c r="A110" s="193" t="str">
        <f aca="false">IFERROR(__xludf.dummyfunction("""COMPUTED_VALUE"""),"Emanuel Miller")</f>
        <v>Emanuel Miller</v>
      </c>
      <c r="B110" s="271" t="str">
        <f aca="false">IFERROR(__xludf.dummyfunction("""COMPUTED_VALUE"""),"Chicago Bulls")</f>
        <v>Chicago Bulls</v>
      </c>
      <c r="C110" s="273"/>
      <c r="D110" s="193"/>
      <c r="E110" s="272" t="n">
        <f aca="false">IFERROR(__xludf.dummyfunction("""COMPUTED_VALUE"""),2048491)</f>
        <v>2048491</v>
      </c>
      <c r="F110" s="193" t="str">
        <f aca="false">IFERROR(__xludf.dummyfunction("""COMPUTED_VALUE"""),"UFA - Two-way")</f>
        <v>UFA - Two-way</v>
      </c>
      <c r="G110" s="273"/>
      <c r="H110" s="193"/>
      <c r="I110" s="273"/>
      <c r="J110" s="193"/>
      <c r="K110" s="273"/>
      <c r="L110" s="193"/>
      <c r="M110" s="273"/>
      <c r="N110" s="193"/>
      <c r="O110" s="193" t="n">
        <f aca="false">IFERROR(__xludf.dummyfunction("""COMPUTED_VALUE"""),1)</f>
        <v>1</v>
      </c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</row>
    <row r="111" customFormat="false" ht="15.75" hidden="false" customHeight="false" outlineLevel="0" collapsed="false">
      <c r="A111" s="193" t="str">
        <f aca="false">IFERROR(__xludf.dummyfunction("""COMPUTED_VALUE"""),"Tyrese Proctor (R)")</f>
        <v>Tyrese Proctor (R)</v>
      </c>
      <c r="B111" s="271" t="str">
        <f aca="false">IFERROR(__xludf.dummyfunction("""COMPUTED_VALUE"""),"Chicago Bulls")</f>
        <v>Chicago Bulls</v>
      </c>
      <c r="C111" s="273"/>
      <c r="D111" s="193"/>
      <c r="E111" s="272" t="n">
        <f aca="false">IFERROR(__xludf.dummyfunction("""COMPUTED_VALUE"""),1272869)</f>
        <v>1272869</v>
      </c>
      <c r="F111" s="193"/>
      <c r="G111" s="272" t="n">
        <f aca="false">IFERROR(__xludf.dummyfunction("""COMPUTED_VALUE"""),2150915.55)</f>
        <v>2150915.55</v>
      </c>
      <c r="H111" s="271" t="str">
        <f aca="false">IFERROR(__xludf.dummyfunction("""COMPUTED_VALUE"""),"Non Guaranteed")</f>
        <v>Non Guaranteed</v>
      </c>
      <c r="I111" s="272" t="n">
        <f aca="false">IFERROR(__xludf.dummyfunction("""COMPUTED_VALUE"""),2525899)</f>
        <v>2525899</v>
      </c>
      <c r="J111" s="271" t="str">
        <f aca="false">IFERROR(__xludf.dummyfunction("""COMPUTED_VALUE"""),"Club Option")</f>
        <v>Club Option</v>
      </c>
      <c r="K111" s="272" t="n">
        <f aca="false">IFERROR(__xludf.dummyfunction("""COMPUTED_VALUE"""),4799206.2)</f>
        <v>4799206.2</v>
      </c>
      <c r="L111" s="271" t="str">
        <f aca="false">IFERROR(__xludf.dummyfunction("""COMPUTED_VALUE"""),"UFA - Bird")</f>
        <v>UFA - Bird</v>
      </c>
      <c r="M111" s="273"/>
      <c r="N111" s="193"/>
      <c r="O111" s="193" t="n">
        <f aca="false">IFERROR(__xludf.dummyfunction("""COMPUTED_VALUE"""),1)</f>
        <v>1</v>
      </c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</row>
    <row r="112" customFormat="false" ht="15.75" hidden="false" customHeight="false" outlineLevel="0" collapsed="false">
      <c r="A112" s="193" t="str">
        <f aca="false">IFERROR(__xludf.dummyfunction("""COMPUTED_VALUE"""),"Nae'qwan Tomlin")</f>
        <v>Nae'qwan Tomlin</v>
      </c>
      <c r="B112" s="271" t="str">
        <f aca="false">IFERROR(__xludf.dummyfunction("""COMPUTED_VALUE"""),"Cleveland Cavaliers")</f>
        <v>Cleveland Cavaliers</v>
      </c>
      <c r="C112" s="272" t="str">
        <f aca="false">IFERROR(__xludf.dummyfunction("""COMPUTED_VALUE"""),"Two-way")</f>
        <v>Two-way</v>
      </c>
      <c r="D112" s="271" t="str">
        <f aca="false">IFERROR(__xludf.dummyfunction("""COMPUTED_VALUE"""),"Two-way")</f>
        <v>Two-way</v>
      </c>
      <c r="E112" s="272" t="str">
        <f aca="false">IFERROR(__xludf.dummyfunction("""COMPUTED_VALUE"""),"Two-way")</f>
        <v>Two-way</v>
      </c>
      <c r="F112" s="193" t="str">
        <f aca="false">IFERROR(__xludf.dummyfunction("""COMPUTED_VALUE"""),"Two-way")</f>
        <v>Two-way</v>
      </c>
      <c r="G112" s="272" t="n">
        <f aca="false">IFERROR(__xludf.dummyfunction("""COMPUTED_VALUE"""),2253346)</f>
        <v>2253346</v>
      </c>
      <c r="H112" s="193" t="str">
        <f aca="false">IFERROR(__xludf.dummyfunction("""COMPUTED_VALUE"""),"UFA - Two-way")</f>
        <v>UFA - Two-way</v>
      </c>
      <c r="I112" s="273"/>
      <c r="J112" s="193"/>
      <c r="K112" s="273"/>
      <c r="L112" s="193"/>
      <c r="M112" s="273"/>
      <c r="N112" s="193"/>
      <c r="O112" s="193" t="n">
        <f aca="false">IFERROR(__xludf.dummyfunction("""COMPUTED_VALUE"""),1)</f>
        <v>1</v>
      </c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</row>
    <row r="113" customFormat="false" ht="15.75" hidden="false" customHeight="false" outlineLevel="0" collapsed="false">
      <c r="A113" s="193" t="str">
        <f aca="false">IFERROR(__xludf.dummyfunction("""COMPUTED_VALUE"""),"Tamar Bates")</f>
        <v>Tamar Bates</v>
      </c>
      <c r="B113" s="271" t="str">
        <f aca="false">IFERROR(__xludf.dummyfunction("""COMPUTED_VALUE"""),"Cleveland Cavaliers")</f>
        <v>Cleveland Cavaliers</v>
      </c>
      <c r="C113" s="272" t="str">
        <f aca="false">IFERROR(__xludf.dummyfunction("""COMPUTED_VALUE"""),"Two-Way")</f>
        <v>Two-Way</v>
      </c>
      <c r="D113" s="271" t="str">
        <f aca="false">IFERROR(__xludf.dummyfunction("""COMPUTED_VALUE"""),"Two-Way")</f>
        <v>Two-Way</v>
      </c>
      <c r="E113" s="272" t="str">
        <f aca="false">IFERROR(__xludf.dummyfunction("""COMPUTED_VALUE"""),"Two-Way")</f>
        <v>Two-Way</v>
      </c>
      <c r="F113" s="271" t="str">
        <f aca="false">IFERROR(__xludf.dummyfunction("""COMPUTED_VALUE"""),"Two-Way")</f>
        <v>Two-Way</v>
      </c>
      <c r="G113" s="272" t="n">
        <f aca="false">IFERROR(__xludf.dummyfunction("""COMPUTED_VALUE"""),2253346)</f>
        <v>2253346</v>
      </c>
      <c r="H113" s="193" t="str">
        <f aca="false">IFERROR(__xludf.dummyfunction("""COMPUTED_VALUE"""),"UFA - Two-Way")</f>
        <v>UFA - Two-Way</v>
      </c>
      <c r="I113" s="273"/>
      <c r="J113" s="193"/>
      <c r="K113" s="273"/>
      <c r="L113" s="193"/>
      <c r="M113" s="273"/>
      <c r="N113" s="193"/>
      <c r="O113" s="193" t="n">
        <f aca="false">IFERROR(__xludf.dummyfunction("""COMPUTED_VALUE"""),1)</f>
        <v>1</v>
      </c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</row>
    <row r="114" customFormat="false" ht="15.75" hidden="false" customHeight="false" outlineLevel="0" collapsed="false">
      <c r="A114" s="193" t="str">
        <f aca="false">IFERROR(__xludf.dummyfunction("""COMPUTED_VALUE"""),"Norchad Omier")</f>
        <v>Norchad Omier</v>
      </c>
      <c r="B114" s="271" t="str">
        <f aca="false">IFERROR(__xludf.dummyfunction("""COMPUTED_VALUE"""),"Cleveland Cavaliers")</f>
        <v>Cleveland Cavaliers</v>
      </c>
      <c r="C114" s="272" t="str">
        <f aca="false">IFERROR(__xludf.dummyfunction("""COMPUTED_VALUE"""),"Two-way")</f>
        <v>Two-way</v>
      </c>
      <c r="D114" s="272" t="str">
        <f aca="false">IFERROR(__xludf.dummyfunction("""COMPUTED_VALUE"""),"Two-way")</f>
        <v>Two-way</v>
      </c>
      <c r="E114" s="272" t="str">
        <f aca="false">IFERROR(__xludf.dummyfunction("""COMPUTED_VALUE"""),"Two-way")</f>
        <v>Two-way</v>
      </c>
      <c r="F114" s="271" t="str">
        <f aca="false">IFERROR(__xludf.dummyfunction("""COMPUTED_VALUE"""),"Two-way")</f>
        <v>Two-way</v>
      </c>
      <c r="G114" s="272" t="n">
        <f aca="false">IFERROR(__xludf.dummyfunction("""COMPUTED_VALUE"""),2253346)</f>
        <v>2253346</v>
      </c>
      <c r="H114" s="271" t="str">
        <f aca="false">IFERROR(__xludf.dummyfunction("""COMPUTED_VALUE"""),"UFA - Two-Way")</f>
        <v>UFA - Two-Way</v>
      </c>
      <c r="I114" s="273"/>
      <c r="J114" s="193"/>
      <c r="K114" s="273"/>
      <c r="L114" s="193"/>
      <c r="M114" s="273"/>
      <c r="N114" s="193"/>
      <c r="O114" s="193" t="n">
        <f aca="false">IFERROR(__xludf.dummyfunction("""COMPUTED_VALUE"""),1)</f>
        <v>1</v>
      </c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</row>
    <row r="115" customFormat="false" ht="15.75" hidden="false" customHeight="false" outlineLevel="0" collapsed="false">
      <c r="A115" s="193" t="str">
        <f aca="false">IFERROR(__xludf.dummyfunction("""COMPUTED_VALUE"""),"Donovan Mitchell")</f>
        <v>Donovan Mitchell</v>
      </c>
      <c r="B115" s="271" t="str">
        <f aca="false">IFERROR(__xludf.dummyfunction("""COMPUTED_VALUE"""),"Cleveland Cavaliers")</f>
        <v>Cleveland Cavaliers</v>
      </c>
      <c r="C115" s="272" t="n">
        <f aca="false">IFERROR(__xludf.dummyfunction("""COMPUTED_VALUE"""),35410310)</f>
        <v>35410310</v>
      </c>
      <c r="D115" s="193"/>
      <c r="E115" s="272" t="n">
        <f aca="false">IFERROR(__xludf.dummyfunction("""COMPUTED_VALUE"""),46394100)</f>
        <v>46394100</v>
      </c>
      <c r="F115" s="193" t="str">
        <f aca="false">IFERROR(__xludf.dummyfunction("""COMPUTED_VALUE"""),"Estimated")</f>
        <v>Estimated</v>
      </c>
      <c r="G115" s="272" t="n">
        <f aca="false">IFERROR(__xludf.dummyfunction("""COMPUTED_VALUE"""),50105628)</f>
        <v>50105628</v>
      </c>
      <c r="H115" s="193" t="str">
        <f aca="false">IFERROR(__xludf.dummyfunction("""COMPUTED_VALUE"""),"Estimated")</f>
        <v>Estimated</v>
      </c>
      <c r="I115" s="272" t="n">
        <f aca="false">IFERROR(__xludf.dummyfunction("""COMPUTED_VALUE"""),53817156)</f>
        <v>53817156</v>
      </c>
      <c r="J115" s="193" t="str">
        <f aca="false">IFERROR(__xludf.dummyfunction("""COMPUTED_VALUE"""),"Player Option")</f>
        <v>Player Option</v>
      </c>
      <c r="K115" s="272" t="n">
        <f aca="false">IFERROR(__xludf.dummyfunction("""COMPUTED_VALUE"""),72042250)</f>
        <v>72042250</v>
      </c>
      <c r="L115" s="193" t="str">
        <f aca="false">IFERROR(__xludf.dummyfunction("""COMPUTED_VALUE"""),"UFA - Bird")</f>
        <v>UFA - Bird</v>
      </c>
      <c r="M115" s="273"/>
      <c r="N115" s="193"/>
      <c r="O115" s="193" t="n">
        <f aca="false">IFERROR(__xludf.dummyfunction("""COMPUTED_VALUE"""),1)</f>
        <v>1</v>
      </c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</row>
    <row r="116" customFormat="false" ht="15.75" hidden="false" customHeight="false" outlineLevel="0" collapsed="false">
      <c r="A116" s="193" t="str">
        <f aca="false">IFERROR(__xludf.dummyfunction("""COMPUTED_VALUE"""),"Evan Mobley")</f>
        <v>Evan Mobley</v>
      </c>
      <c r="B116" s="271" t="str">
        <f aca="false">IFERROR(__xludf.dummyfunction("""COMPUTED_VALUE"""),"Cleveland Cavaliers")</f>
        <v>Cleveland Cavaliers</v>
      </c>
      <c r="C116" s="272" t="n">
        <f aca="false">IFERROR(__xludf.dummyfunction("""COMPUTED_VALUE"""),11227657)</f>
        <v>11227657</v>
      </c>
      <c r="D116" s="193"/>
      <c r="E116" s="272" t="n">
        <f aca="false">IFERROR(__xludf.dummyfunction("""COMPUTED_VALUE"""),38661750)</f>
        <v>38661750</v>
      </c>
      <c r="F116" s="193" t="str">
        <f aca="false">IFERROR(__xludf.dummyfunction("""COMPUTED_VALUE"""),"Estimated")</f>
        <v>Estimated</v>
      </c>
      <c r="G116" s="272" t="n">
        <f aca="false">IFERROR(__xludf.dummyfunction("""COMPUTED_VALUE"""),41754690)</f>
        <v>41754690</v>
      </c>
      <c r="H116" s="193" t="str">
        <f aca="false">IFERROR(__xludf.dummyfunction("""COMPUTED_VALUE"""),"Estimated")</f>
        <v>Estimated</v>
      </c>
      <c r="I116" s="272" t="n">
        <f aca="false">IFERROR(__xludf.dummyfunction("""COMPUTED_VALUE"""),44847630)</f>
        <v>44847630</v>
      </c>
      <c r="J116" s="193" t="str">
        <f aca="false">IFERROR(__xludf.dummyfunction("""COMPUTED_VALUE"""),"Estimated")</f>
        <v>Estimated</v>
      </c>
      <c r="K116" s="272" t="n">
        <f aca="false">IFERROR(__xludf.dummyfunction("""COMPUTED_VALUE"""),47940570)</f>
        <v>47940570</v>
      </c>
      <c r="L116" s="193" t="str">
        <f aca="false">IFERROR(__xludf.dummyfunction("""COMPUTED_VALUE"""),"Estimated")</f>
        <v>Estimated</v>
      </c>
      <c r="M116" s="272" t="n">
        <f aca="false">IFERROR(__xludf.dummyfunction("""COMPUTED_VALUE"""),71910855)</f>
        <v>71910855</v>
      </c>
      <c r="N116" s="193" t="str">
        <f aca="false">IFERROR(__xludf.dummyfunction("""COMPUTED_VALUE"""),"UFA - Bird")</f>
        <v>UFA - Bird</v>
      </c>
      <c r="O116" s="193" t="n">
        <f aca="false">IFERROR(__xludf.dummyfunction("""COMPUTED_VALUE"""),1)</f>
        <v>1</v>
      </c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</row>
    <row r="117" customFormat="false" ht="15.75" hidden="false" customHeight="false" outlineLevel="0" collapsed="false">
      <c r="A117" s="193" t="str">
        <f aca="false">IFERROR(__xludf.dummyfunction("""COMPUTED_VALUE"""),"Jrue Holiday")</f>
        <v>Jrue Holiday</v>
      </c>
      <c r="B117" s="271" t="str">
        <f aca="false">IFERROR(__xludf.dummyfunction("""COMPUTED_VALUE"""),"Cleveland Cavaliers")</f>
        <v>Cleveland Cavaliers</v>
      </c>
      <c r="C117" s="273"/>
      <c r="D117" s="193"/>
      <c r="E117" s="272" t="n">
        <f aca="false">IFERROR(__xludf.dummyfunction("""COMPUTED_VALUE"""),32400000)</f>
        <v>32400000</v>
      </c>
      <c r="F117" s="193"/>
      <c r="G117" s="272" t="n">
        <f aca="false">IFERROR(__xludf.dummyfunction("""COMPUTED_VALUE"""),34800000)</f>
        <v>34800000</v>
      </c>
      <c r="H117" s="193"/>
      <c r="I117" s="272" t="n">
        <f aca="false">IFERROR(__xludf.dummyfunction("""COMPUTED_VALUE"""),37200000)</f>
        <v>37200000</v>
      </c>
      <c r="J117" s="193" t="str">
        <f aca="false">IFERROR(__xludf.dummyfunction("""COMPUTED_VALUE"""),"Player Option")</f>
        <v>Player Option</v>
      </c>
      <c r="K117" s="272" t="n">
        <f aca="false">IFERROR(__xludf.dummyfunction("""COMPUTED_VALUE"""),55800000)</f>
        <v>55800000</v>
      </c>
      <c r="L117" s="193" t="str">
        <f aca="false">IFERROR(__xludf.dummyfunction("""COMPUTED_VALUE"""),"UFA - Bird")</f>
        <v>UFA - Bird</v>
      </c>
      <c r="M117" s="273"/>
      <c r="N117" s="193"/>
      <c r="O117" s="193" t="n">
        <f aca="false">IFERROR(__xludf.dummyfunction("""COMPUTED_VALUE"""),1)</f>
        <v>1</v>
      </c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</row>
    <row r="118" customFormat="false" ht="15.75" hidden="false" customHeight="false" outlineLevel="0" collapsed="false">
      <c r="A118" s="193" t="str">
        <f aca="false">IFERROR(__xludf.dummyfunction("""COMPUTED_VALUE"""),"De'Andre Hunter")</f>
        <v>De'Andre Hunter</v>
      </c>
      <c r="B118" s="271" t="str">
        <f aca="false">IFERROR(__xludf.dummyfunction("""COMPUTED_VALUE"""),"Cleveland Cavaliers")</f>
        <v>Cleveland Cavaliers</v>
      </c>
      <c r="C118" s="272" t="n">
        <f aca="false">IFERROR(__xludf.dummyfunction("""COMPUTED_VALUE"""),21696429)</f>
        <v>21696429</v>
      </c>
      <c r="D118" s="193"/>
      <c r="E118" s="272" t="n">
        <f aca="false">IFERROR(__xludf.dummyfunction("""COMPUTED_VALUE"""),23303571)</f>
        <v>23303571</v>
      </c>
      <c r="F118" s="193"/>
      <c r="G118" s="272" t="n">
        <f aca="false">IFERROR(__xludf.dummyfunction("""COMPUTED_VALUE"""),24910714)</f>
        <v>24910714</v>
      </c>
      <c r="H118" s="193"/>
      <c r="I118" s="272" t="n">
        <f aca="false">IFERROR(__xludf.dummyfunction("""COMPUTED_VALUE"""),37366071)</f>
        <v>37366071</v>
      </c>
      <c r="J118" s="193" t="str">
        <f aca="false">IFERROR(__xludf.dummyfunction("""COMPUTED_VALUE"""),"UFA - Bird")</f>
        <v>UFA - Bird</v>
      </c>
      <c r="K118" s="273"/>
      <c r="L118" s="193"/>
      <c r="M118" s="273"/>
      <c r="N118" s="193"/>
      <c r="O118" s="193" t="n">
        <f aca="false">IFERROR(__xludf.dummyfunction("""COMPUTED_VALUE"""),1)</f>
        <v>1</v>
      </c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</row>
    <row r="119" customFormat="false" ht="15.75" hidden="false" customHeight="false" outlineLevel="0" collapsed="false">
      <c r="A119" s="193" t="str">
        <f aca="false">IFERROR(__xludf.dummyfunction("""COMPUTED_VALUE"""),"Cameron Johnson")</f>
        <v>Cameron Johnson</v>
      </c>
      <c r="B119" s="271" t="str">
        <f aca="false">IFERROR(__xludf.dummyfunction("""COMPUTED_VALUE"""),"Cleveland Cavaliers")</f>
        <v>Cleveland Cavaliers</v>
      </c>
      <c r="C119" s="272" t="n">
        <f aca="false">IFERROR(__xludf.dummyfunction("""COMPUTED_VALUE"""),22500000)</f>
        <v>22500000</v>
      </c>
      <c r="D119" s="193"/>
      <c r="E119" s="272" t="n">
        <f aca="false">IFERROR(__xludf.dummyfunction("""COMPUTED_VALUE"""),20543478)</f>
        <v>20543478</v>
      </c>
      <c r="F119" s="193"/>
      <c r="G119" s="272" t="n">
        <f aca="false">IFERROR(__xludf.dummyfunction("""COMPUTED_VALUE"""),22500000)</f>
        <v>22500000</v>
      </c>
      <c r="H119" s="193"/>
      <c r="I119" s="272" t="n">
        <f aca="false">IFERROR(__xludf.dummyfunction("""COMPUTED_VALUE"""),35437500)</f>
        <v>35437500</v>
      </c>
      <c r="J119" s="193" t="str">
        <f aca="false">IFERROR(__xludf.dummyfunction("""COMPUTED_VALUE"""),"UFA - Bird")</f>
        <v>UFA - Bird</v>
      </c>
      <c r="K119" s="273"/>
      <c r="L119" s="193"/>
      <c r="M119" s="273"/>
      <c r="N119" s="193"/>
      <c r="O119" s="193" t="n">
        <f aca="false">IFERROR(__xludf.dummyfunction("""COMPUTED_VALUE"""),1)</f>
        <v>1</v>
      </c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</row>
    <row r="120" customFormat="false" ht="15.75" hidden="false" customHeight="false" outlineLevel="0" collapsed="false">
      <c r="A120" s="193" t="str">
        <f aca="false">IFERROR(__xludf.dummyfunction("""COMPUTED_VALUE"""),"Brandon Clarke")</f>
        <v>Brandon Clarke</v>
      </c>
      <c r="B120" s="271" t="str">
        <f aca="false">IFERROR(__xludf.dummyfunction("""COMPUTED_VALUE"""),"Cleveland Cavaliers")</f>
        <v>Cleveland Cavaliers</v>
      </c>
      <c r="C120" s="272" t="n">
        <f aca="false">IFERROR(__xludf.dummyfunction("""COMPUTED_VALUE"""),12500000)</f>
        <v>12500000</v>
      </c>
      <c r="D120" s="193"/>
      <c r="E120" s="272" t="n">
        <f aca="false">IFERROR(__xludf.dummyfunction("""COMPUTED_VALUE"""),12500000)</f>
        <v>12500000</v>
      </c>
      <c r="F120" s="193"/>
      <c r="G120" s="272" t="n">
        <f aca="false">IFERROR(__xludf.dummyfunction("""COMPUTED_VALUE"""),12500000)</f>
        <v>12500000</v>
      </c>
      <c r="H120" s="193"/>
      <c r="I120" s="272" t="n">
        <f aca="false">IFERROR(__xludf.dummyfunction("""COMPUTED_VALUE"""),18750000)</f>
        <v>18750000</v>
      </c>
      <c r="J120" s="271" t="str">
        <f aca="false">IFERROR(__xludf.dummyfunction("""COMPUTED_VALUE"""),"UFA - Bird")</f>
        <v>UFA - Bird</v>
      </c>
      <c r="K120" s="273"/>
      <c r="L120" s="193"/>
      <c r="M120" s="273"/>
      <c r="N120" s="193"/>
      <c r="O120" s="193" t="n">
        <f aca="false">IFERROR(__xludf.dummyfunction("""COMPUTED_VALUE"""),1)</f>
        <v>1</v>
      </c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</row>
    <row r="121" customFormat="false" ht="15.75" hidden="false" customHeight="false" outlineLevel="0" collapsed="false">
      <c r="A121" s="193" t="str">
        <f aca="false">IFERROR(__xludf.dummyfunction("""COMPUTED_VALUE"""),"Wendell Carter Jr.")</f>
        <v>Wendell Carter Jr.</v>
      </c>
      <c r="B121" s="271" t="str">
        <f aca="false">IFERROR(__xludf.dummyfunction("""COMPUTED_VALUE"""),"Cleveland Cavaliers")</f>
        <v>Cleveland Cavaliers</v>
      </c>
      <c r="C121" s="272" t="n">
        <f aca="false">IFERROR(__xludf.dummyfunction("""COMPUTED_VALUE"""),11950000)</f>
        <v>11950000</v>
      </c>
      <c r="D121" s="193"/>
      <c r="E121" s="272" t="n">
        <f aca="false">IFERROR(__xludf.dummyfunction("""COMPUTED_VALUE"""),10850000)</f>
        <v>10850000</v>
      </c>
      <c r="F121" s="193"/>
      <c r="G121" s="272" t="n">
        <f aca="false">IFERROR(__xludf.dummyfunction("""COMPUTED_VALUE"""),18102000)</f>
        <v>18102000</v>
      </c>
      <c r="H121" s="193"/>
      <c r="I121" s="272" t="n">
        <f aca="false">IFERROR(__xludf.dummyfunction("""COMPUTED_VALUE"""),19550160)</f>
        <v>19550160</v>
      </c>
      <c r="J121" s="193"/>
      <c r="K121" s="272" t="n">
        <f aca="false">IFERROR(__xludf.dummyfunction("""COMPUTED_VALUE"""),20998320)</f>
        <v>20998320</v>
      </c>
      <c r="L121" s="193" t="str">
        <f aca="false">IFERROR(__xludf.dummyfunction("""COMPUTED_VALUE"""),"Club Option")</f>
        <v>Club Option</v>
      </c>
      <c r="M121" s="272" t="n">
        <f aca="false">IFERROR(__xludf.dummyfunction("""COMPUTED_VALUE"""),31497480)</f>
        <v>31497480</v>
      </c>
      <c r="N121" s="193" t="str">
        <f aca="false">IFERROR(__xludf.dummyfunction("""COMPUTED_VALUE"""),"UFA - Bird")</f>
        <v>UFA - Bird</v>
      </c>
      <c r="O121" s="193" t="n">
        <f aca="false">IFERROR(__xludf.dummyfunction("""COMPUTED_VALUE"""),1)</f>
        <v>1</v>
      </c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</row>
    <row r="122" customFormat="false" ht="15.75" hidden="false" customHeight="false" outlineLevel="0" collapsed="false">
      <c r="A122" s="193" t="str">
        <f aca="false">IFERROR(__xludf.dummyfunction("""COMPUTED_VALUE"""),"Jaden Hardy")</f>
        <v>Jaden Hardy</v>
      </c>
      <c r="B122" s="271" t="str">
        <f aca="false">IFERROR(__xludf.dummyfunction("""COMPUTED_VALUE"""),"Cleveland Cavaliers")</f>
        <v>Cleveland Cavaliers</v>
      </c>
      <c r="C122" s="272" t="n">
        <f aca="false">IFERROR(__xludf.dummyfunction("""COMPUTED_VALUE"""),2019699)</f>
        <v>2019699</v>
      </c>
      <c r="D122" s="193"/>
      <c r="E122" s="272" t="n">
        <f aca="false">IFERROR(__xludf.dummyfunction("""COMPUTED_VALUE"""),6000000)</f>
        <v>6000000</v>
      </c>
      <c r="F122" s="193"/>
      <c r="G122" s="272" t="n">
        <f aca="false">IFERROR(__xludf.dummyfunction("""COMPUTED_VALUE"""),6000000)</f>
        <v>6000000</v>
      </c>
      <c r="H122" s="193"/>
      <c r="I122" s="272" t="n">
        <f aca="false">IFERROR(__xludf.dummyfunction("""COMPUTED_VALUE"""),6000000)</f>
        <v>6000000</v>
      </c>
      <c r="J122" s="193" t="str">
        <f aca="false">IFERROR(__xludf.dummyfunction("""COMPUTED_VALUE"""),"Club Option")</f>
        <v>Club Option</v>
      </c>
      <c r="K122" s="272" t="n">
        <f aca="false">IFERROR(__xludf.dummyfunction("""COMPUTED_VALUE"""),11400000)</f>
        <v>11400000</v>
      </c>
      <c r="L122" s="193" t="str">
        <f aca="false">IFERROR(__xludf.dummyfunction("""COMPUTED_VALUE"""),"UFA - Bird")</f>
        <v>UFA - Bird</v>
      </c>
      <c r="M122" s="273"/>
      <c r="N122" s="193"/>
      <c r="O122" s="193" t="n">
        <f aca="false">IFERROR(__xludf.dummyfunction("""COMPUTED_VALUE"""),1)</f>
        <v>1</v>
      </c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</row>
    <row r="123" customFormat="false" ht="15.75" hidden="false" customHeight="false" outlineLevel="0" collapsed="false">
      <c r="A123" s="193" t="str">
        <f aca="false">IFERROR(__xludf.dummyfunction("""COMPUTED_VALUE"""),"Jaylon Tyson")</f>
        <v>Jaylon Tyson</v>
      </c>
      <c r="B123" s="271" t="str">
        <f aca="false">IFERROR(__xludf.dummyfunction("""COMPUTED_VALUE"""),"Cleveland Cavaliers")</f>
        <v>Cleveland Cavaliers</v>
      </c>
      <c r="C123" s="272" t="n">
        <f aca="false">IFERROR(__xludf.dummyfunction("""COMPUTED_VALUE"""),3326160)</f>
        <v>3326160</v>
      </c>
      <c r="D123" s="193"/>
      <c r="E123" s="272" t="n">
        <f aca="false">IFERROR(__xludf.dummyfunction("""COMPUTED_VALUE"""),3492480)</f>
        <v>3492480</v>
      </c>
      <c r="F123" s="193"/>
      <c r="G123" s="272" t="n">
        <f aca="false">IFERROR(__xludf.dummyfunction("""COMPUTED_VALUE"""),3658560)</f>
        <v>3658560</v>
      </c>
      <c r="H123" s="193" t="str">
        <f aca="false">IFERROR(__xludf.dummyfunction("""COMPUTED_VALUE"""),"Club Option")</f>
        <v>Club Option</v>
      </c>
      <c r="I123" s="272" t="n">
        <f aca="false">IFERROR(__xludf.dummyfunction("""COMPUTED_VALUE"""),5641500)</f>
        <v>5641500</v>
      </c>
      <c r="J123" s="193" t="str">
        <f aca="false">IFERROR(__xludf.dummyfunction("""COMPUTED_VALUE"""),"Club Option")</f>
        <v>Club Option</v>
      </c>
      <c r="K123" s="272" t="n">
        <f aca="false">IFERROR(__xludf.dummyfunction("""COMPUTED_VALUE"""),16924500)</f>
        <v>16924500</v>
      </c>
      <c r="L123" s="193" t="str">
        <f aca="false">IFERROR(__xludf.dummyfunction("""COMPUTED_VALUE"""),"RFA - Bird")</f>
        <v>RFA - Bird</v>
      </c>
      <c r="M123" s="273"/>
      <c r="N123" s="193"/>
      <c r="O123" s="193" t="n">
        <f aca="false">IFERROR(__xludf.dummyfunction("""COMPUTED_VALUE"""),1)</f>
        <v>1</v>
      </c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</row>
    <row r="124" customFormat="false" ht="15.75" hidden="false" customHeight="false" outlineLevel="0" collapsed="false">
      <c r="A124" s="193" t="str">
        <f aca="false">IFERROR(__xludf.dummyfunction("""COMPUTED_VALUE"""),"Noah Clowney")</f>
        <v>Noah Clowney</v>
      </c>
      <c r="B124" s="271" t="str">
        <f aca="false">IFERROR(__xludf.dummyfunction("""COMPUTED_VALUE"""),"Cleveland Cavaliers")</f>
        <v>Cleveland Cavaliers</v>
      </c>
      <c r="C124" s="272" t="n">
        <f aca="false">IFERROR(__xludf.dummyfunction("""COMPUTED_VALUE"""),3244080)</f>
        <v>3244080</v>
      </c>
      <c r="D124" s="193"/>
      <c r="E124" s="272" t="n">
        <f aca="false">IFERROR(__xludf.dummyfunction("""COMPUTED_VALUE"""),3398640)</f>
        <v>3398640</v>
      </c>
      <c r="F124" s="193"/>
      <c r="G124" s="272" t="n">
        <f aca="false">IFERROR(__xludf.dummyfunction("""COMPUTED_VALUE"""),5414034)</f>
        <v>5414034</v>
      </c>
      <c r="H124" s="193" t="str">
        <f aca="false">IFERROR(__xludf.dummyfunction("""COMPUTED_VALUE"""),"Club Option")</f>
        <v>Club Option</v>
      </c>
      <c r="I124" s="272" t="n">
        <f aca="false">IFERROR(__xludf.dummyfunction("""COMPUTED_VALUE"""),16242102)</f>
        <v>16242102</v>
      </c>
      <c r="J124" s="193" t="str">
        <f aca="false">IFERROR(__xludf.dummyfunction("""COMPUTED_VALUE"""),"RFA - Bird")</f>
        <v>RFA - Bird</v>
      </c>
      <c r="K124" s="273"/>
      <c r="L124" s="193"/>
      <c r="M124" s="273"/>
      <c r="N124" s="193"/>
      <c r="O124" s="193" t="n">
        <f aca="false">IFERROR(__xludf.dummyfunction("""COMPUTED_VALUE"""),1)</f>
        <v>1</v>
      </c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</row>
    <row r="125" customFormat="false" ht="15.75" hidden="false" customHeight="false" outlineLevel="0" collapsed="false">
      <c r="A125" s="193" t="str">
        <f aca="false">IFERROR(__xludf.dummyfunction("""COMPUTED_VALUE"""),"Chuma Okeke")</f>
        <v>Chuma Okeke</v>
      </c>
      <c r="B125" s="271" t="str">
        <f aca="false">IFERROR(__xludf.dummyfunction("""COMPUTED_VALUE"""),"Cleveland Cavaliers")</f>
        <v>Cleveland Cavaliers</v>
      </c>
      <c r="C125" s="272" t="n">
        <f aca="false">IFERROR(__xludf.dummyfunction("""COMPUTED_VALUE"""),115743)</f>
        <v>115743</v>
      </c>
      <c r="D125" s="193"/>
      <c r="E125" s="272" t="n">
        <f aca="false">IFERROR(__xludf.dummyfunction("""COMPUTED_VALUE"""),2546675)</f>
        <v>2546675</v>
      </c>
      <c r="F125" s="193"/>
      <c r="G125" s="272" t="n">
        <f aca="false">IFERROR(__xludf.dummyfunction("""COMPUTED_VALUE"""),2525905)</f>
        <v>2525905</v>
      </c>
      <c r="H125" s="193" t="str">
        <f aca="false">IFERROR(__xludf.dummyfunction("""COMPUTED_VALUE"""),"UFA - Early Bird")</f>
        <v>UFA - Early Bird</v>
      </c>
      <c r="I125" s="272" t="str">
        <f aca="false">IFERROR(__xludf.dummyfunction("""COMPUTED_VALUE"""),"")</f>
        <v/>
      </c>
      <c r="J125" s="193"/>
      <c r="K125" s="273"/>
      <c r="L125" s="193"/>
      <c r="M125" s="273"/>
      <c r="N125" s="193"/>
      <c r="O125" s="193" t="n">
        <f aca="false">IFERROR(__xludf.dummyfunction("""COMPUTED_VALUE"""),1)</f>
        <v>1</v>
      </c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</row>
    <row r="126" customFormat="false" ht="15.75" hidden="false" customHeight="false" outlineLevel="0" collapsed="false">
      <c r="A126" s="193" t="str">
        <f aca="false">IFERROR(__xludf.dummyfunction("""COMPUTED_VALUE"""),"Damian Jones")</f>
        <v>Damian Jones</v>
      </c>
      <c r="B126" s="271" t="str">
        <f aca="false">IFERROR(__xludf.dummyfunction("""COMPUTED_VALUE"""),"Cleveland Cavaliers")</f>
        <v>Cleveland Cavaliers</v>
      </c>
      <c r="C126" s="272" t="n">
        <f aca="false">IFERROR(__xludf.dummyfunction("""COMPUTED_VALUE"""),2087519)</f>
        <v>2087519</v>
      </c>
      <c r="D126" s="271" t="str">
        <f aca="false">IFERROR(__xludf.dummyfunction("""COMPUTED_VALUE"""),"UFA - Non-Bird")</f>
        <v>UFA - Non-Bird</v>
      </c>
      <c r="E126" s="272" t="n">
        <f aca="false">IFERROR(__xludf.dummyfunction("""COMPUTED_VALUE"""),2296274)</f>
        <v>2296274</v>
      </c>
      <c r="F126" s="193" t="str">
        <f aca="false">IFERROR(__xludf.dummyfunction("""COMPUTED_VALUE"""),"UFA - Non-Bird")</f>
        <v>UFA - Non-Bird</v>
      </c>
      <c r="G126" s="273"/>
      <c r="H126" s="193"/>
      <c r="I126" s="273"/>
      <c r="J126" s="193"/>
      <c r="K126" s="273"/>
      <c r="L126" s="193"/>
      <c r="M126" s="273"/>
      <c r="N126" s="193"/>
      <c r="O126" s="193" t="n">
        <f aca="false">IFERROR(__xludf.dummyfunction("""COMPUTED_VALUE"""),1)</f>
        <v>1</v>
      </c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</row>
    <row r="127" customFormat="false" ht="15.75" hidden="false" customHeight="false" outlineLevel="0" collapsed="false">
      <c r="A127" s="193" t="str">
        <f aca="false">IFERROR(__xludf.dummyfunction("""COMPUTED_VALUE"""),"Ed Davis")</f>
        <v>Ed Davis</v>
      </c>
      <c r="B127" s="271" t="str">
        <f aca="false">IFERROR(__xludf.dummyfunction("""COMPUTED_VALUE"""),"Cleveland Cavaliers")</f>
        <v>Cleveland Cavaliers</v>
      </c>
      <c r="C127" s="272" t="n">
        <f aca="false">IFERROR(__xludf.dummyfunction("""COMPUTED_VALUE"""),2087519)</f>
        <v>2087519</v>
      </c>
      <c r="D127" s="271" t="str">
        <f aca="false">IFERROR(__xludf.dummyfunction("""COMPUTED_VALUE"""),"UFA - Non-Bird")</f>
        <v>UFA - Non-Bird</v>
      </c>
      <c r="E127" s="272" t="n">
        <f aca="false">IFERROR(__xludf.dummyfunction("""COMPUTED_VALUE"""),2296274)</f>
        <v>2296274</v>
      </c>
      <c r="F127" s="193" t="str">
        <f aca="false">IFERROR(__xludf.dummyfunction("""COMPUTED_VALUE"""),"UFA - Non-Bird")</f>
        <v>UFA - Non-Bird</v>
      </c>
      <c r="G127" s="273"/>
      <c r="H127" s="193"/>
      <c r="I127" s="273"/>
      <c r="J127" s="193"/>
      <c r="K127" s="273"/>
      <c r="L127" s="193"/>
      <c r="M127" s="273"/>
      <c r="N127" s="193"/>
      <c r="O127" s="193" t="n">
        <f aca="false">IFERROR(__xludf.dummyfunction("""COMPUTED_VALUE"""),1)</f>
        <v>1</v>
      </c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</row>
    <row r="128" customFormat="false" ht="15.75" hidden="false" customHeight="false" outlineLevel="0" collapsed="false">
      <c r="A128" s="193" t="str">
        <f aca="false">IFERROR(__xludf.dummyfunction("""COMPUTED_VALUE"""),"Javonte Green")</f>
        <v>Javonte Green</v>
      </c>
      <c r="B128" s="271" t="str">
        <f aca="false">IFERROR(__xludf.dummyfunction("""COMPUTED_VALUE"""),"Cleveland Cavaliers")</f>
        <v>Cleveland Cavaliers</v>
      </c>
      <c r="C128" s="272" t="n">
        <f aca="false">IFERROR(__xludf.dummyfunction("""COMPUTED_VALUE"""),599862)</f>
        <v>599862</v>
      </c>
      <c r="D128" s="193"/>
      <c r="E128" s="272" t="n">
        <f aca="false">IFERROR(__xludf.dummyfunction("""COMPUTED_VALUE"""),2296274)</f>
        <v>2296274</v>
      </c>
      <c r="F128" s="193" t="str">
        <f aca="false">IFERROR(__xludf.dummyfunction("""COMPUTED_VALUE"""),"UFA - Non-Bird")</f>
        <v>UFA - Non-Bird</v>
      </c>
      <c r="G128" s="272" t="str">
        <f aca="false">IFERROR(__xludf.dummyfunction("""COMPUTED_VALUE"""),"")</f>
        <v/>
      </c>
      <c r="H128" s="193"/>
      <c r="I128" s="272" t="str">
        <f aca="false">IFERROR(__xludf.dummyfunction("""COMPUTED_VALUE"""),"")</f>
        <v/>
      </c>
      <c r="J128" s="193"/>
      <c r="K128" s="273"/>
      <c r="L128" s="193"/>
      <c r="M128" s="273"/>
      <c r="N128" s="193"/>
      <c r="O128" s="193" t="n">
        <f aca="false">IFERROR(__xludf.dummyfunction("""COMPUTED_VALUE"""),1)</f>
        <v>1</v>
      </c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</row>
    <row r="129" customFormat="false" ht="15.75" hidden="false" customHeight="false" outlineLevel="0" collapsed="false">
      <c r="A129" s="193" t="str">
        <f aca="false">IFERROR(__xludf.dummyfunction("""COMPUTED_VALUE"""),"Rajon Rondo")</f>
        <v>Rajon Rondo</v>
      </c>
      <c r="B129" s="271" t="str">
        <f aca="false">IFERROR(__xludf.dummyfunction("""COMPUTED_VALUE"""),"Cleveland Cavaliers")</f>
        <v>Cleveland Cavaliers</v>
      </c>
      <c r="C129" s="272" t="n">
        <f aca="false">IFERROR(__xludf.dummyfunction("""COMPUTED_VALUE"""),2087519)</f>
        <v>2087519</v>
      </c>
      <c r="D129" s="271" t="str">
        <f aca="false">IFERROR(__xludf.dummyfunction("""COMPUTED_VALUE"""),"UFA - Non-Bird")</f>
        <v>UFA - Non-Bird</v>
      </c>
      <c r="E129" s="272" t="n">
        <f aca="false">IFERROR(__xludf.dummyfunction("""COMPUTED_VALUE"""),2296274)</f>
        <v>2296274</v>
      </c>
      <c r="F129" s="193" t="str">
        <f aca="false">IFERROR(__xludf.dummyfunction("""COMPUTED_VALUE"""),"UFA - Non-Bird")</f>
        <v>UFA - Non-Bird</v>
      </c>
      <c r="G129" s="273"/>
      <c r="H129" s="193"/>
      <c r="I129" s="273"/>
      <c r="J129" s="193"/>
      <c r="K129" s="273"/>
      <c r="L129" s="193"/>
      <c r="M129" s="273"/>
      <c r="N129" s="193"/>
      <c r="O129" s="193" t="n">
        <f aca="false">IFERROR(__xludf.dummyfunction("""COMPUTED_VALUE"""),1)</f>
        <v>1</v>
      </c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</row>
    <row r="130" customFormat="false" ht="15.75" hidden="false" customHeight="false" outlineLevel="0" collapsed="false">
      <c r="A130" s="193" t="str">
        <f aca="false">IFERROR(__xludf.dummyfunction("""COMPUTED_VALUE"""),"Raul Neto")</f>
        <v>Raul Neto</v>
      </c>
      <c r="B130" s="271" t="str">
        <f aca="false">IFERROR(__xludf.dummyfunction("""COMPUTED_VALUE"""),"Cleveland Cavaliers")</f>
        <v>Cleveland Cavaliers</v>
      </c>
      <c r="C130" s="272" t="n">
        <f aca="false">IFERROR(__xludf.dummyfunction("""COMPUTED_VALUE"""),2087519)</f>
        <v>2087519</v>
      </c>
      <c r="D130" s="271" t="str">
        <f aca="false">IFERROR(__xludf.dummyfunction("""COMPUTED_VALUE"""),"UFA - Non-Bird")</f>
        <v>UFA - Non-Bird</v>
      </c>
      <c r="E130" s="272" t="n">
        <f aca="false">IFERROR(__xludf.dummyfunction("""COMPUTED_VALUE"""),2296274)</f>
        <v>2296274</v>
      </c>
      <c r="F130" s="193" t="str">
        <f aca="false">IFERROR(__xludf.dummyfunction("""COMPUTED_VALUE"""),"UFA - Non-Bird")</f>
        <v>UFA - Non-Bird</v>
      </c>
      <c r="G130" s="273"/>
      <c r="H130" s="193"/>
      <c r="I130" s="273"/>
      <c r="J130" s="193"/>
      <c r="K130" s="273"/>
      <c r="L130" s="193"/>
      <c r="M130" s="273"/>
      <c r="N130" s="193"/>
      <c r="O130" s="193" t="n">
        <f aca="false">IFERROR(__xludf.dummyfunction("""COMPUTED_VALUE"""),1)</f>
        <v>1</v>
      </c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</row>
    <row r="131" customFormat="false" ht="15.75" hidden="false" customHeight="false" outlineLevel="0" collapsed="false">
      <c r="A131" s="193" t="str">
        <f aca="false">IFERROR(__xludf.dummyfunction("""COMPUTED_VALUE"""),"Tristan Thompson")</f>
        <v>Tristan Thompson</v>
      </c>
      <c r="B131" s="271" t="str">
        <f aca="false">IFERROR(__xludf.dummyfunction("""COMPUTED_VALUE"""),"Cleveland Cavaliers")</f>
        <v>Cleveland Cavaliers</v>
      </c>
      <c r="C131" s="272" t="n">
        <f aca="false">IFERROR(__xludf.dummyfunction("""COMPUTED_VALUE"""),2087519)</f>
        <v>2087519</v>
      </c>
      <c r="D131" s="193"/>
      <c r="E131" s="272" t="n">
        <f aca="false">IFERROR(__xludf.dummyfunction("""COMPUTED_VALUE"""),2296274)</f>
        <v>2296274</v>
      </c>
      <c r="F131" s="193" t="str">
        <f aca="false">IFERROR(__xludf.dummyfunction("""COMPUTED_VALUE"""),"UFA - Early Bird")</f>
        <v>UFA - Early Bird</v>
      </c>
      <c r="G131" s="272" t="str">
        <f aca="false">IFERROR(__xludf.dummyfunction("""COMPUTED_VALUE"""),"")</f>
        <v/>
      </c>
      <c r="H131" s="193"/>
      <c r="I131" s="272" t="str">
        <f aca="false">IFERROR(__xludf.dummyfunction("""COMPUTED_VALUE"""),"")</f>
        <v/>
      </c>
      <c r="J131" s="193"/>
      <c r="K131" s="273"/>
      <c r="L131" s="193"/>
      <c r="M131" s="273"/>
      <c r="N131" s="193"/>
      <c r="O131" s="193" t="n">
        <f aca="false">IFERROR(__xludf.dummyfunction("""COMPUTED_VALUE"""),1)</f>
        <v>1</v>
      </c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</row>
    <row r="132" customFormat="false" ht="15.75" hidden="false" customHeight="false" outlineLevel="0" collapsed="false">
      <c r="A132" s="193" t="str">
        <f aca="false">IFERROR(__xludf.dummyfunction("""COMPUTED_VALUE"""),"Nah'Shon Hyland")</f>
        <v>Nah'Shon Hyland</v>
      </c>
      <c r="B132" s="271" t="str">
        <f aca="false">IFERROR(__xludf.dummyfunction("""COMPUTED_VALUE"""),"Cleveland Cavaliers")</f>
        <v>Cleveland Cavaliers</v>
      </c>
      <c r="C132" s="273"/>
      <c r="D132" s="193"/>
      <c r="E132" s="272" t="n">
        <f aca="false">IFERROR(__xludf.dummyfunction("""COMPUTED_VALUE"""),2296271)</f>
        <v>2296271</v>
      </c>
      <c r="F132" s="193"/>
      <c r="G132" s="272" t="n">
        <f aca="false">IFERROR(__xludf.dummyfunction("""COMPUTED_VALUE"""),2525898.1)</f>
        <v>2525898.1</v>
      </c>
      <c r="H132" s="271" t="str">
        <f aca="false">IFERROR(__xludf.dummyfunction("""COMPUTED_VALUE"""),"UFA - Non-Bird")</f>
        <v>UFA - Non-Bird</v>
      </c>
      <c r="I132" s="273"/>
      <c r="J132" s="193"/>
      <c r="K132" s="273"/>
      <c r="L132" s="193"/>
      <c r="M132" s="273"/>
      <c r="N132" s="193"/>
      <c r="O132" s="193" t="n">
        <f aca="false">IFERROR(__xludf.dummyfunction("""COMPUTED_VALUE"""),1)</f>
        <v>1</v>
      </c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</row>
    <row r="133" customFormat="false" ht="15.75" hidden="false" customHeight="false" outlineLevel="0" collapsed="false">
      <c r="A133" s="193" t="str">
        <f aca="false">IFERROR(__xludf.dummyfunction("""COMPUTED_VALUE"""),"Hunter Tyson")</f>
        <v>Hunter Tyson</v>
      </c>
      <c r="B133" s="271" t="str">
        <f aca="false">IFERROR(__xludf.dummyfunction("""COMPUTED_VALUE"""),"Cleveland Cavaliers")</f>
        <v>Cleveland Cavaliers</v>
      </c>
      <c r="C133" s="272" t="n">
        <f aca="false">IFERROR(__xludf.dummyfunction("""COMPUTED_VALUE"""),1891857)</f>
        <v>1891857</v>
      </c>
      <c r="D133" s="193"/>
      <c r="E133" s="272" t="n">
        <f aca="false">IFERROR(__xludf.dummyfunction("""COMPUTED_VALUE"""),2221677)</f>
        <v>2221677</v>
      </c>
      <c r="F133" s="193"/>
      <c r="G133" s="272" t="n">
        <f aca="false">IFERROR(__xludf.dummyfunction("""COMPUTED_VALUE"""),2406205)</f>
        <v>2406205</v>
      </c>
      <c r="H133" s="193" t="str">
        <f aca="false">IFERROR(__xludf.dummyfunction("""COMPUTED_VALUE"""),"Club Option")</f>
        <v>Club Option</v>
      </c>
      <c r="I133" s="272" t="n">
        <f aca="false">IFERROR(__xludf.dummyfunction("""COMPUTED_VALUE"""),2957063)</f>
        <v>2957063</v>
      </c>
      <c r="J133" s="193" t="str">
        <f aca="false">IFERROR(__xludf.dummyfunction("""COMPUTED_VALUE"""),"UFA - Bird")</f>
        <v>UFA - Bird</v>
      </c>
      <c r="K133" s="273"/>
      <c r="L133" s="193"/>
      <c r="M133" s="273"/>
      <c r="N133" s="193"/>
      <c r="O133" s="193" t="n">
        <f aca="false">IFERROR(__xludf.dummyfunction("""COMPUTED_VALUE"""),1)</f>
        <v>1</v>
      </c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</row>
    <row r="134" customFormat="false" ht="15.75" hidden="false" customHeight="false" outlineLevel="0" collapsed="false">
      <c r="A134" s="193" t="str">
        <f aca="false">IFERROR(__xludf.dummyfunction("""COMPUTED_VALUE"""),"Luke Travers")</f>
        <v>Luke Travers</v>
      </c>
      <c r="B134" s="271" t="str">
        <f aca="false">IFERROR(__xludf.dummyfunction("""COMPUTED_VALUE"""),"Cleveland Cavaliers")</f>
        <v>Cleveland Cavaliers</v>
      </c>
      <c r="C134" s="273"/>
      <c r="D134" s="193"/>
      <c r="E134" s="272" t="n">
        <f aca="false">IFERROR(__xludf.dummyfunction("""COMPUTED_VALUE"""),2048491)</f>
        <v>2048491</v>
      </c>
      <c r="F134" s="193" t="str">
        <f aca="false">IFERROR(__xludf.dummyfunction("""COMPUTED_VALUE"""),"UFA - Two-way")</f>
        <v>UFA - Two-way</v>
      </c>
      <c r="G134" s="273"/>
      <c r="H134" s="193"/>
      <c r="I134" s="273"/>
      <c r="J134" s="193"/>
      <c r="K134" s="273"/>
      <c r="L134" s="193"/>
      <c r="M134" s="273"/>
      <c r="N134" s="193"/>
      <c r="O134" s="193" t="n">
        <f aca="false">IFERROR(__xludf.dummyfunction("""COMPUTED_VALUE"""),1)</f>
        <v>1</v>
      </c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</row>
    <row r="135" customFormat="false" ht="15.75" hidden="false" customHeight="false" outlineLevel="0" collapsed="false">
      <c r="A135" s="193" t="str">
        <f aca="false">IFERROR(__xludf.dummyfunction("""COMPUTED_VALUE"""),"Javon Small (R)")</f>
        <v>Javon Small (R)</v>
      </c>
      <c r="B135" s="271" t="str">
        <f aca="false">IFERROR(__xludf.dummyfunction("""COMPUTED_VALUE"""),"Cleveland Cavaliers")</f>
        <v>Cleveland Cavaliers</v>
      </c>
      <c r="C135" s="273"/>
      <c r="D135" s="193"/>
      <c r="E135" s="272" t="n">
        <f aca="false">IFERROR(__xludf.dummyfunction("""COMPUTED_VALUE"""),1272869)</f>
        <v>1272869</v>
      </c>
      <c r="F135" s="193"/>
      <c r="G135" s="272" t="n">
        <f aca="false">IFERROR(__xludf.dummyfunction("""COMPUTED_VALUE"""),2150915.55)</f>
        <v>2150915.55</v>
      </c>
      <c r="H135" s="193"/>
      <c r="I135" s="272" t="n">
        <f aca="false">IFERROR(__xludf.dummyfunction("""COMPUTED_VALUE"""),2525899)</f>
        <v>2525899</v>
      </c>
      <c r="J135" s="271" t="str">
        <f aca="false">IFERROR(__xludf.dummyfunction("""COMPUTED_VALUE"""),"Club Option")</f>
        <v>Club Option</v>
      </c>
      <c r="K135" s="272" t="n">
        <f aca="false">IFERROR(__xludf.dummyfunction("""COMPUTED_VALUE"""),2735801.21)</f>
        <v>2735801.21</v>
      </c>
      <c r="L135" s="271" t="str">
        <f aca="false">IFERROR(__xludf.dummyfunction("""COMPUTED_VALUE"""),"Club Option")</f>
        <v>Club Option</v>
      </c>
      <c r="M135" s="272" t="n">
        <f aca="false">IFERROR(__xludf.dummyfunction("""COMPUTED_VALUE"""),5197819.55)</f>
        <v>5197819.55</v>
      </c>
      <c r="N135" s="271" t="str">
        <f aca="false">IFERROR(__xludf.dummyfunction("""COMPUTED_VALUE"""),"UFA - Bird")</f>
        <v>UFA - Bird</v>
      </c>
      <c r="O135" s="193" t="n">
        <f aca="false">IFERROR(__xludf.dummyfunction("""COMPUTED_VALUE"""),1)</f>
        <v>1</v>
      </c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</row>
    <row r="136" customFormat="false" ht="15.75" hidden="false" customHeight="false" outlineLevel="0" collapsed="false">
      <c r="A136" s="193" t="str">
        <f aca="false">IFERROR(__xludf.dummyfunction("""COMPUTED_VALUE"""),"Lachlan Olbrich (R)")</f>
        <v>Lachlan Olbrich (R)</v>
      </c>
      <c r="B136" s="271" t="str">
        <f aca="false">IFERROR(__xludf.dummyfunction("""COMPUTED_VALUE"""),"Cleveland Cavaliers")</f>
        <v>Cleveland Cavaliers</v>
      </c>
      <c r="C136" s="273"/>
      <c r="D136" s="193"/>
      <c r="E136" s="272" t="n">
        <f aca="false">IFERROR(__xludf.dummyfunction("""COMPUTED_VALUE"""),1272869)</f>
        <v>1272869</v>
      </c>
      <c r="F136" s="193"/>
      <c r="G136" s="272" t="n">
        <f aca="false">IFERROR(__xludf.dummyfunction("""COMPUTED_VALUE"""),2150915.55)</f>
        <v>2150915.55</v>
      </c>
      <c r="H136" s="193"/>
      <c r="I136" s="272" t="n">
        <f aca="false">IFERROR(__xludf.dummyfunction("""COMPUTED_VALUE"""),2525899)</f>
        <v>2525899</v>
      </c>
      <c r="J136" s="271" t="str">
        <f aca="false">IFERROR(__xludf.dummyfunction("""COMPUTED_VALUE"""),"Club Option")</f>
        <v>Club Option</v>
      </c>
      <c r="K136" s="272" t="n">
        <f aca="false">IFERROR(__xludf.dummyfunction("""COMPUTED_VALUE"""),2735801.21)</f>
        <v>2735801.21</v>
      </c>
      <c r="L136" s="271" t="str">
        <f aca="false">IFERROR(__xludf.dummyfunction("""COMPUTED_VALUE"""),"Club Option")</f>
        <v>Club Option</v>
      </c>
      <c r="M136" s="272" t="n">
        <f aca="false">IFERROR(__xludf.dummyfunction("""COMPUTED_VALUE"""),5197819.55)</f>
        <v>5197819.55</v>
      </c>
      <c r="N136" s="271" t="str">
        <f aca="false">IFERROR(__xludf.dummyfunction("""COMPUTED_VALUE"""),"UFA - Bird")</f>
        <v>UFA - Bird</v>
      </c>
      <c r="O136" s="193" t="n">
        <f aca="false">IFERROR(__xludf.dummyfunction("""COMPUTED_VALUE"""),1)</f>
        <v>1</v>
      </c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</row>
    <row r="137" customFormat="false" ht="15.75" hidden="false" customHeight="false" outlineLevel="0" collapsed="false">
      <c r="A137" s="193" t="str">
        <f aca="false">IFERROR(__xludf.dummyfunction("""COMPUTED_VALUE"""),"Ricky Rubio")</f>
        <v>Ricky Rubio</v>
      </c>
      <c r="B137" s="271" t="str">
        <f aca="false">IFERROR(__xludf.dummyfunction("""COMPUTED_VALUE"""),"Cleveland Cavaliers")</f>
        <v>Cleveland Cavaliers</v>
      </c>
      <c r="C137" s="272" t="n">
        <f aca="false">IFERROR(__xludf.dummyfunction("""COMPUTED_VALUE"""),424672)</f>
        <v>424672</v>
      </c>
      <c r="D137" s="271" t="str">
        <f aca="false">IFERROR(__xludf.dummyfunction("""COMPUTED_VALUE"""),"Dead Cap")</f>
        <v>Dead Cap</v>
      </c>
      <c r="E137" s="272" t="n">
        <f aca="false">IFERROR(__xludf.dummyfunction("""COMPUTED_VALUE"""),424672)</f>
        <v>424672</v>
      </c>
      <c r="F137" s="193" t="str">
        <f aca="false">IFERROR(__xludf.dummyfunction("""COMPUTED_VALUE"""),"Dead Cap")</f>
        <v>Dead Cap</v>
      </c>
      <c r="G137" s="272" t="n">
        <f aca="false">IFERROR(__xludf.dummyfunction("""COMPUTED_VALUE"""),424672)</f>
        <v>424672</v>
      </c>
      <c r="H137" s="193" t="str">
        <f aca="false">IFERROR(__xludf.dummyfunction("""COMPUTED_VALUE"""),"Dead Cap")</f>
        <v>Dead Cap</v>
      </c>
      <c r="I137" s="273"/>
      <c r="J137" s="193"/>
      <c r="K137" s="273"/>
      <c r="L137" s="193"/>
      <c r="M137" s="273"/>
      <c r="N137" s="193"/>
      <c r="O137" s="193" t="n">
        <f aca="false">IFERROR(__xludf.dummyfunction("""COMPUTED_VALUE"""),1)</f>
        <v>1</v>
      </c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</row>
    <row r="138" customFormat="false" ht="15.75" hidden="false" customHeight="false" outlineLevel="0" collapsed="false">
      <c r="A138" s="193" t="str">
        <f aca="false">IFERROR(__xludf.dummyfunction("""COMPUTED_VALUE"""),"Anthony Davis")</f>
        <v>Anthony Davis</v>
      </c>
      <c r="B138" s="271" t="str">
        <f aca="false">IFERROR(__xludf.dummyfunction("""COMPUTED_VALUE"""),"Dallas Mavericks")</f>
        <v>Dallas Mavericks</v>
      </c>
      <c r="C138" s="272" t="n">
        <f aca="false">IFERROR(__xludf.dummyfunction("""COMPUTED_VALUE"""),43219440)</f>
        <v>43219440</v>
      </c>
      <c r="D138" s="193"/>
      <c r="E138" s="272" t="n">
        <f aca="false">IFERROR(__xludf.dummyfunction("""COMPUTED_VALUE"""),54126380)</f>
        <v>54126380</v>
      </c>
      <c r="F138" s="193" t="str">
        <f aca="false">IFERROR(__xludf.dummyfunction("""COMPUTED_VALUE"""),"Estimated")</f>
        <v>Estimated</v>
      </c>
      <c r="G138" s="272" t="n">
        <f aca="false">IFERROR(__xludf.dummyfunction("""COMPUTED_VALUE"""),58456490)</f>
        <v>58456490</v>
      </c>
      <c r="H138" s="193" t="str">
        <f aca="false">IFERROR(__xludf.dummyfunction("""COMPUTED_VALUE"""),"Estimated")</f>
        <v>Estimated</v>
      </c>
      <c r="I138" s="272" t="n">
        <f aca="false">IFERROR(__xludf.dummyfunction("""COMPUTED_VALUE"""),62786601)</f>
        <v>62786601</v>
      </c>
      <c r="J138" s="193" t="str">
        <f aca="false">IFERROR(__xludf.dummyfunction("""COMPUTED_VALUE"""),"Player Option")</f>
        <v>Player Option</v>
      </c>
      <c r="K138" s="272" t="n">
        <f aca="false">IFERROR(__xludf.dummyfunction("""COMPUTED_VALUE"""),72042212)</f>
        <v>72042212</v>
      </c>
      <c r="L138" s="193" t="str">
        <f aca="false">IFERROR(__xludf.dummyfunction("""COMPUTED_VALUE"""),"UFA - Bird")</f>
        <v>UFA - Bird</v>
      </c>
      <c r="M138" s="273"/>
      <c r="N138" s="193"/>
      <c r="O138" s="193" t="n">
        <f aca="false">IFERROR(__xludf.dummyfunction("""COMPUTED_VALUE"""),1)</f>
        <v>1</v>
      </c>
      <c r="P138" s="193"/>
      <c r="Q138" s="193"/>
      <c r="R138" s="193"/>
      <c r="S138" s="193"/>
      <c r="T138" s="193"/>
      <c r="U138" s="193"/>
      <c r="V138" s="193"/>
      <c r="W138" s="193"/>
      <c r="X138" s="193"/>
      <c r="Y138" s="193"/>
      <c r="Z138" s="193"/>
    </row>
    <row r="139" customFormat="false" ht="15.75" hidden="false" customHeight="false" outlineLevel="0" collapsed="false">
      <c r="A139" s="193" t="str">
        <f aca="false">IFERROR(__xludf.dummyfunction("""COMPUTED_VALUE"""),"Kyrie Irving")</f>
        <v>Kyrie Irving</v>
      </c>
      <c r="B139" s="271" t="str">
        <f aca="false">IFERROR(__xludf.dummyfunction("""COMPUTED_VALUE"""),"Dallas Mavericks")</f>
        <v>Dallas Mavericks</v>
      </c>
      <c r="C139" s="272" t="n">
        <f aca="false">IFERROR(__xludf.dummyfunction("""COMPUTED_VALUE"""),41000000)</f>
        <v>41000000</v>
      </c>
      <c r="D139" s="193"/>
      <c r="E139" s="272" t="n">
        <f aca="false">IFERROR(__xludf.dummyfunction("""COMPUTED_VALUE"""),41000000)</f>
        <v>41000000</v>
      </c>
      <c r="F139" s="193"/>
      <c r="G139" s="272" t="n">
        <f aca="false">IFERROR(__xludf.dummyfunction("""COMPUTED_VALUE"""),43050000)</f>
        <v>43050000</v>
      </c>
      <c r="H139" s="193"/>
      <c r="I139" s="272" t="n">
        <f aca="false">IFERROR(__xludf.dummyfunction("""COMPUTED_VALUE"""),45100000)</f>
        <v>45100000</v>
      </c>
      <c r="J139" s="271" t="str">
        <f aca="false">IFERROR(__xludf.dummyfunction("""COMPUTED_VALUE"""),"Player Option")</f>
        <v>Player Option</v>
      </c>
      <c r="K139" s="272" t="n">
        <f aca="false">IFERROR(__xludf.dummyfunction("""COMPUTED_VALUE"""),67650000)</f>
        <v>67650000</v>
      </c>
      <c r="L139" s="271" t="str">
        <f aca="false">IFERROR(__xludf.dummyfunction("""COMPUTED_VALUE"""),"UFA - Bird")</f>
        <v>UFA - Bird</v>
      </c>
      <c r="M139" s="273"/>
      <c r="N139" s="193"/>
      <c r="O139" s="193" t="n">
        <f aca="false">IFERROR(__xludf.dummyfunction("""COMPUTED_VALUE"""),1)</f>
        <v>1</v>
      </c>
      <c r="P139" s="193"/>
      <c r="Q139" s="193"/>
      <c r="R139" s="193"/>
      <c r="S139" s="193"/>
      <c r="T139" s="193"/>
      <c r="U139" s="193"/>
      <c r="V139" s="193"/>
      <c r="W139" s="193"/>
      <c r="X139" s="193"/>
      <c r="Y139" s="193"/>
      <c r="Z139" s="193"/>
    </row>
    <row r="140" customFormat="false" ht="15.75" hidden="false" customHeight="false" outlineLevel="0" collapsed="false">
      <c r="A140" s="193" t="str">
        <f aca="false">IFERROR(__xludf.dummyfunction("""COMPUTED_VALUE"""),"Bogdan Bogdanovic")</f>
        <v>Bogdan Bogdanovic</v>
      </c>
      <c r="B140" s="271" t="str">
        <f aca="false">IFERROR(__xludf.dummyfunction("""COMPUTED_VALUE"""),"Dallas Mavericks")</f>
        <v>Dallas Mavericks</v>
      </c>
      <c r="C140" s="272" t="n">
        <f aca="false">IFERROR(__xludf.dummyfunction("""COMPUTED_VALUE"""),17260000)</f>
        <v>17260000</v>
      </c>
      <c r="D140" s="193"/>
      <c r="E140" s="272" t="n">
        <f aca="false">IFERROR(__xludf.dummyfunction("""COMPUTED_VALUE"""),16020000)</f>
        <v>16020000</v>
      </c>
      <c r="F140" s="193"/>
      <c r="G140" s="272" t="n">
        <f aca="false">IFERROR(__xludf.dummyfunction("""COMPUTED_VALUE"""),16020000)</f>
        <v>16020000</v>
      </c>
      <c r="H140" s="271" t="str">
        <f aca="false">IFERROR(__xludf.dummyfunction("""COMPUTED_VALUE"""),"Club Option")</f>
        <v>Club Option</v>
      </c>
      <c r="I140" s="272" t="n">
        <f aca="false">IFERROR(__xludf.dummyfunction("""COMPUTED_VALUE"""),24030000)</f>
        <v>24030000</v>
      </c>
      <c r="J140" s="271" t="str">
        <f aca="false">IFERROR(__xludf.dummyfunction("""COMPUTED_VALUE"""),"UFA - Bird")</f>
        <v>UFA - Bird</v>
      </c>
      <c r="K140" s="273"/>
      <c r="L140" s="193"/>
      <c r="M140" s="273"/>
      <c r="N140" s="193"/>
      <c r="O140" s="193" t="n">
        <f aca="false">IFERROR(__xludf.dummyfunction("""COMPUTED_VALUE"""),1)</f>
        <v>1</v>
      </c>
      <c r="P140" s="193"/>
      <c r="Q140" s="193"/>
      <c r="R140" s="193"/>
      <c r="S140" s="193"/>
      <c r="T140" s="193"/>
      <c r="U140" s="193"/>
      <c r="V140" s="193"/>
      <c r="W140" s="193"/>
      <c r="X140" s="193"/>
      <c r="Y140" s="193"/>
      <c r="Z140" s="193"/>
    </row>
    <row r="141" customFormat="false" ht="15.75" hidden="false" customHeight="false" outlineLevel="0" collapsed="false">
      <c r="A141" s="193" t="str">
        <f aca="false">IFERROR(__xludf.dummyfunction("""COMPUTED_VALUE"""),"Cooper Flagg (R)")</f>
        <v>Cooper Flagg (R)</v>
      </c>
      <c r="B141" s="271" t="str">
        <f aca="false">IFERROR(__xludf.dummyfunction("""COMPUTED_VALUE"""),"Dallas Mavericks")</f>
        <v>Dallas Mavericks</v>
      </c>
      <c r="C141" s="273"/>
      <c r="D141" s="193"/>
      <c r="E141" s="272" t="n">
        <f aca="false">IFERROR(__xludf.dummyfunction("""COMPUTED_VALUE"""),13825920)</f>
        <v>13825920</v>
      </c>
      <c r="F141" s="193"/>
      <c r="G141" s="272" t="n">
        <f aca="false">IFERROR(__xludf.dummyfunction("""COMPUTED_VALUE"""),14517480)</f>
        <v>14517480</v>
      </c>
      <c r="H141" s="193"/>
      <c r="I141" s="272" t="n">
        <f aca="false">IFERROR(__xludf.dummyfunction("""COMPUTED_VALUE"""),15208680)</f>
        <v>15208680</v>
      </c>
      <c r="J141" s="271" t="str">
        <f aca="false">IFERROR(__xludf.dummyfunction("""COMPUTED_VALUE"""),"Club Option")</f>
        <v>Club Option</v>
      </c>
      <c r="K141" s="272" t="n">
        <f aca="false">IFERROR(__xludf.dummyfunction("""COMPUTED_VALUE"""),19178145.48)</f>
        <v>19178145.48</v>
      </c>
      <c r="L141" s="271" t="str">
        <f aca="false">IFERROR(__xludf.dummyfunction("""COMPUTED_VALUE"""),"Club Option")</f>
        <v>Club Option</v>
      </c>
      <c r="M141" s="272" t="n">
        <f aca="false">IFERROR(__xludf.dummyfunction("""COMPUTED_VALUE"""),57534436.44)</f>
        <v>57534436.44</v>
      </c>
      <c r="N141" s="271" t="str">
        <f aca="false">IFERROR(__xludf.dummyfunction("""COMPUTED_VALUE"""),"RFA - Bird")</f>
        <v>RFA - Bird</v>
      </c>
      <c r="O141" s="193" t="n">
        <f aca="false">IFERROR(__xludf.dummyfunction("""COMPUTED_VALUE"""),1)</f>
        <v>1</v>
      </c>
      <c r="P141" s="193"/>
      <c r="Q141" s="193"/>
      <c r="R141" s="193"/>
      <c r="S141" s="193"/>
      <c r="T141" s="193"/>
      <c r="U141" s="193"/>
      <c r="V141" s="193"/>
      <c r="W141" s="193"/>
      <c r="X141" s="193"/>
      <c r="Y141" s="193"/>
      <c r="Z141" s="193"/>
    </row>
    <row r="142" customFormat="false" ht="15.75" hidden="false" customHeight="false" outlineLevel="0" collapsed="false">
      <c r="A142" s="193" t="str">
        <f aca="false">IFERROR(__xludf.dummyfunction("""COMPUTED_VALUE"""),"Cole Anthony")</f>
        <v>Cole Anthony</v>
      </c>
      <c r="B142" s="271" t="str">
        <f aca="false">IFERROR(__xludf.dummyfunction("""COMPUTED_VALUE"""),"Dallas Mavericks")</f>
        <v>Dallas Mavericks</v>
      </c>
      <c r="C142" s="272" t="n">
        <f aca="false">IFERROR(__xludf.dummyfunction("""COMPUTED_VALUE"""),12900000)</f>
        <v>12900000</v>
      </c>
      <c r="D142" s="193"/>
      <c r="E142" s="272" t="n">
        <f aca="false">IFERROR(__xludf.dummyfunction("""COMPUTED_VALUE"""),13100000)</f>
        <v>13100000</v>
      </c>
      <c r="F142" s="193"/>
      <c r="G142" s="272" t="n">
        <f aca="false">IFERROR(__xludf.dummyfunction("""COMPUTED_VALUE"""),13100000)</f>
        <v>13100000</v>
      </c>
      <c r="H142" s="193" t="str">
        <f aca="false">IFERROR(__xludf.dummyfunction("""COMPUTED_VALUE"""),"Club Option")</f>
        <v>Club Option</v>
      </c>
      <c r="I142" s="272" t="n">
        <f aca="false">IFERROR(__xludf.dummyfunction("""COMPUTED_VALUE"""),24890000)</f>
        <v>24890000</v>
      </c>
      <c r="J142" s="193" t="str">
        <f aca="false">IFERROR(__xludf.dummyfunction("""COMPUTED_VALUE"""),"UFA - Bird")</f>
        <v>UFA - Bird</v>
      </c>
      <c r="K142" s="273"/>
      <c r="L142" s="193"/>
      <c r="M142" s="273"/>
      <c r="N142" s="193"/>
      <c r="O142" s="193" t="n">
        <f aca="false">IFERROR(__xludf.dummyfunction("""COMPUTED_VALUE"""),1)</f>
        <v>1</v>
      </c>
      <c r="P142" s="193"/>
      <c r="Q142" s="193"/>
      <c r="R142" s="193"/>
      <c r="S142" s="193"/>
      <c r="T142" s="193"/>
      <c r="U142" s="193"/>
      <c r="V142" s="193"/>
      <c r="W142" s="193"/>
      <c r="X142" s="193"/>
      <c r="Y142" s="193"/>
      <c r="Z142" s="193"/>
    </row>
    <row r="143" customFormat="false" ht="15.75" hidden="false" customHeight="false" outlineLevel="0" collapsed="false">
      <c r="A143" s="193" t="str">
        <f aca="false">IFERROR(__xludf.dummyfunction("""COMPUTED_VALUE"""),"Coby White")</f>
        <v>Coby White</v>
      </c>
      <c r="B143" s="271" t="str">
        <f aca="false">IFERROR(__xludf.dummyfunction("""COMPUTED_VALUE"""),"Dallas Mavericks")</f>
        <v>Dallas Mavericks</v>
      </c>
      <c r="C143" s="273"/>
      <c r="D143" s="193"/>
      <c r="E143" s="272" t="n">
        <f aca="false">IFERROR(__xludf.dummyfunction("""COMPUTED_VALUE"""),12888889)</f>
        <v>12888889</v>
      </c>
      <c r="F143" s="193"/>
      <c r="G143" s="272" t="n">
        <f aca="false">IFERROR(__xludf.dummyfunction("""COMPUTED_VALUE"""),24488889)</f>
        <v>24488889</v>
      </c>
      <c r="H143" s="193" t="str">
        <f aca="false">IFERROR(__xludf.dummyfunction("""COMPUTED_VALUE"""),"UFA - Bird")</f>
        <v>UFA - Bird</v>
      </c>
      <c r="I143" s="272" t="str">
        <f aca="false">IFERROR(__xludf.dummyfunction("""COMPUTED_VALUE"""),"")</f>
        <v/>
      </c>
      <c r="J143" s="193"/>
      <c r="K143" s="273"/>
      <c r="L143" s="193"/>
      <c r="M143" s="273"/>
      <c r="N143" s="193"/>
      <c r="O143" s="193" t="n">
        <f aca="false">IFERROR(__xludf.dummyfunction("""COMPUTED_VALUE"""),1)</f>
        <v>1</v>
      </c>
      <c r="P143" s="193"/>
      <c r="Q143" s="193"/>
      <c r="R143" s="193"/>
      <c r="S143" s="193"/>
      <c r="T143" s="193"/>
      <c r="U143" s="193"/>
      <c r="V143" s="193"/>
      <c r="W143" s="193"/>
      <c r="X143" s="193"/>
      <c r="Y143" s="193"/>
      <c r="Z143" s="193"/>
    </row>
    <row r="144" customFormat="false" ht="15.75" hidden="false" customHeight="false" outlineLevel="0" collapsed="false">
      <c r="A144" s="193" t="str">
        <f aca="false">IFERROR(__xludf.dummyfunction("""COMPUTED_VALUE"""),"Naji Marshall")</f>
        <v>Naji Marshall</v>
      </c>
      <c r="B144" s="271" t="str">
        <f aca="false">IFERROR(__xludf.dummyfunction("""COMPUTED_VALUE"""),"Dallas Mavericks")</f>
        <v>Dallas Mavericks</v>
      </c>
      <c r="C144" s="272" t="n">
        <f aca="false">IFERROR(__xludf.dummyfunction("""COMPUTED_VALUE"""),8571429)</f>
        <v>8571429</v>
      </c>
      <c r="D144" s="193"/>
      <c r="E144" s="272" t="n">
        <f aca="false">IFERROR(__xludf.dummyfunction("""COMPUTED_VALUE"""),9000000)</f>
        <v>9000000</v>
      </c>
      <c r="F144" s="193"/>
      <c r="G144" s="272" t="n">
        <f aca="false">IFERROR(__xludf.dummyfunction("""COMPUTED_VALUE"""),9428571)</f>
        <v>9428571</v>
      </c>
      <c r="H144" s="193"/>
      <c r="I144" s="272" t="n">
        <f aca="false">IFERROR(__xludf.dummyfunction("""COMPUTED_VALUE"""),17914285)</f>
        <v>17914285</v>
      </c>
      <c r="J144" s="193" t="str">
        <f aca="false">IFERROR(__xludf.dummyfunction("""COMPUTED_VALUE"""),"UFA - Bird")</f>
        <v>UFA - Bird</v>
      </c>
      <c r="K144" s="273"/>
      <c r="L144" s="193"/>
      <c r="M144" s="273"/>
      <c r="N144" s="193"/>
      <c r="O144" s="193" t="n">
        <f aca="false">IFERROR(__xludf.dummyfunction("""COMPUTED_VALUE"""),1)</f>
        <v>1</v>
      </c>
      <c r="P144" s="193"/>
      <c r="Q144" s="193"/>
      <c r="R144" s="193"/>
      <c r="S144" s="193"/>
      <c r="T144" s="193"/>
      <c r="U144" s="193"/>
      <c r="V144" s="193"/>
      <c r="W144" s="193"/>
      <c r="X144" s="193"/>
      <c r="Y144" s="193"/>
      <c r="Z144" s="193"/>
    </row>
    <row r="145" customFormat="false" ht="15.75" hidden="false" customHeight="false" outlineLevel="0" collapsed="false">
      <c r="A145" s="193" t="str">
        <f aca="false">IFERROR(__xludf.dummyfunction("""COMPUTED_VALUE"""),"Brandon Boston Jr.")</f>
        <v>Brandon Boston Jr.</v>
      </c>
      <c r="B145" s="271" t="str">
        <f aca="false">IFERROR(__xludf.dummyfunction("""COMPUTED_VALUE"""),"Dallas Mavericks")</f>
        <v>Dallas Mavericks</v>
      </c>
      <c r="C145" s="272" t="n">
        <f aca="false">IFERROR(__xludf.dummyfunction("""COMPUTED_VALUE"""),596581)</f>
        <v>596581</v>
      </c>
      <c r="D145" s="193"/>
      <c r="E145" s="272" t="n">
        <f aca="false">IFERROR(__xludf.dummyfunction("""COMPUTED_VALUE"""),8000000)</f>
        <v>8000000</v>
      </c>
      <c r="F145" s="193"/>
      <c r="G145" s="272" t="n">
        <f aca="false">IFERROR(__xludf.dummyfunction("""COMPUTED_VALUE"""),8400000)</f>
        <v>8400000</v>
      </c>
      <c r="H145" s="193"/>
      <c r="I145" s="272" t="n">
        <f aca="false">IFERROR(__xludf.dummyfunction("""COMPUTED_VALUE"""),10920000)</f>
        <v>10920000</v>
      </c>
      <c r="J145" s="271" t="str">
        <f aca="false">IFERROR(__xludf.dummyfunction("""COMPUTED_VALUE"""),"UFA - Early Bird")</f>
        <v>UFA - Early Bird</v>
      </c>
      <c r="K145" s="273"/>
      <c r="L145" s="193"/>
      <c r="M145" s="273"/>
      <c r="N145" s="193"/>
      <c r="O145" s="193" t="n">
        <f aca="false">IFERROR(__xludf.dummyfunction("""COMPUTED_VALUE"""),1)</f>
        <v>1</v>
      </c>
      <c r="P145" s="193"/>
      <c r="Q145" s="193"/>
      <c r="R145" s="193"/>
      <c r="S145" s="193"/>
      <c r="T145" s="193"/>
      <c r="U145" s="193"/>
      <c r="V145" s="193"/>
      <c r="W145" s="193"/>
      <c r="X145" s="193"/>
      <c r="Y145" s="193"/>
      <c r="Z145" s="193"/>
    </row>
    <row r="146" customFormat="false" ht="15.75" hidden="false" customHeight="false" outlineLevel="0" collapsed="false">
      <c r="A146" s="193" t="str">
        <f aca="false">IFERROR(__xludf.dummyfunction("""COMPUTED_VALUE"""),"Dereck Lively II")</f>
        <v>Dereck Lively II</v>
      </c>
      <c r="B146" s="271" t="str">
        <f aca="false">IFERROR(__xludf.dummyfunction("""COMPUTED_VALUE"""),"Dallas Mavericks")</f>
        <v>Dallas Mavericks</v>
      </c>
      <c r="C146" s="272" t="n">
        <f aca="false">IFERROR(__xludf.dummyfunction("""COMPUTED_VALUE"""),5014560)</f>
        <v>5014560</v>
      </c>
      <c r="D146" s="193"/>
      <c r="E146" s="272" t="n">
        <f aca="false">IFERROR(__xludf.dummyfunction("""COMPUTED_VALUE"""),5253360)</f>
        <v>5253360</v>
      </c>
      <c r="F146" s="193"/>
      <c r="G146" s="272" t="n">
        <f aca="false">IFERROR(__xludf.dummyfunction("""COMPUTED_VALUE"""),7239131)</f>
        <v>7239131</v>
      </c>
      <c r="H146" s="193" t="str">
        <f aca="false">IFERROR(__xludf.dummyfunction("""COMPUTED_VALUE"""),"Club Option")</f>
        <v>Club Option</v>
      </c>
      <c r="I146" s="272" t="n">
        <f aca="false">IFERROR(__xludf.dummyfunction("""COMPUTED_VALUE"""),21717393)</f>
        <v>21717393</v>
      </c>
      <c r="J146" s="193" t="str">
        <f aca="false">IFERROR(__xludf.dummyfunction("""COMPUTED_VALUE"""),"RFA - Bird")</f>
        <v>RFA - Bird</v>
      </c>
      <c r="K146" s="273"/>
      <c r="L146" s="193"/>
      <c r="M146" s="273"/>
      <c r="N146" s="193"/>
      <c r="O146" s="193" t="n">
        <f aca="false">IFERROR(__xludf.dummyfunction("""COMPUTED_VALUE"""),1)</f>
        <v>1</v>
      </c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</row>
    <row r="147" customFormat="false" ht="15.75" hidden="false" customHeight="false" outlineLevel="0" collapsed="false">
      <c r="A147" s="193" t="str">
        <f aca="false">IFERROR(__xludf.dummyfunction("""COMPUTED_VALUE"""),"Nicolo Melli")</f>
        <v>Nicolo Melli</v>
      </c>
      <c r="B147" s="271" t="str">
        <f aca="false">IFERROR(__xludf.dummyfunction("""COMPUTED_VALUE"""),"Dallas Mavericks")</f>
        <v>Dallas Mavericks</v>
      </c>
      <c r="C147" s="272" t="n">
        <f aca="false">IFERROR(__xludf.dummyfunction("""COMPUTED_VALUE"""),5066667)</f>
        <v>5066667</v>
      </c>
      <c r="D147" s="271" t="str">
        <f aca="false">IFERROR(__xludf.dummyfunction("""COMPUTED_VALUE"""),"UFA - Early Bird")</f>
        <v>UFA - Early Bird</v>
      </c>
      <c r="E147" s="272" t="n">
        <f aca="false">IFERROR(__xludf.dummyfunction("""COMPUTED_VALUE"""),5066667)</f>
        <v>5066667</v>
      </c>
      <c r="F147" s="193" t="str">
        <f aca="false">IFERROR(__xludf.dummyfunction("""COMPUTED_VALUE"""),"UFA - Early Bird")</f>
        <v>UFA - Early Bird</v>
      </c>
      <c r="G147" s="273"/>
      <c r="H147" s="193"/>
      <c r="I147" s="273"/>
      <c r="J147" s="193"/>
      <c r="K147" s="273"/>
      <c r="L147" s="193"/>
      <c r="M147" s="273"/>
      <c r="N147" s="193"/>
      <c r="O147" s="193" t="n">
        <f aca="false">IFERROR(__xludf.dummyfunction("""COMPUTED_VALUE"""),1)</f>
        <v>1</v>
      </c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</row>
    <row r="148" customFormat="false" ht="15.75" hidden="false" customHeight="false" outlineLevel="0" collapsed="false">
      <c r="A148" s="193" t="str">
        <f aca="false">IFERROR(__xludf.dummyfunction("""COMPUTED_VALUE"""),"Russell Westbrook")</f>
        <v>Russell Westbrook</v>
      </c>
      <c r="B148" s="271" t="str">
        <f aca="false">IFERROR(__xludf.dummyfunction("""COMPUTED_VALUE"""),"Dallas Mavericks")</f>
        <v>Dallas Mavericks</v>
      </c>
      <c r="C148" s="272" t="n">
        <f aca="false">IFERROR(__xludf.dummyfunction("""COMPUTED_VALUE"""),3303771)</f>
        <v>3303771</v>
      </c>
      <c r="D148" s="193"/>
      <c r="E148" s="272" t="n">
        <f aca="false">IFERROR(__xludf.dummyfunction("""COMPUTED_VALUE"""),5000000)</f>
        <v>5000000</v>
      </c>
      <c r="F148" s="193"/>
      <c r="G148" s="272" t="n">
        <f aca="false">IFERROR(__xludf.dummyfunction("""COMPUTED_VALUE"""),5000000)</f>
        <v>5000000</v>
      </c>
      <c r="H148" s="193" t="str">
        <f aca="false">IFERROR(__xludf.dummyfunction("""COMPUTED_VALUE"""),"Player Option")</f>
        <v>Player Option</v>
      </c>
      <c r="I148" s="272" t="n">
        <f aca="false">IFERROR(__xludf.dummyfunction("""COMPUTED_VALUE"""),6500000)</f>
        <v>6500000</v>
      </c>
      <c r="J148" s="193" t="str">
        <f aca="false">IFERROR(__xludf.dummyfunction("""COMPUTED_VALUE"""),"UFA - Early Bird")</f>
        <v>UFA - Early Bird</v>
      </c>
      <c r="K148" s="273"/>
      <c r="L148" s="193"/>
      <c r="M148" s="273"/>
      <c r="N148" s="193"/>
      <c r="O148" s="193" t="n">
        <f aca="false">IFERROR(__xludf.dummyfunction("""COMPUTED_VALUE"""),1)</f>
        <v>1</v>
      </c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</row>
    <row r="149" customFormat="false" ht="15.75" hidden="false" customHeight="false" outlineLevel="0" collapsed="false">
      <c r="A149" s="193" t="str">
        <f aca="false">IFERROR(__xludf.dummyfunction("""COMPUTED_VALUE"""),"Dalton Knecht")</f>
        <v>Dalton Knecht</v>
      </c>
      <c r="B149" s="271" t="str">
        <f aca="false">IFERROR(__xludf.dummyfunction("""COMPUTED_VALUE"""),"Dallas Mavericks")</f>
        <v>Dallas Mavericks</v>
      </c>
      <c r="C149" s="273"/>
      <c r="D149" s="193"/>
      <c r="E149" s="272" t="n">
        <f aca="false">IFERROR(__xludf.dummyfunction("""COMPUTED_VALUE"""),4010160)</f>
        <v>4010160</v>
      </c>
      <c r="F149" s="193"/>
      <c r="G149" s="272" t="n">
        <f aca="false">IFERROR(__xludf.dummyfunction("""COMPUTED_VALUE"""),4201080)</f>
        <v>4201080</v>
      </c>
      <c r="H149" s="271" t="str">
        <f aca="false">IFERROR(__xludf.dummyfunction("""COMPUTED_VALUE"""),"Club Option")</f>
        <v>Club Option</v>
      </c>
      <c r="I149" s="272" t="n">
        <f aca="false">IFERROR(__xludf.dummyfunction("""COMPUTED_VALUE"""),6452860)</f>
        <v>6452860</v>
      </c>
      <c r="J149" s="271" t="str">
        <f aca="false">IFERROR(__xludf.dummyfunction("""COMPUTED_VALUE"""),"Club Option")</f>
        <v>Club Option</v>
      </c>
      <c r="K149" s="272" t="n">
        <f aca="false">IFERROR(__xludf.dummyfunction("""COMPUTED_VALUE"""),19358580)</f>
        <v>19358580</v>
      </c>
      <c r="L149" s="271" t="str">
        <f aca="false">IFERROR(__xludf.dummyfunction("""COMPUTED_VALUE"""),"RFA - Bird")</f>
        <v>RFA - Bird</v>
      </c>
      <c r="M149" s="273"/>
      <c r="N149" s="193"/>
      <c r="O149" s="193" t="n">
        <f aca="false">IFERROR(__xludf.dummyfunction("""COMPUTED_VALUE"""),1)</f>
        <v>1</v>
      </c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</row>
    <row r="150" customFormat="false" ht="15.75" hidden="false" customHeight="false" outlineLevel="0" collapsed="false">
      <c r="A150" s="193" t="str">
        <f aca="false">IFERROR(__xludf.dummyfunction("""COMPUTED_VALUE"""),"Joan Beringer (R)")</f>
        <v>Joan Beringer (R)</v>
      </c>
      <c r="B150" s="271" t="str">
        <f aca="false">IFERROR(__xludf.dummyfunction("""COMPUTED_VALUE"""),"Dallas Mavericks")</f>
        <v>Dallas Mavericks</v>
      </c>
      <c r="C150" s="273"/>
      <c r="D150" s="193"/>
      <c r="E150" s="272" t="n">
        <f aca="false">IFERROR(__xludf.dummyfunction("""COMPUTED_VALUE"""),3108120)</f>
        <v>3108120</v>
      </c>
      <c r="F150" s="193"/>
      <c r="G150" s="272" t="n">
        <f aca="false">IFERROR(__xludf.dummyfunction("""COMPUTED_VALUE"""),3263400)</f>
        <v>3263400</v>
      </c>
      <c r="H150" s="193"/>
      <c r="I150" s="272" t="n">
        <f aca="false">IFERROR(__xludf.dummyfunction("""COMPUTED_VALUE"""),3418800)</f>
        <v>3418800</v>
      </c>
      <c r="J150" s="271" t="str">
        <f aca="false">IFERROR(__xludf.dummyfunction("""COMPUTED_VALUE"""),"Club Option")</f>
        <v>Club Option</v>
      </c>
      <c r="K150" s="272" t="n">
        <f aca="false">IFERROR(__xludf.dummyfunction("""COMPUTED_VALUE"""),5979481.2)</f>
        <v>5979481.2</v>
      </c>
      <c r="L150" s="271" t="str">
        <f aca="false">IFERROR(__xludf.dummyfunction("""COMPUTED_VALUE"""),"Club Option")</f>
        <v>Club Option</v>
      </c>
      <c r="M150" s="272" t="n">
        <f aca="false">IFERROR(__xludf.dummyfunction("""COMPUTED_VALUE"""),17938443.6)</f>
        <v>17938443.6</v>
      </c>
      <c r="N150" s="271" t="str">
        <f aca="false">IFERROR(__xludf.dummyfunction("""COMPUTED_VALUE"""),"RFA - Bird")</f>
        <v>RFA - Bird</v>
      </c>
      <c r="O150" s="193" t="n">
        <f aca="false">IFERROR(__xludf.dummyfunction("""COMPUTED_VALUE"""),1)</f>
        <v>1</v>
      </c>
      <c r="P150" s="193"/>
      <c r="Q150" s="193"/>
      <c r="R150" s="193"/>
      <c r="S150" s="193"/>
      <c r="T150" s="193"/>
      <c r="U150" s="193"/>
      <c r="V150" s="193"/>
      <c r="W150" s="193"/>
      <c r="X150" s="193"/>
      <c r="Y150" s="193"/>
      <c r="Z150" s="193"/>
    </row>
    <row r="151" customFormat="false" ht="15.75" hidden="false" customHeight="false" outlineLevel="0" collapsed="false">
      <c r="A151" s="193" t="str">
        <f aca="false">IFERROR(__xludf.dummyfunction("""COMPUTED_VALUE"""),"Kai Jones")</f>
        <v>Kai Jones</v>
      </c>
      <c r="B151" s="271" t="str">
        <f aca="false">IFERROR(__xludf.dummyfunction("""COMPUTED_VALUE"""),"Dallas Mavericks")</f>
        <v>Dallas Mavericks</v>
      </c>
      <c r="C151" s="273"/>
      <c r="D151" s="193"/>
      <c r="E151" s="272" t="n">
        <f aca="false">IFERROR(__xludf.dummyfunction("""COMPUTED_VALUE"""),2296274)</f>
        <v>2296274</v>
      </c>
      <c r="F151" s="193" t="str">
        <f aca="false">IFERROR(__xludf.dummyfunction("""COMPUTED_VALUE"""),"UFA - Non-Bird")</f>
        <v>UFA - Non-Bird</v>
      </c>
      <c r="G151" s="273"/>
      <c r="H151" s="193"/>
      <c r="I151" s="273"/>
      <c r="J151" s="193"/>
      <c r="K151" s="273"/>
      <c r="L151" s="193"/>
      <c r="M151" s="273"/>
      <c r="N151" s="193"/>
      <c r="O151" s="193" t="n">
        <f aca="false">IFERROR(__xludf.dummyfunction("""COMPUTED_VALUE"""),1)</f>
        <v>1</v>
      </c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</row>
    <row r="152" customFormat="false" ht="15.75" hidden="false" customHeight="false" outlineLevel="0" collapsed="false">
      <c r="A152" s="193" t="str">
        <f aca="false">IFERROR(__xludf.dummyfunction("""COMPUTED_VALUE"""),"Theo Pinson")</f>
        <v>Theo Pinson</v>
      </c>
      <c r="B152" s="271" t="str">
        <f aca="false">IFERROR(__xludf.dummyfunction("""COMPUTED_VALUE"""),"Dallas Mavericks")</f>
        <v>Dallas Mavericks</v>
      </c>
      <c r="C152" s="272" t="n">
        <f aca="false">IFERROR(__xludf.dummyfunction("""COMPUTED_VALUE"""),2087519)</f>
        <v>2087519</v>
      </c>
      <c r="D152" s="271" t="str">
        <f aca="false">IFERROR(__xludf.dummyfunction("""COMPUTED_VALUE"""),"UFA - Early Bird")</f>
        <v>UFA - Early Bird</v>
      </c>
      <c r="E152" s="272" t="n">
        <f aca="false">IFERROR(__xludf.dummyfunction("""COMPUTED_VALUE"""),2296274)</f>
        <v>2296274</v>
      </c>
      <c r="F152" s="193" t="str">
        <f aca="false">IFERROR(__xludf.dummyfunction("""COMPUTED_VALUE"""),"UFA - Early Bird")</f>
        <v>UFA - Early Bird</v>
      </c>
      <c r="G152" s="273"/>
      <c r="H152" s="193"/>
      <c r="I152" s="273"/>
      <c r="J152" s="193"/>
      <c r="K152" s="273"/>
      <c r="L152" s="193"/>
      <c r="M152" s="273"/>
      <c r="N152" s="193"/>
      <c r="O152" s="193" t="n">
        <f aca="false">IFERROR(__xludf.dummyfunction("""COMPUTED_VALUE"""),1)</f>
        <v>1</v>
      </c>
      <c r="P152" s="193"/>
      <c r="Q152" s="193"/>
      <c r="R152" s="193"/>
      <c r="S152" s="193"/>
      <c r="T152" s="193"/>
      <c r="U152" s="193"/>
      <c r="V152" s="193"/>
      <c r="W152" s="193"/>
      <c r="X152" s="193"/>
      <c r="Y152" s="193"/>
      <c r="Z152" s="193"/>
    </row>
    <row r="153" customFormat="false" ht="15.75" hidden="false" customHeight="false" outlineLevel="0" collapsed="false">
      <c r="A153" s="193" t="str">
        <f aca="false">IFERROR(__xludf.dummyfunction("""COMPUTED_VALUE"""),"Colin Castleton")</f>
        <v>Colin Castleton</v>
      </c>
      <c r="B153" s="271" t="str">
        <f aca="false">IFERROR(__xludf.dummyfunction("""COMPUTED_VALUE"""),"Dallas Mavericks")</f>
        <v>Dallas Mavericks</v>
      </c>
      <c r="C153" s="272" t="n">
        <f aca="false">IFERROR(__xludf.dummyfunction("""COMPUTED_VALUE"""),2087519)</f>
        <v>2087519</v>
      </c>
      <c r="D153" s="193"/>
      <c r="E153" s="272" t="n">
        <f aca="false">IFERROR(__xludf.dummyfunction("""COMPUTED_VALUE"""),2296271)</f>
        <v>2296271</v>
      </c>
      <c r="F153" s="193"/>
      <c r="G153" s="272" t="n">
        <f aca="false">IFERROR(__xludf.dummyfunction("""COMPUTED_VALUE"""),2525898.1)</f>
        <v>2525898.1</v>
      </c>
      <c r="H153" s="271" t="str">
        <f aca="false">IFERROR(__xludf.dummyfunction("""COMPUTED_VALUE"""),"UFA - Non-Bird")</f>
        <v>UFA - Non-Bird</v>
      </c>
      <c r="I153" s="273"/>
      <c r="J153" s="193"/>
      <c r="K153" s="273"/>
      <c r="L153" s="193"/>
      <c r="M153" s="273"/>
      <c r="N153" s="193"/>
      <c r="O153" s="193" t="n">
        <f aca="false">IFERROR(__xludf.dummyfunction("""COMPUTED_VALUE"""),1)</f>
        <v>1</v>
      </c>
      <c r="P153" s="193"/>
      <c r="Q153" s="193"/>
      <c r="R153" s="193"/>
      <c r="S153" s="193"/>
      <c r="T153" s="193"/>
      <c r="U153" s="193"/>
      <c r="V153" s="193"/>
      <c r="W153" s="193"/>
      <c r="X153" s="193"/>
      <c r="Y153" s="193"/>
      <c r="Z153" s="193"/>
    </row>
    <row r="154" customFormat="false" ht="15.75" hidden="false" customHeight="false" outlineLevel="0" collapsed="false">
      <c r="A154" s="193" t="str">
        <f aca="false">IFERROR(__xludf.dummyfunction("""COMPUTED_VALUE"""),"Javale McGee")</f>
        <v>Javale McGee</v>
      </c>
      <c r="B154" s="271" t="str">
        <f aca="false">IFERROR(__xludf.dummyfunction("""COMPUTED_VALUE"""),"Dallas Mavericks")</f>
        <v>Dallas Mavericks</v>
      </c>
      <c r="C154" s="272" t="n">
        <f aca="false">IFERROR(__xludf.dummyfunction("""COMPUTED_VALUE"""),2208856)</f>
        <v>2208856</v>
      </c>
      <c r="D154" s="271" t="str">
        <f aca="false">IFERROR(__xludf.dummyfunction("""COMPUTED_VALUE"""),"Dead Cap")</f>
        <v>Dead Cap</v>
      </c>
      <c r="E154" s="272" t="n">
        <f aca="false">IFERROR(__xludf.dummyfunction("""COMPUTED_VALUE"""),2208856)</f>
        <v>2208856</v>
      </c>
      <c r="F154" s="193" t="str">
        <f aca="false">IFERROR(__xludf.dummyfunction("""COMPUTED_VALUE"""),"Dead Cap")</f>
        <v>Dead Cap</v>
      </c>
      <c r="G154" s="272" t="n">
        <f aca="false">IFERROR(__xludf.dummyfunction("""COMPUTED_VALUE"""),2208856)</f>
        <v>2208856</v>
      </c>
      <c r="H154" s="193" t="str">
        <f aca="false">IFERROR(__xludf.dummyfunction("""COMPUTED_VALUE"""),"Dead Cap")</f>
        <v>Dead Cap</v>
      </c>
      <c r="I154" s="272" t="n">
        <f aca="false">IFERROR(__xludf.dummyfunction("""COMPUTED_VALUE"""),2208856)</f>
        <v>2208856</v>
      </c>
      <c r="J154" s="193" t="str">
        <f aca="false">IFERROR(__xludf.dummyfunction("""COMPUTED_VALUE"""),"Dead Cap")</f>
        <v>Dead Cap</v>
      </c>
      <c r="K154" s="273"/>
      <c r="L154" s="193"/>
      <c r="M154" s="273"/>
      <c r="N154" s="193"/>
      <c r="O154" s="193" t="n">
        <f aca="false">IFERROR(__xludf.dummyfunction("""COMPUTED_VALUE"""),1)</f>
        <v>1</v>
      </c>
      <c r="P154" s="193"/>
      <c r="Q154" s="193"/>
      <c r="R154" s="193"/>
      <c r="S154" s="193"/>
      <c r="T154" s="193"/>
      <c r="U154" s="193"/>
      <c r="V154" s="193"/>
      <c r="W154" s="193"/>
      <c r="X154" s="193"/>
      <c r="Y154" s="193"/>
      <c r="Z154" s="193"/>
    </row>
    <row r="155" customFormat="false" ht="15.75" hidden="false" customHeight="false" outlineLevel="0" collapsed="false">
      <c r="A155" s="193" t="str">
        <f aca="false">IFERROR(__xludf.dummyfunction("""COMPUTED_VALUE"""),"Moses Wright")</f>
        <v>Moses Wright</v>
      </c>
      <c r="B155" s="271" t="str">
        <f aca="false">IFERROR(__xludf.dummyfunction("""COMPUTED_VALUE"""),"Dallas Mavericks")</f>
        <v>Dallas Mavericks</v>
      </c>
      <c r="C155" s="272" t="n">
        <f aca="false">IFERROR(__xludf.dummyfunction("""COMPUTED_VALUE"""),1862265)</f>
        <v>1862265</v>
      </c>
      <c r="D155" s="271" t="str">
        <f aca="false">IFERROR(__xludf.dummyfunction("""COMPUTED_VALUE"""),"UFA - Two-way")</f>
        <v>UFA - Two-way</v>
      </c>
      <c r="E155" s="272" t="n">
        <f aca="false">IFERROR(__xludf.dummyfunction("""COMPUTED_VALUE"""),2048494)</f>
        <v>2048494</v>
      </c>
      <c r="F155" s="193" t="str">
        <f aca="false">IFERROR(__xludf.dummyfunction("""COMPUTED_VALUE"""),"UFA - Two-way")</f>
        <v>UFA - Two-way</v>
      </c>
      <c r="G155" s="273"/>
      <c r="H155" s="193"/>
      <c r="I155" s="273"/>
      <c r="J155" s="193"/>
      <c r="K155" s="273"/>
      <c r="L155" s="193"/>
      <c r="M155" s="273"/>
      <c r="N155" s="193"/>
      <c r="O155" s="193" t="n">
        <f aca="false">IFERROR(__xludf.dummyfunction("""COMPUTED_VALUE"""),1)</f>
        <v>1</v>
      </c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</row>
    <row r="156" customFormat="false" ht="15.75" hidden="false" customHeight="false" outlineLevel="0" collapsed="false">
      <c r="A156" s="193" t="str">
        <f aca="false">IFERROR(__xludf.dummyfunction("""COMPUTED_VALUE"""),"Greg Brown III")</f>
        <v>Greg Brown III</v>
      </c>
      <c r="B156" s="271" t="str">
        <f aca="false">IFERROR(__xludf.dummyfunction("""COMPUTED_VALUE"""),"Dallas Mavericks")</f>
        <v>Dallas Mavericks</v>
      </c>
      <c r="C156" s="272" t="n">
        <f aca="false">IFERROR(__xludf.dummyfunction("""COMPUTED_VALUE"""),1862265)</f>
        <v>1862265</v>
      </c>
      <c r="D156" s="271" t="str">
        <f aca="false">IFERROR(__xludf.dummyfunction("""COMPUTED_VALUE"""),"UFA - Two-way")</f>
        <v>UFA - Two-way</v>
      </c>
      <c r="E156" s="272" t="n">
        <f aca="false">IFERROR(__xludf.dummyfunction("""COMPUTED_VALUE"""),2048491)</f>
        <v>2048491</v>
      </c>
      <c r="F156" s="193" t="str">
        <f aca="false">IFERROR(__xludf.dummyfunction("""COMPUTED_VALUE"""),"UFA - Two-way")</f>
        <v>UFA - Two-way</v>
      </c>
      <c r="G156" s="273"/>
      <c r="H156" s="193"/>
      <c r="I156" s="273"/>
      <c r="J156" s="193"/>
      <c r="K156" s="273"/>
      <c r="L156" s="193"/>
      <c r="M156" s="273"/>
      <c r="N156" s="193"/>
      <c r="O156" s="193" t="n">
        <f aca="false">IFERROR(__xludf.dummyfunction("""COMPUTED_VALUE"""),1)</f>
        <v>1</v>
      </c>
      <c r="P156" s="193"/>
      <c r="Q156" s="193"/>
      <c r="R156" s="193"/>
      <c r="S156" s="193"/>
      <c r="T156" s="193"/>
      <c r="U156" s="193"/>
      <c r="V156" s="193"/>
      <c r="W156" s="193"/>
      <c r="X156" s="193"/>
      <c r="Y156" s="193"/>
      <c r="Z156" s="193"/>
    </row>
    <row r="157" customFormat="false" ht="15.75" hidden="false" customHeight="false" outlineLevel="0" collapsed="false">
      <c r="A157" s="193" t="str">
        <f aca="false">IFERROR(__xludf.dummyfunction("""COMPUTED_VALUE"""),"Kessler Edwards")</f>
        <v>Kessler Edwards</v>
      </c>
      <c r="B157" s="271" t="str">
        <f aca="false">IFERROR(__xludf.dummyfunction("""COMPUTED_VALUE"""),"Dallas Mavericks")</f>
        <v>Dallas Mavericks</v>
      </c>
      <c r="C157" s="273"/>
      <c r="D157" s="193"/>
      <c r="E157" s="272" t="n">
        <f aca="false">IFERROR(__xludf.dummyfunction("""COMPUTED_VALUE"""),2048491)</f>
        <v>2048491</v>
      </c>
      <c r="F157" s="193" t="str">
        <f aca="false">IFERROR(__xludf.dummyfunction("""COMPUTED_VALUE"""),"UFA - Two-way")</f>
        <v>UFA - Two-way</v>
      </c>
      <c r="G157" s="273"/>
      <c r="H157" s="193"/>
      <c r="I157" s="273"/>
      <c r="J157" s="193"/>
      <c r="K157" s="273"/>
      <c r="L157" s="193"/>
      <c r="M157" s="273"/>
      <c r="N157" s="193"/>
      <c r="O157" s="193" t="n">
        <f aca="false">IFERROR(__xludf.dummyfunction("""COMPUTED_VALUE"""),1)</f>
        <v>1</v>
      </c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</row>
    <row r="158" customFormat="false" ht="15.75" hidden="false" customHeight="false" outlineLevel="0" collapsed="false">
      <c r="A158" s="193" t="str">
        <f aca="false">IFERROR(__xludf.dummyfunction("""COMPUTED_VALUE"""),"McKinley Wright IV")</f>
        <v>McKinley Wright IV</v>
      </c>
      <c r="B158" s="271" t="str">
        <f aca="false">IFERROR(__xludf.dummyfunction("""COMPUTED_VALUE"""),"Dallas Mavericks")</f>
        <v>Dallas Mavericks</v>
      </c>
      <c r="C158" s="272" t="n">
        <f aca="false">IFERROR(__xludf.dummyfunction("""COMPUTED_VALUE"""),1862265)</f>
        <v>1862265</v>
      </c>
      <c r="D158" s="271" t="str">
        <f aca="false">IFERROR(__xludf.dummyfunction("""COMPUTED_VALUE"""),"UFA - Two-way")</f>
        <v>UFA - Two-way</v>
      </c>
      <c r="E158" s="272" t="n">
        <f aca="false">IFERROR(__xludf.dummyfunction("""COMPUTED_VALUE"""),2048491)</f>
        <v>2048491</v>
      </c>
      <c r="F158" s="193" t="str">
        <f aca="false">IFERROR(__xludf.dummyfunction("""COMPUTED_VALUE"""),"UFA - Two-way")</f>
        <v>UFA - Two-way</v>
      </c>
      <c r="G158" s="273"/>
      <c r="H158" s="193"/>
      <c r="I158" s="273"/>
      <c r="J158" s="193"/>
      <c r="K158" s="273"/>
      <c r="L158" s="193"/>
      <c r="M158" s="273"/>
      <c r="N158" s="193"/>
      <c r="O158" s="193" t="n">
        <f aca="false">IFERROR(__xludf.dummyfunction("""COMPUTED_VALUE"""),1)</f>
        <v>1</v>
      </c>
      <c r="P158" s="193"/>
      <c r="Q158" s="193"/>
      <c r="R158" s="193"/>
      <c r="S158" s="193"/>
      <c r="T158" s="193"/>
      <c r="U158" s="193"/>
      <c r="V158" s="193"/>
      <c r="W158" s="193"/>
      <c r="X158" s="193"/>
      <c r="Y158" s="193"/>
      <c r="Z158" s="193"/>
    </row>
    <row r="159" customFormat="false" ht="15.75" hidden="false" customHeight="false" outlineLevel="0" collapsed="false">
      <c r="A159" s="193" t="str">
        <f aca="false">IFERROR(__xludf.dummyfunction("""COMPUTED_VALUE"""),"Dwight Powell")</f>
        <v>Dwight Powell</v>
      </c>
      <c r="B159" s="271" t="str">
        <f aca="false">IFERROR(__xludf.dummyfunction("""COMPUTED_VALUE"""),"Dallas Mavericks")</f>
        <v>Dallas Mavericks</v>
      </c>
      <c r="C159" s="272" t="n">
        <f aca="false">IFERROR(__xludf.dummyfunction("""COMPUTED_VALUE"""),4000000)</f>
        <v>4000000</v>
      </c>
      <c r="D159" s="271" t="str">
        <f aca="false">IFERROR(__xludf.dummyfunction("""COMPUTED_VALUE"""),"Dead Cap")</f>
        <v>Dead Cap</v>
      </c>
      <c r="E159" s="272" t="n">
        <f aca="false">IFERROR(__xludf.dummyfunction("""COMPUTED_VALUE"""),1333333.33333333)</f>
        <v>1333333.333</v>
      </c>
      <c r="F159" s="193" t="str">
        <f aca="false">IFERROR(__xludf.dummyfunction("""COMPUTED_VALUE"""),"Dead Cap")</f>
        <v>Dead Cap</v>
      </c>
      <c r="G159" s="272" t="n">
        <f aca="false">IFERROR(__xludf.dummyfunction("""COMPUTED_VALUE"""),1333333.33333333)</f>
        <v>1333333.333</v>
      </c>
      <c r="H159" s="193" t="str">
        <f aca="false">IFERROR(__xludf.dummyfunction("""COMPUTED_VALUE"""),"Dead Cap")</f>
        <v>Dead Cap</v>
      </c>
      <c r="I159" s="272" t="n">
        <f aca="false">IFERROR(__xludf.dummyfunction("""COMPUTED_VALUE"""),1333333.33333333)</f>
        <v>1333333.333</v>
      </c>
      <c r="J159" s="193" t="str">
        <f aca="false">IFERROR(__xludf.dummyfunction("""COMPUTED_VALUE"""),"Dead Cap")</f>
        <v>Dead Cap</v>
      </c>
      <c r="K159" s="273"/>
      <c r="L159" s="193"/>
      <c r="M159" s="273"/>
      <c r="N159" s="193"/>
      <c r="O159" s="193" t="n">
        <f aca="false">IFERROR(__xludf.dummyfunction("""COMPUTED_VALUE"""),1)</f>
        <v>1</v>
      </c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</row>
    <row r="160" customFormat="false" ht="15.75" hidden="false" customHeight="false" outlineLevel="0" collapsed="false">
      <c r="A160" s="193" t="str">
        <f aca="false">IFERROR(__xludf.dummyfunction("""COMPUTED_VALUE"""),"Johni Broome (R)")</f>
        <v>Johni Broome (R)</v>
      </c>
      <c r="B160" s="271" t="str">
        <f aca="false">IFERROR(__xludf.dummyfunction("""COMPUTED_VALUE"""),"Denver Nuggets")</f>
        <v>Denver Nuggets</v>
      </c>
      <c r="C160" s="272" t="str">
        <f aca="false">IFERROR(__xludf.dummyfunction("""COMPUTED_VALUE"""),"Two-Way")</f>
        <v>Two-Way</v>
      </c>
      <c r="D160" s="271" t="str">
        <f aca="false">IFERROR(__xludf.dummyfunction("""COMPUTED_VALUE"""),"Two-Way")</f>
        <v>Two-Way</v>
      </c>
      <c r="E160" s="272" t="str">
        <f aca="false">IFERROR(__xludf.dummyfunction("""COMPUTED_VALUE"""),"Two-Way")</f>
        <v>Two-Way</v>
      </c>
      <c r="F160" s="271" t="str">
        <f aca="false">IFERROR(__xludf.dummyfunction("""COMPUTED_VALUE"""),"Two-Way")</f>
        <v>Two-Way</v>
      </c>
      <c r="G160" s="272" t="n">
        <f aca="false">IFERROR(__xludf.dummyfunction("""COMPUTED_VALUE"""),2253346)</f>
        <v>2253346</v>
      </c>
      <c r="H160" s="271" t="str">
        <f aca="false">IFERROR(__xludf.dummyfunction("""COMPUTED_VALUE"""),"UFA - Two-Way")</f>
        <v>UFA - Two-Way</v>
      </c>
      <c r="I160" s="273"/>
      <c r="J160" s="193"/>
      <c r="K160" s="273"/>
      <c r="L160" s="193"/>
      <c r="M160" s="273"/>
      <c r="N160" s="193"/>
      <c r="O160" s="193" t="n">
        <f aca="false">IFERROR(__xludf.dummyfunction("""COMPUTED_VALUE"""),1)</f>
        <v>1</v>
      </c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</row>
    <row r="161" customFormat="false" ht="15.75" hidden="false" customHeight="false" outlineLevel="0" collapsed="false">
      <c r="A161" s="193" t="str">
        <f aca="false">IFERROR(__xludf.dummyfunction("""COMPUTED_VALUE"""),"Payton Sandfort (R)")</f>
        <v>Payton Sandfort (R)</v>
      </c>
      <c r="B161" s="271" t="str">
        <f aca="false">IFERROR(__xludf.dummyfunction("""COMPUTED_VALUE"""),"Denver Nuggets")</f>
        <v>Denver Nuggets</v>
      </c>
      <c r="C161" s="272" t="str">
        <f aca="false">IFERROR(__xludf.dummyfunction("""COMPUTED_VALUE"""),"Two-Way")</f>
        <v>Two-Way</v>
      </c>
      <c r="D161" s="271" t="str">
        <f aca="false">IFERROR(__xludf.dummyfunction("""COMPUTED_VALUE"""),"Two-Way")</f>
        <v>Two-Way</v>
      </c>
      <c r="E161" s="272" t="str">
        <f aca="false">IFERROR(__xludf.dummyfunction("""COMPUTED_VALUE"""),"Two-Way")</f>
        <v>Two-Way</v>
      </c>
      <c r="F161" s="271" t="str">
        <f aca="false">IFERROR(__xludf.dummyfunction("""COMPUTED_VALUE"""),"Two-Way")</f>
        <v>Two-Way</v>
      </c>
      <c r="G161" s="272" t="n">
        <f aca="false">IFERROR(__xludf.dummyfunction("""COMPUTED_VALUE"""),2253346)</f>
        <v>2253346</v>
      </c>
      <c r="H161" s="271" t="str">
        <f aca="false">IFERROR(__xludf.dummyfunction("""COMPUTED_VALUE"""),"UFA - Two-Way")</f>
        <v>UFA - Two-Way</v>
      </c>
      <c r="I161" s="273"/>
      <c r="J161" s="193"/>
      <c r="K161" s="273"/>
      <c r="L161" s="193"/>
      <c r="M161" s="273"/>
      <c r="N161" s="193"/>
      <c r="O161" s="193" t="n">
        <f aca="false">IFERROR(__xludf.dummyfunction("""COMPUTED_VALUE"""),1)</f>
        <v>1</v>
      </c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</row>
    <row r="162" customFormat="false" ht="15.75" hidden="false" customHeight="false" outlineLevel="0" collapsed="false">
      <c r="A162" s="193" t="str">
        <f aca="false">IFERROR(__xludf.dummyfunction("""COMPUTED_VALUE"""),"Brice Williams (R)")</f>
        <v>Brice Williams (R)</v>
      </c>
      <c r="B162" s="271" t="str">
        <f aca="false">IFERROR(__xludf.dummyfunction("""COMPUTED_VALUE"""),"Denver Nuggets")</f>
        <v>Denver Nuggets</v>
      </c>
      <c r="C162" s="272" t="str">
        <f aca="false">IFERROR(__xludf.dummyfunction("""COMPUTED_VALUE"""),"Two-Way")</f>
        <v>Two-Way</v>
      </c>
      <c r="D162" s="271" t="str">
        <f aca="false">IFERROR(__xludf.dummyfunction("""COMPUTED_VALUE"""),"Two-Way")</f>
        <v>Two-Way</v>
      </c>
      <c r="E162" s="272" t="str">
        <f aca="false">IFERROR(__xludf.dummyfunction("""COMPUTED_VALUE"""),"Two-Way")</f>
        <v>Two-Way</v>
      </c>
      <c r="F162" s="271" t="str">
        <f aca="false">IFERROR(__xludf.dummyfunction("""COMPUTED_VALUE"""),"Two-Way")</f>
        <v>Two-Way</v>
      </c>
      <c r="G162" s="272" t="n">
        <f aca="false">IFERROR(__xludf.dummyfunction("""COMPUTED_VALUE"""),2253346)</f>
        <v>2253346</v>
      </c>
      <c r="H162" s="271" t="str">
        <f aca="false">IFERROR(__xludf.dummyfunction("""COMPUTED_VALUE"""),"UFA - Two-Way")</f>
        <v>UFA - Two-Way</v>
      </c>
      <c r="I162" s="273"/>
      <c r="J162" s="193"/>
      <c r="K162" s="273"/>
      <c r="L162" s="193"/>
      <c r="M162" s="273"/>
      <c r="N162" s="193"/>
      <c r="O162" s="193" t="n">
        <f aca="false">IFERROR(__xludf.dummyfunction("""COMPUTED_VALUE"""),1)</f>
        <v>1</v>
      </c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</row>
    <row r="163" customFormat="false" ht="15.75" hidden="false" customHeight="false" outlineLevel="0" collapsed="false">
      <c r="A163" s="193" t="str">
        <f aca="false">IFERROR(__xludf.dummyfunction("""COMPUTED_VALUE"""),"Nikola Jokic")</f>
        <v>Nikola Jokic</v>
      </c>
      <c r="B163" s="271" t="str">
        <f aca="false">IFERROR(__xludf.dummyfunction("""COMPUTED_VALUE"""),"Denver Nuggets")</f>
        <v>Denver Nuggets</v>
      </c>
      <c r="C163" s="272" t="n">
        <f aca="false">IFERROR(__xludf.dummyfunction("""COMPUTED_VALUE"""),51415938)</f>
        <v>51415938</v>
      </c>
      <c r="D163" s="193"/>
      <c r="E163" s="272" t="n">
        <f aca="false">IFERROR(__xludf.dummyfunction("""COMPUTED_VALUE"""),55224526)</f>
        <v>55224526</v>
      </c>
      <c r="F163" s="193"/>
      <c r="G163" s="272" t="n">
        <f aca="false">IFERROR(__xludf.dummyfunction("""COMPUTED_VALUE"""),59033114)</f>
        <v>59033114</v>
      </c>
      <c r="H163" s="193"/>
      <c r="I163" s="272" t="n">
        <f aca="false">IFERROR(__xludf.dummyfunction("""COMPUTED_VALUE"""),62841702)</f>
        <v>62841702</v>
      </c>
      <c r="J163" s="193" t="str">
        <f aca="false">IFERROR(__xludf.dummyfunction("""COMPUTED_VALUE"""),"Player Option")</f>
        <v>Player Option</v>
      </c>
      <c r="K163" s="272" t="n">
        <f aca="false">IFERROR(__xludf.dummyfunction("""COMPUTED_VALUE"""),72901080)</f>
        <v>72901080</v>
      </c>
      <c r="L163" s="193" t="str">
        <f aca="false">IFERROR(__xludf.dummyfunction("""COMPUTED_VALUE"""),"UFA - Bird")</f>
        <v>UFA - Bird</v>
      </c>
      <c r="M163" s="273"/>
      <c r="N163" s="193"/>
      <c r="O163" s="193" t="n">
        <f aca="false">IFERROR(__xludf.dummyfunction("""COMPUTED_VALUE"""),1)</f>
        <v>1</v>
      </c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</row>
    <row r="164" customFormat="false" ht="15.75" hidden="false" customHeight="false" outlineLevel="0" collapsed="false">
      <c r="A164" s="193" t="str">
        <f aca="false">IFERROR(__xludf.dummyfunction("""COMPUTED_VALUE"""),"Anfernee Simons")</f>
        <v>Anfernee Simons</v>
      </c>
      <c r="B164" s="271" t="str">
        <f aca="false">IFERROR(__xludf.dummyfunction("""COMPUTED_VALUE"""),"Denver Nuggets")</f>
        <v>Denver Nuggets</v>
      </c>
      <c r="C164" s="273"/>
      <c r="D164" s="193"/>
      <c r="E164" s="272" t="n">
        <f aca="false">IFERROR(__xludf.dummyfunction("""COMPUTED_VALUE"""),27678571)</f>
        <v>27678571</v>
      </c>
      <c r="F164" s="193"/>
      <c r="G164" s="272" t="n">
        <f aca="false">IFERROR(__xludf.dummyfunction("""COMPUTED_VALUE"""),41517857)</f>
        <v>41517857</v>
      </c>
      <c r="H164" s="193" t="str">
        <f aca="false">IFERROR(__xludf.dummyfunction("""COMPUTED_VALUE"""),"UFA - Bird")</f>
        <v>UFA - Bird</v>
      </c>
      <c r="I164" s="272" t="str">
        <f aca="false">IFERROR(__xludf.dummyfunction("""COMPUTED_VALUE"""),"")</f>
        <v/>
      </c>
      <c r="J164" s="193"/>
      <c r="K164" s="273"/>
      <c r="L164" s="193"/>
      <c r="M164" s="273"/>
      <c r="N164" s="193"/>
      <c r="O164" s="193" t="n">
        <f aca="false">IFERROR(__xludf.dummyfunction("""COMPUTED_VALUE"""),1)</f>
        <v>1</v>
      </c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</row>
    <row r="165" customFormat="false" ht="15.75" hidden="false" customHeight="false" outlineLevel="0" collapsed="false">
      <c r="A165" s="193" t="str">
        <f aca="false">IFERROR(__xludf.dummyfunction("""COMPUTED_VALUE"""),"Jaden McDaniels")</f>
        <v>Jaden McDaniels</v>
      </c>
      <c r="B165" s="271" t="str">
        <f aca="false">IFERROR(__xludf.dummyfunction("""COMPUTED_VALUE"""),"Denver Nuggets")</f>
        <v>Denver Nuggets</v>
      </c>
      <c r="C165" s="273"/>
      <c r="D165" s="193"/>
      <c r="E165" s="272" t="n">
        <f aca="false">IFERROR(__xludf.dummyfunction("""COMPUTED_VALUE"""),24858621)</f>
        <v>24858621</v>
      </c>
      <c r="F165" s="193"/>
      <c r="G165" s="272" t="n">
        <f aca="false">IFERROR(__xludf.dummyfunction("""COMPUTED_VALUE"""),26700000)</f>
        <v>26700000</v>
      </c>
      <c r="H165" s="193"/>
      <c r="I165" s="272" t="n">
        <f aca="false">IFERROR(__xludf.dummyfunction("""COMPUTED_VALUE"""),28541379)</f>
        <v>28541379</v>
      </c>
      <c r="J165" s="193"/>
      <c r="K165" s="272" t="n">
        <f aca="false">IFERROR(__xludf.dummyfunction("""COMPUTED_VALUE"""),29813793)</f>
        <v>29813793</v>
      </c>
      <c r="L165" s="193"/>
      <c r="M165" s="272" t="n">
        <f aca="false">IFERROR(__xludf.dummyfunction("""COMPUTED_VALUE"""),44720690)</f>
        <v>44720690</v>
      </c>
      <c r="N165" s="271" t="str">
        <f aca="false">IFERROR(__xludf.dummyfunction("""COMPUTED_VALUE"""),"UFA - Bird")</f>
        <v>UFA - Bird</v>
      </c>
      <c r="O165" s="193" t="n">
        <f aca="false">IFERROR(__xludf.dummyfunction("""COMPUTED_VALUE"""),1)</f>
        <v>1</v>
      </c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</row>
    <row r="166" customFormat="false" ht="15.75" hidden="false" customHeight="false" outlineLevel="0" collapsed="false">
      <c r="A166" s="193" t="str">
        <f aca="false">IFERROR(__xludf.dummyfunction("""COMPUTED_VALUE"""),"Aaron Gordon")</f>
        <v>Aaron Gordon</v>
      </c>
      <c r="B166" s="271" t="str">
        <f aca="false">IFERROR(__xludf.dummyfunction("""COMPUTED_VALUE"""),"Denver Nuggets")</f>
        <v>Denver Nuggets</v>
      </c>
      <c r="C166" s="272" t="n">
        <f aca="false">IFERROR(__xludf.dummyfunction("""COMPUTED_VALUE"""),22841455)</f>
        <v>22841455</v>
      </c>
      <c r="D166" s="193"/>
      <c r="E166" s="272" t="n">
        <f aca="false">IFERROR(__xludf.dummyfunction("""COMPUTED_VALUE"""),22841455)</f>
        <v>22841455</v>
      </c>
      <c r="F166" s="193"/>
      <c r="G166" s="272" t="n">
        <f aca="false">IFERROR(__xludf.dummyfunction("""COMPUTED_VALUE"""),31978037)</f>
        <v>31978037</v>
      </c>
      <c r="H166" s="193"/>
      <c r="I166" s="272" t="n">
        <f aca="false">IFERROR(__xludf.dummyfunction("""COMPUTED_VALUE"""),34536280)</f>
        <v>34536280</v>
      </c>
      <c r="J166" s="193"/>
      <c r="K166" s="272" t="n">
        <f aca="false">IFERROR(__xludf.dummyfunction("""COMPUTED_VALUE"""),37094523)</f>
        <v>37094523</v>
      </c>
      <c r="L166" s="193" t="str">
        <f aca="false">IFERROR(__xludf.dummyfunction("""COMPUTED_VALUE"""),"Player Option")</f>
        <v>Player Option</v>
      </c>
      <c r="M166" s="272" t="n">
        <f aca="false">IFERROR(__xludf.dummyfunction("""COMPUTED_VALUE"""),55641785)</f>
        <v>55641785</v>
      </c>
      <c r="N166" s="193" t="str">
        <f aca="false">IFERROR(__xludf.dummyfunction("""COMPUTED_VALUE"""),"UFA - Bird")</f>
        <v>UFA - Bird</v>
      </c>
      <c r="O166" s="193" t="n">
        <f aca="false">IFERROR(__xludf.dummyfunction("""COMPUTED_VALUE"""),1)</f>
        <v>1</v>
      </c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</row>
    <row r="167" customFormat="false" ht="15.75" hidden="false" customHeight="false" outlineLevel="0" collapsed="false">
      <c r="A167" s="193" t="str">
        <f aca="false">IFERROR(__xludf.dummyfunction("""COMPUTED_VALUE"""),"Bruce Brown Jr.")</f>
        <v>Bruce Brown Jr.</v>
      </c>
      <c r="B167" s="271" t="str">
        <f aca="false">IFERROR(__xludf.dummyfunction("""COMPUTED_VALUE"""),"Denver Nuggets")</f>
        <v>Denver Nuggets</v>
      </c>
      <c r="C167" s="272" t="n">
        <f aca="false">IFERROR(__xludf.dummyfunction("""COMPUTED_VALUE"""),23000000)</f>
        <v>23000000</v>
      </c>
      <c r="D167" s="193"/>
      <c r="E167" s="272" t="n">
        <f aca="false">IFERROR(__xludf.dummyfunction("""COMPUTED_VALUE"""),14103788.16)</f>
        <v>14103788.16</v>
      </c>
      <c r="F167" s="193"/>
      <c r="G167" s="272" t="n">
        <f aca="false">IFERROR(__xludf.dummyfunction("""COMPUTED_VALUE"""),14808977.57)</f>
        <v>14808977.57</v>
      </c>
      <c r="H167" s="193"/>
      <c r="I167" s="272" t="n">
        <f aca="false">IFERROR(__xludf.dummyfunction("""COMPUTED_VALUE"""),15549426.45)</f>
        <v>15549426.45</v>
      </c>
      <c r="J167" s="193"/>
      <c r="K167" s="272" t="n">
        <f aca="false">IFERROR(__xludf.dummyfunction("""COMPUTED_VALUE"""),16326897.77)</f>
        <v>16326897.77</v>
      </c>
      <c r="L167" s="271" t="str">
        <f aca="false">IFERROR(__xludf.dummyfunction("""COMPUTED_VALUE"""),"Club Option")</f>
        <v>Club Option</v>
      </c>
      <c r="M167" s="272" t="n">
        <f aca="false">IFERROR(__xludf.dummyfunction("""COMPUTED_VALUE"""),31021105.76)</f>
        <v>31021105.76</v>
      </c>
      <c r="N167" s="271" t="str">
        <f aca="false">IFERROR(__xludf.dummyfunction("""COMPUTED_VALUE"""),"UFA - Bird")</f>
        <v>UFA - Bird</v>
      </c>
      <c r="O167" s="193" t="n">
        <f aca="false">IFERROR(__xludf.dummyfunction("""COMPUTED_VALUE"""),1)</f>
        <v>1</v>
      </c>
      <c r="P167" s="193"/>
      <c r="Q167" s="193"/>
      <c r="R167" s="193"/>
      <c r="S167" s="193"/>
      <c r="T167" s="193"/>
      <c r="U167" s="193"/>
      <c r="V167" s="193"/>
      <c r="W167" s="193"/>
      <c r="X167" s="193"/>
      <c r="Y167" s="193"/>
      <c r="Z167" s="193"/>
    </row>
    <row r="168" customFormat="false" ht="15.75" hidden="false" customHeight="false" outlineLevel="0" collapsed="false">
      <c r="A168" s="193" t="str">
        <f aca="false">IFERROR(__xludf.dummyfunction("""COMPUTED_VALUE"""),"Keegan Murray")</f>
        <v>Keegan Murray</v>
      </c>
      <c r="B168" s="271" t="str">
        <f aca="false">IFERROR(__xludf.dummyfunction("""COMPUTED_VALUE"""),"Denver Nuggets")</f>
        <v>Denver Nuggets</v>
      </c>
      <c r="C168" s="272" t="n">
        <f aca="false">IFERROR(__xludf.dummyfunction("""COMPUTED_VALUE"""),8809560)</f>
        <v>8809560</v>
      </c>
      <c r="D168" s="193"/>
      <c r="E168" s="272" t="n">
        <f aca="false">IFERROR(__xludf.dummyfunction("""COMPUTED_VALUE"""),11144093)</f>
        <v>11144093</v>
      </c>
      <c r="F168" s="193"/>
      <c r="G168" s="272" t="n">
        <f aca="false">IFERROR(__xludf.dummyfunction("""COMPUTED_VALUE"""),27860233)</f>
        <v>27860233</v>
      </c>
      <c r="H168" s="271" t="str">
        <f aca="false">IFERROR(__xludf.dummyfunction("""COMPUTED_VALUE"""),"RFA - Bird")</f>
        <v>RFA - Bird</v>
      </c>
      <c r="I168" s="272" t="str">
        <f aca="false">IFERROR(__xludf.dummyfunction("""COMPUTED_VALUE"""),"")</f>
        <v/>
      </c>
      <c r="J168" s="193"/>
      <c r="K168" s="273"/>
      <c r="L168" s="193"/>
      <c r="M168" s="273"/>
      <c r="N168" s="193"/>
      <c r="O168" s="193" t="n">
        <f aca="false">IFERROR(__xludf.dummyfunction("""COMPUTED_VALUE"""),1)</f>
        <v>1</v>
      </c>
      <c r="P168" s="193"/>
      <c r="Q168" s="193"/>
      <c r="R168" s="193"/>
      <c r="S168" s="193"/>
      <c r="T168" s="193"/>
      <c r="U168" s="193"/>
      <c r="V168" s="193"/>
      <c r="W168" s="193"/>
      <c r="X168" s="193"/>
      <c r="Y168" s="193"/>
      <c r="Z168" s="193"/>
    </row>
    <row r="169" customFormat="false" ht="15.75" hidden="false" customHeight="false" outlineLevel="0" collapsed="false">
      <c r="A169" s="193" t="str">
        <f aca="false">IFERROR(__xludf.dummyfunction("""COMPUTED_VALUE"""),"Dean Wade")</f>
        <v>Dean Wade</v>
      </c>
      <c r="B169" s="271" t="str">
        <f aca="false">IFERROR(__xludf.dummyfunction("""COMPUTED_VALUE"""),"Denver Nuggets")</f>
        <v>Denver Nuggets</v>
      </c>
      <c r="C169" s="273"/>
      <c r="D169" s="193"/>
      <c r="E169" s="272" t="n">
        <f aca="false">IFERROR(__xludf.dummyfunction("""COMPUTED_VALUE"""),6623456)</f>
        <v>6623456</v>
      </c>
      <c r="F169" s="193"/>
      <c r="G169" s="272" t="n">
        <f aca="false">IFERROR(__xludf.dummyfunction("""COMPUTED_VALUE"""),12584566)</f>
        <v>12584566</v>
      </c>
      <c r="H169" s="193" t="str">
        <f aca="false">IFERROR(__xludf.dummyfunction("""COMPUTED_VALUE"""),"UFA - Bird")</f>
        <v>UFA - Bird</v>
      </c>
      <c r="I169" s="272" t="str">
        <f aca="false">IFERROR(__xludf.dummyfunction("""COMPUTED_VALUE"""),"")</f>
        <v/>
      </c>
      <c r="J169" s="193"/>
      <c r="K169" s="273"/>
      <c r="L169" s="193"/>
      <c r="M169" s="273"/>
      <c r="N169" s="193"/>
      <c r="O169" s="193" t="n">
        <f aca="false">IFERROR(__xludf.dummyfunction("""COMPUTED_VALUE"""),1)</f>
        <v>1</v>
      </c>
      <c r="P169" s="193"/>
      <c r="Q169" s="193"/>
      <c r="R169" s="193"/>
      <c r="S169" s="193"/>
      <c r="T169" s="193"/>
      <c r="U169" s="193"/>
      <c r="V169" s="193"/>
      <c r="W169" s="193"/>
      <c r="X169" s="193"/>
      <c r="Y169" s="193"/>
      <c r="Z169" s="193"/>
    </row>
    <row r="170" customFormat="false" ht="15.75" hidden="false" customHeight="false" outlineLevel="0" collapsed="false">
      <c r="A170" s="193" t="str">
        <f aca="false">IFERROR(__xludf.dummyfunction("""COMPUTED_VALUE"""),"Ochai Agbaji")</f>
        <v>Ochai Agbaji</v>
      </c>
      <c r="B170" s="271" t="str">
        <f aca="false">IFERROR(__xludf.dummyfunction("""COMPUTED_VALUE"""),"Denver Nuggets")</f>
        <v>Denver Nuggets</v>
      </c>
      <c r="C170" s="273"/>
      <c r="D170" s="193"/>
      <c r="E170" s="272" t="n">
        <f aca="false">IFERROR(__xludf.dummyfunction("""COMPUTED_VALUE"""),6383525)</f>
        <v>6383525</v>
      </c>
      <c r="F170" s="193"/>
      <c r="G170" s="272" t="n">
        <f aca="false">IFERROR(__xludf.dummyfunction("""COMPUTED_VALUE"""),19150575)</f>
        <v>19150575</v>
      </c>
      <c r="H170" s="193" t="str">
        <f aca="false">IFERROR(__xludf.dummyfunction("""COMPUTED_VALUE"""),"RFA - Bird")</f>
        <v>RFA - Bird</v>
      </c>
      <c r="I170" s="272" t="str">
        <f aca="false">IFERROR(__xludf.dummyfunction("""COMPUTED_VALUE"""),"")</f>
        <v/>
      </c>
      <c r="J170" s="193"/>
      <c r="K170" s="273"/>
      <c r="L170" s="193"/>
      <c r="M170" s="273"/>
      <c r="N170" s="193"/>
      <c r="O170" s="193" t="n">
        <f aca="false">IFERROR(__xludf.dummyfunction("""COMPUTED_VALUE"""),1)</f>
        <v>1</v>
      </c>
      <c r="P170" s="193"/>
      <c r="Q170" s="193"/>
      <c r="R170" s="193"/>
      <c r="S170" s="193"/>
      <c r="T170" s="193"/>
      <c r="U170" s="193"/>
      <c r="V170" s="193"/>
      <c r="W170" s="193"/>
      <c r="X170" s="193"/>
      <c r="Y170" s="193"/>
      <c r="Z170" s="193"/>
    </row>
    <row r="171" customFormat="false" ht="15.75" hidden="false" customHeight="false" outlineLevel="0" collapsed="false">
      <c r="A171" s="193" t="str">
        <f aca="false">IFERROR(__xludf.dummyfunction("""COMPUTED_VALUE"""),"Christian Braun")</f>
        <v>Christian Braun</v>
      </c>
      <c r="B171" s="271" t="str">
        <f aca="false">IFERROR(__xludf.dummyfunction("""COMPUTED_VALUE"""),"Denver Nuggets")</f>
        <v>Denver Nuggets</v>
      </c>
      <c r="C171" s="272" t="n">
        <f aca="false">IFERROR(__xludf.dummyfunction("""COMPUTED_VALUE"""),3089640)</f>
        <v>3089640</v>
      </c>
      <c r="D171" s="193"/>
      <c r="E171" s="272" t="n">
        <f aca="false">IFERROR(__xludf.dummyfunction("""COMPUTED_VALUE"""),4921797)</f>
        <v>4921797</v>
      </c>
      <c r="F171" s="193"/>
      <c r="G171" s="272" t="n">
        <f aca="false">IFERROR(__xludf.dummyfunction("""COMPUTED_VALUE"""),14765391)</f>
        <v>14765391</v>
      </c>
      <c r="H171" s="193" t="str">
        <f aca="false">IFERROR(__xludf.dummyfunction("""COMPUTED_VALUE"""),"RFA - Bird")</f>
        <v>RFA - Bird</v>
      </c>
      <c r="I171" s="272" t="str">
        <f aca="false">IFERROR(__xludf.dummyfunction("""COMPUTED_VALUE"""),"")</f>
        <v/>
      </c>
      <c r="J171" s="193"/>
      <c r="K171" s="273"/>
      <c r="L171" s="193"/>
      <c r="M171" s="273"/>
      <c r="N171" s="193"/>
      <c r="O171" s="193" t="n">
        <f aca="false">IFERROR(__xludf.dummyfunction("""COMPUTED_VALUE"""),1)</f>
        <v>1</v>
      </c>
      <c r="P171" s="193"/>
      <c r="Q171" s="193"/>
      <c r="R171" s="193"/>
      <c r="S171" s="193"/>
      <c r="T171" s="193"/>
      <c r="U171" s="193"/>
      <c r="V171" s="193"/>
      <c r="W171" s="193"/>
      <c r="X171" s="193"/>
      <c r="Y171" s="193"/>
      <c r="Z171" s="193"/>
    </row>
    <row r="172" customFormat="false" ht="15.75" hidden="false" customHeight="false" outlineLevel="0" collapsed="false">
      <c r="A172" s="193" t="str">
        <f aca="false">IFERROR(__xludf.dummyfunction("""COMPUTED_VALUE"""),"Walker Kessler")</f>
        <v>Walker Kessler</v>
      </c>
      <c r="B172" s="271" t="str">
        <f aca="false">IFERROR(__xludf.dummyfunction("""COMPUTED_VALUE"""),"Denver Nuggets")</f>
        <v>Denver Nuggets</v>
      </c>
      <c r="C172" s="273"/>
      <c r="D172" s="193"/>
      <c r="E172" s="272" t="n">
        <f aca="false">IFERROR(__xludf.dummyfunction("""COMPUTED_VALUE"""),4878938)</f>
        <v>4878938</v>
      </c>
      <c r="F172" s="193"/>
      <c r="G172" s="272" t="n">
        <f aca="false">IFERROR(__xludf.dummyfunction("""COMPUTED_VALUE"""),14636814)</f>
        <v>14636814</v>
      </c>
      <c r="H172" s="193" t="str">
        <f aca="false">IFERROR(__xludf.dummyfunction("""COMPUTED_VALUE"""),"RFA - Bird")</f>
        <v>RFA - Bird</v>
      </c>
      <c r="I172" s="272" t="str">
        <f aca="false">IFERROR(__xludf.dummyfunction("""COMPUTED_VALUE"""),"")</f>
        <v/>
      </c>
      <c r="J172" s="193"/>
      <c r="K172" s="273"/>
      <c r="L172" s="193"/>
      <c r="M172" s="273"/>
      <c r="N172" s="193"/>
      <c r="O172" s="193" t="n">
        <f aca="false">IFERROR(__xludf.dummyfunction("""COMPUTED_VALUE"""),1)</f>
        <v>1</v>
      </c>
      <c r="P172" s="193"/>
      <c r="Q172" s="193"/>
      <c r="R172" s="193"/>
      <c r="S172" s="193"/>
      <c r="T172" s="193"/>
      <c r="U172" s="193"/>
      <c r="V172" s="193"/>
      <c r="W172" s="193"/>
      <c r="X172" s="193"/>
      <c r="Y172" s="193"/>
      <c r="Z172" s="193"/>
    </row>
    <row r="173" customFormat="false" ht="15.75" hidden="false" customHeight="false" outlineLevel="0" collapsed="false">
      <c r="A173" s="193" t="str">
        <f aca="false">IFERROR(__xludf.dummyfunction("""COMPUTED_VALUE"""),"Ryan Rollins")</f>
        <v>Ryan Rollins</v>
      </c>
      <c r="B173" s="271" t="str">
        <f aca="false">IFERROR(__xludf.dummyfunction("""COMPUTED_VALUE"""),"Denver Nuggets")</f>
        <v>Denver Nuggets</v>
      </c>
      <c r="C173" s="272" t="n">
        <f aca="false">IFERROR(__xludf.dummyfunction("""COMPUTED_VALUE"""),491887)</f>
        <v>491887</v>
      </c>
      <c r="D173" s="193"/>
      <c r="E173" s="272" t="n">
        <f aca="false">IFERROR(__xludf.dummyfunction("""COMPUTED_VALUE"""),4443354)</f>
        <v>4443354</v>
      </c>
      <c r="F173" s="193"/>
      <c r="G173" s="272" t="n">
        <f aca="false">IFERROR(__xludf.dummyfunction("""COMPUTED_VALUE"""),4500000)</f>
        <v>4500000</v>
      </c>
      <c r="H173" s="193"/>
      <c r="I173" s="272" t="n">
        <f aca="false">IFERROR(__xludf.dummyfunction("""COMPUTED_VALUE"""),4556646)</f>
        <v>4556646</v>
      </c>
      <c r="J173" s="271" t="str">
        <f aca="false">IFERROR(__xludf.dummyfunction("""COMPUTED_VALUE"""),"Team Option")</f>
        <v>Team Option</v>
      </c>
      <c r="K173" s="272" t="n">
        <f aca="false">IFERROR(__xludf.dummyfunction("""COMPUTED_VALUE"""),8657627.4)</f>
        <v>8657627.4</v>
      </c>
      <c r="L173" s="271" t="str">
        <f aca="false">IFERROR(__xludf.dummyfunction("""COMPUTED_VALUE"""),"UFA - Bird")</f>
        <v>UFA - Bird</v>
      </c>
      <c r="M173" s="273"/>
      <c r="N173" s="193"/>
      <c r="O173" s="193" t="n">
        <f aca="false">IFERROR(__xludf.dummyfunction("""COMPUTED_VALUE"""),1)</f>
        <v>1</v>
      </c>
      <c r="P173" s="193"/>
      <c r="Q173" s="193"/>
      <c r="R173" s="193"/>
      <c r="S173" s="193"/>
      <c r="T173" s="193"/>
      <c r="U173" s="193"/>
      <c r="V173" s="193"/>
      <c r="W173" s="193"/>
      <c r="X173" s="193"/>
      <c r="Y173" s="193"/>
      <c r="Z173" s="193"/>
    </row>
    <row r="174" customFormat="false" ht="15.75" hidden="false" customHeight="false" outlineLevel="0" collapsed="false">
      <c r="A174" s="193" t="str">
        <f aca="false">IFERROR(__xludf.dummyfunction("""COMPUTED_VALUE"""),"DeMarcus Cousins")</f>
        <v>DeMarcus Cousins</v>
      </c>
      <c r="B174" s="271" t="str">
        <f aca="false">IFERROR(__xludf.dummyfunction("""COMPUTED_VALUE"""),"Denver Nuggets")</f>
        <v>Denver Nuggets</v>
      </c>
      <c r="C174" s="272" t="n">
        <f aca="false">IFERROR(__xludf.dummyfunction("""COMPUTED_VALUE"""),2087519)</f>
        <v>2087519</v>
      </c>
      <c r="D174" s="271" t="str">
        <f aca="false">IFERROR(__xludf.dummyfunction("""COMPUTED_VALUE"""),"UFA - Non-Bird")</f>
        <v>UFA - Non-Bird</v>
      </c>
      <c r="E174" s="272" t="n">
        <f aca="false">IFERROR(__xludf.dummyfunction("""COMPUTED_VALUE"""),2296274)</f>
        <v>2296274</v>
      </c>
      <c r="F174" s="193" t="str">
        <f aca="false">IFERROR(__xludf.dummyfunction("""COMPUTED_VALUE"""),"UFA - Non-Bird")</f>
        <v>UFA - Non-Bird</v>
      </c>
      <c r="G174" s="273"/>
      <c r="H174" s="193"/>
      <c r="I174" s="273"/>
      <c r="J174" s="193"/>
      <c r="K174" s="273"/>
      <c r="L174" s="193"/>
      <c r="M174" s="273"/>
      <c r="N174" s="193"/>
      <c r="O174" s="193" t="n">
        <f aca="false">IFERROR(__xludf.dummyfunction("""COMPUTED_VALUE"""),1)</f>
        <v>1</v>
      </c>
      <c r="P174" s="193"/>
      <c r="Q174" s="193"/>
      <c r="R174" s="193"/>
      <c r="S174" s="193"/>
      <c r="T174" s="193"/>
      <c r="U174" s="193"/>
      <c r="V174" s="193"/>
      <c r="W174" s="193"/>
      <c r="X174" s="193"/>
      <c r="Y174" s="193"/>
      <c r="Z174" s="193"/>
    </row>
    <row r="175" customFormat="false" ht="15.75" hidden="false" customHeight="false" outlineLevel="0" collapsed="false">
      <c r="A175" s="193" t="str">
        <f aca="false">IFERROR(__xludf.dummyfunction("""COMPUTED_VALUE"""),"Justin Holiday")</f>
        <v>Justin Holiday</v>
      </c>
      <c r="B175" s="271" t="str">
        <f aca="false">IFERROR(__xludf.dummyfunction("""COMPUTED_VALUE"""),"Denver Nuggets")</f>
        <v>Denver Nuggets</v>
      </c>
      <c r="C175" s="272" t="n">
        <f aca="false">IFERROR(__xludf.dummyfunction("""COMPUTED_VALUE"""),2087519)</f>
        <v>2087519</v>
      </c>
      <c r="D175" s="271" t="str">
        <f aca="false">IFERROR(__xludf.dummyfunction("""COMPUTED_VALUE"""),"UFA - Non-Bird")</f>
        <v>UFA - Non-Bird</v>
      </c>
      <c r="E175" s="272" t="n">
        <f aca="false">IFERROR(__xludf.dummyfunction("""COMPUTED_VALUE"""),2296274)</f>
        <v>2296274</v>
      </c>
      <c r="F175" s="193" t="str">
        <f aca="false">IFERROR(__xludf.dummyfunction("""COMPUTED_VALUE"""),"UFA - Non-Bird")</f>
        <v>UFA - Non-Bird</v>
      </c>
      <c r="G175" s="273"/>
      <c r="H175" s="193"/>
      <c r="I175" s="273"/>
      <c r="J175" s="193"/>
      <c r="K175" s="273"/>
      <c r="L175" s="193"/>
      <c r="M175" s="273"/>
      <c r="N175" s="193"/>
      <c r="O175" s="193" t="n">
        <f aca="false">IFERROR(__xludf.dummyfunction("""COMPUTED_VALUE"""),1)</f>
        <v>1</v>
      </c>
      <c r="P175" s="193"/>
      <c r="Q175" s="193"/>
      <c r="R175" s="193"/>
      <c r="S175" s="193"/>
      <c r="T175" s="193"/>
      <c r="U175" s="193"/>
      <c r="V175" s="193"/>
      <c r="W175" s="193"/>
      <c r="X175" s="193"/>
      <c r="Y175" s="193"/>
      <c r="Z175" s="193"/>
    </row>
    <row r="176" customFormat="false" ht="15.75" hidden="false" customHeight="false" outlineLevel="0" collapsed="false">
      <c r="A176" s="193" t="str">
        <f aca="false">IFERROR(__xludf.dummyfunction("""COMPUTED_VALUE"""),"Richard Jefferson")</f>
        <v>Richard Jefferson</v>
      </c>
      <c r="B176" s="271" t="str">
        <f aca="false">IFERROR(__xludf.dummyfunction("""COMPUTED_VALUE"""),"Denver Nuggets")</f>
        <v>Denver Nuggets</v>
      </c>
      <c r="C176" s="272" t="n">
        <f aca="false">IFERROR(__xludf.dummyfunction("""COMPUTED_VALUE"""),2087519)</f>
        <v>2087519</v>
      </c>
      <c r="D176" s="271" t="str">
        <f aca="false">IFERROR(__xludf.dummyfunction("""COMPUTED_VALUE"""),"UFA - Non-Bird")</f>
        <v>UFA - Non-Bird</v>
      </c>
      <c r="E176" s="272" t="n">
        <f aca="false">IFERROR(__xludf.dummyfunction("""COMPUTED_VALUE"""),2296274)</f>
        <v>2296274</v>
      </c>
      <c r="F176" s="193" t="str">
        <f aca="false">IFERROR(__xludf.dummyfunction("""COMPUTED_VALUE"""),"UFA - Non-Bird")</f>
        <v>UFA - Non-Bird</v>
      </c>
      <c r="G176" s="273"/>
      <c r="H176" s="193"/>
      <c r="I176" s="273"/>
      <c r="J176" s="193"/>
      <c r="K176" s="273"/>
      <c r="L176" s="193"/>
      <c r="M176" s="273"/>
      <c r="N176" s="193"/>
      <c r="O176" s="193" t="n">
        <f aca="false">IFERROR(__xludf.dummyfunction("""COMPUTED_VALUE"""),1)</f>
        <v>1</v>
      </c>
      <c r="P176" s="193"/>
      <c r="Q176" s="193"/>
      <c r="R176" s="193"/>
      <c r="S176" s="193"/>
      <c r="T176" s="193"/>
      <c r="U176" s="193"/>
      <c r="V176" s="193"/>
      <c r="W176" s="193"/>
      <c r="X176" s="193"/>
      <c r="Y176" s="193"/>
      <c r="Z176" s="193"/>
    </row>
    <row r="177" customFormat="false" ht="15.75" hidden="false" customHeight="false" outlineLevel="0" collapsed="false">
      <c r="A177" s="193" t="str">
        <f aca="false">IFERROR(__xludf.dummyfunction("""COMPUTED_VALUE"""),"Troy Daniels")</f>
        <v>Troy Daniels</v>
      </c>
      <c r="B177" s="271" t="str">
        <f aca="false">IFERROR(__xludf.dummyfunction("""COMPUTED_VALUE"""),"Denver Nuggets")</f>
        <v>Denver Nuggets</v>
      </c>
      <c r="C177" s="272" t="n">
        <f aca="false">IFERROR(__xludf.dummyfunction("""COMPUTED_VALUE"""),2087519)</f>
        <v>2087519</v>
      </c>
      <c r="D177" s="271" t="str">
        <f aca="false">IFERROR(__xludf.dummyfunction("""COMPUTED_VALUE"""),"UFA - Non-Bird")</f>
        <v>UFA - Non-Bird</v>
      </c>
      <c r="E177" s="272" t="n">
        <f aca="false">IFERROR(__xludf.dummyfunction("""COMPUTED_VALUE"""),2296274)</f>
        <v>2296274</v>
      </c>
      <c r="F177" s="193" t="str">
        <f aca="false">IFERROR(__xludf.dummyfunction("""COMPUTED_VALUE"""),"UFA - Non-Bird")</f>
        <v>UFA - Non-Bird</v>
      </c>
      <c r="G177" s="273"/>
      <c r="H177" s="193"/>
      <c r="I177" s="273"/>
      <c r="J177" s="193"/>
      <c r="K177" s="273"/>
      <c r="L177" s="193"/>
      <c r="M177" s="273"/>
      <c r="N177" s="193"/>
      <c r="O177" s="193" t="n">
        <f aca="false">IFERROR(__xludf.dummyfunction("""COMPUTED_VALUE"""),1)</f>
        <v>1</v>
      </c>
      <c r="P177" s="193"/>
      <c r="Q177" s="193"/>
      <c r="R177" s="193"/>
      <c r="S177" s="193"/>
      <c r="T177" s="193"/>
      <c r="U177" s="193"/>
      <c r="V177" s="193"/>
      <c r="W177" s="193"/>
      <c r="X177" s="193"/>
      <c r="Y177" s="193"/>
      <c r="Z177" s="193"/>
    </row>
    <row r="178" customFormat="false" ht="15.75" hidden="false" customHeight="false" outlineLevel="0" collapsed="false">
      <c r="A178" s="193" t="str">
        <f aca="false">IFERROR(__xludf.dummyfunction("""COMPUTED_VALUE"""),"Kyle Anderson")</f>
        <v>Kyle Anderson</v>
      </c>
      <c r="B178" s="271" t="str">
        <f aca="false">IFERROR(__xludf.dummyfunction("""COMPUTED_VALUE"""),"Denver Nuggets")</f>
        <v>Denver Nuggets</v>
      </c>
      <c r="C178" s="272" t="n">
        <f aca="false">IFERROR(__xludf.dummyfunction("""COMPUTED_VALUE"""),8780488)</f>
        <v>8780488</v>
      </c>
      <c r="D178" s="193"/>
      <c r="E178" s="272" t="n">
        <f aca="false">IFERROR(__xludf.dummyfunction("""COMPUTED_VALUE"""),2296271)</f>
        <v>2296271</v>
      </c>
      <c r="F178" s="193"/>
      <c r="G178" s="272" t="n">
        <f aca="false">IFERROR(__xludf.dummyfunction("""COMPUTED_VALUE"""),2525898.1)</f>
        <v>2525898.1</v>
      </c>
      <c r="H178" s="271" t="str">
        <f aca="false">IFERROR(__xludf.dummyfunction("""COMPUTED_VALUE"""),"UFA - Non-Bird")</f>
        <v>UFA - Non-Bird</v>
      </c>
      <c r="I178" s="273"/>
      <c r="J178" s="193"/>
      <c r="K178" s="273"/>
      <c r="L178" s="193"/>
      <c r="M178" s="273"/>
      <c r="N178" s="193"/>
      <c r="O178" s="193" t="n">
        <f aca="false">IFERROR(__xludf.dummyfunction("""COMPUTED_VALUE"""),2)</f>
        <v>2</v>
      </c>
      <c r="P178" s="193"/>
      <c r="Q178" s="193"/>
      <c r="R178" s="193"/>
      <c r="S178" s="193"/>
      <c r="T178" s="193"/>
      <c r="U178" s="193"/>
      <c r="V178" s="193"/>
      <c r="W178" s="193"/>
      <c r="X178" s="193"/>
      <c r="Y178" s="193"/>
      <c r="Z178" s="193"/>
    </row>
    <row r="179" customFormat="false" ht="15.75" hidden="false" customHeight="false" outlineLevel="0" collapsed="false">
      <c r="A179" s="193" t="str">
        <f aca="false">IFERROR(__xludf.dummyfunction("""COMPUTED_VALUE"""),"Craig Porter Jr.")</f>
        <v>Craig Porter Jr.</v>
      </c>
      <c r="B179" s="271" t="str">
        <f aca="false">IFERROR(__xludf.dummyfunction("""COMPUTED_VALUE"""),"Denver Nuggets")</f>
        <v>Denver Nuggets</v>
      </c>
      <c r="C179" s="272" t="n">
        <f aca="false">IFERROR(__xludf.dummyfunction("""COMPUTED_VALUE"""),1891857)</f>
        <v>1891857</v>
      </c>
      <c r="D179" s="193"/>
      <c r="E179" s="272" t="n">
        <f aca="false">IFERROR(__xludf.dummyfunction("""COMPUTED_VALUE"""),2221677)</f>
        <v>2221677</v>
      </c>
      <c r="F179" s="193"/>
      <c r="G179" s="272" t="n">
        <f aca="false">IFERROR(__xludf.dummyfunction("""COMPUTED_VALUE"""),2406205)</f>
        <v>2406205</v>
      </c>
      <c r="H179" s="193" t="str">
        <f aca="false">IFERROR(__xludf.dummyfunction("""COMPUTED_VALUE"""),"Club Option")</f>
        <v>Club Option</v>
      </c>
      <c r="I179" s="272" t="n">
        <f aca="false">IFERROR(__xludf.dummyfunction("""COMPUTED_VALUE"""),3065294)</f>
        <v>3065294</v>
      </c>
      <c r="J179" s="193" t="str">
        <f aca="false">IFERROR(__xludf.dummyfunction("""COMPUTED_VALUE"""),"UFA - Bird")</f>
        <v>UFA - Bird</v>
      </c>
      <c r="K179" s="273"/>
      <c r="L179" s="193"/>
      <c r="M179" s="273"/>
      <c r="N179" s="193"/>
      <c r="O179" s="193" t="n">
        <f aca="false">IFERROR(__xludf.dummyfunction("""COMPUTED_VALUE"""),1)</f>
        <v>1</v>
      </c>
      <c r="P179" s="193"/>
      <c r="Q179" s="193"/>
      <c r="R179" s="193"/>
      <c r="S179" s="193"/>
      <c r="T179" s="193"/>
      <c r="U179" s="193"/>
      <c r="V179" s="193"/>
      <c r="W179" s="193"/>
      <c r="X179" s="193"/>
      <c r="Y179" s="193"/>
      <c r="Z179" s="193"/>
    </row>
    <row r="180" customFormat="false" ht="15.75" hidden="false" customHeight="false" outlineLevel="0" collapsed="false">
      <c r="A180" s="193" t="str">
        <f aca="false">IFERROR(__xludf.dummyfunction("""COMPUTED_VALUE"""),"Markus Howard")</f>
        <v>Markus Howard</v>
      </c>
      <c r="B180" s="271" t="str">
        <f aca="false">IFERROR(__xludf.dummyfunction("""COMPUTED_VALUE"""),"Denver Nuggets")</f>
        <v>Denver Nuggets</v>
      </c>
      <c r="C180" s="272" t="n">
        <f aca="false">IFERROR(__xludf.dummyfunction("""COMPUTED_VALUE"""),1862265)</f>
        <v>1862265</v>
      </c>
      <c r="D180" s="271" t="str">
        <f aca="false">IFERROR(__xludf.dummyfunction("""COMPUTED_VALUE"""),"UFA - Two-way")</f>
        <v>UFA - Two-way</v>
      </c>
      <c r="E180" s="272" t="n">
        <f aca="false">IFERROR(__xludf.dummyfunction("""COMPUTED_VALUE"""),2048491)</f>
        <v>2048491</v>
      </c>
      <c r="F180" s="193" t="str">
        <f aca="false">IFERROR(__xludf.dummyfunction("""COMPUTED_VALUE"""),"UFA - Two-way")</f>
        <v>UFA - Two-way</v>
      </c>
      <c r="G180" s="273"/>
      <c r="H180" s="193"/>
      <c r="I180" s="273"/>
      <c r="J180" s="193"/>
      <c r="K180" s="273"/>
      <c r="L180" s="193"/>
      <c r="M180" s="273"/>
      <c r="N180" s="193"/>
      <c r="O180" s="193" t="n">
        <f aca="false">IFERROR(__xludf.dummyfunction("""COMPUTED_VALUE"""),1)</f>
        <v>1</v>
      </c>
      <c r="P180" s="193"/>
      <c r="Q180" s="193"/>
      <c r="R180" s="193"/>
      <c r="S180" s="193"/>
      <c r="T180" s="193"/>
      <c r="U180" s="193"/>
      <c r="V180" s="193"/>
      <c r="W180" s="193"/>
      <c r="X180" s="193"/>
      <c r="Y180" s="193"/>
      <c r="Z180" s="193"/>
    </row>
    <row r="181" customFormat="false" ht="15.75" hidden="false" customHeight="false" outlineLevel="0" collapsed="false">
      <c r="A181" s="193" t="str">
        <f aca="false">IFERROR(__xludf.dummyfunction("""COMPUTED_VALUE"""),"Jamison Battle")</f>
        <v>Jamison Battle</v>
      </c>
      <c r="B181" s="271" t="str">
        <f aca="false">IFERROR(__xludf.dummyfunction("""COMPUTED_VALUE"""),"Denver Nuggets")</f>
        <v>Denver Nuggets</v>
      </c>
      <c r="C181" s="273"/>
      <c r="D181" s="193"/>
      <c r="E181" s="272" t="n">
        <f aca="false">IFERROR(__xludf.dummyfunction("""COMPUTED_VALUE"""),1955377)</f>
        <v>1955377</v>
      </c>
      <c r="F181" s="193"/>
      <c r="G181" s="272" t="n">
        <f aca="false">IFERROR(__xludf.dummyfunction("""COMPUTED_VALUE"""),2296271)</f>
        <v>2296271</v>
      </c>
      <c r="H181" s="271" t="str">
        <f aca="false">IFERROR(__xludf.dummyfunction("""COMPUTED_VALUE"""),"Non Guaranteed")</f>
        <v>Non Guaranteed</v>
      </c>
      <c r="I181" s="272" t="n">
        <f aca="false">IFERROR(__xludf.dummyfunction("""COMPUTED_VALUE"""),3134745)</f>
        <v>3134745</v>
      </c>
      <c r="J181" s="271" t="str">
        <f aca="false">IFERROR(__xludf.dummyfunction("""COMPUTED_VALUE"""),"RFA - Bird")</f>
        <v>RFA - Bird</v>
      </c>
      <c r="K181" s="273"/>
      <c r="L181" s="193"/>
      <c r="M181" s="273"/>
      <c r="N181" s="193"/>
      <c r="O181" s="193" t="n">
        <f aca="false">IFERROR(__xludf.dummyfunction("""COMPUTED_VALUE"""),1)</f>
        <v>1</v>
      </c>
      <c r="P181" s="193"/>
      <c r="Q181" s="193"/>
      <c r="R181" s="193"/>
      <c r="S181" s="193"/>
      <c r="T181" s="193"/>
      <c r="U181" s="193"/>
      <c r="V181" s="193"/>
      <c r="W181" s="193"/>
      <c r="X181" s="193"/>
      <c r="Y181" s="193"/>
      <c r="Z181" s="193"/>
    </row>
    <row r="182" customFormat="false" ht="15.75" hidden="false" customHeight="false" outlineLevel="0" collapsed="false">
      <c r="A182" s="193" t="str">
        <f aca="false">IFERROR(__xludf.dummyfunction("""COMPUTED_VALUE"""),"Tyler Smith")</f>
        <v>Tyler Smith</v>
      </c>
      <c r="B182" s="271" t="str">
        <f aca="false">IFERROR(__xludf.dummyfunction("""COMPUTED_VALUE"""),"Denver Nuggets")</f>
        <v>Denver Nuggets</v>
      </c>
      <c r="C182" s="272" t="n">
        <f aca="false">IFERROR(__xludf.dummyfunction("""COMPUTED_VALUE"""),1157153)</f>
        <v>1157153</v>
      </c>
      <c r="D182" s="193"/>
      <c r="E182" s="272" t="n">
        <f aca="false">IFERROR(__xludf.dummyfunction("""COMPUTED_VALUE"""),1955377)</f>
        <v>1955377</v>
      </c>
      <c r="F182" s="193"/>
      <c r="G182" s="272" t="n">
        <f aca="false">IFERROR(__xludf.dummyfunction("""COMPUTED_VALUE"""),2296271)</f>
        <v>2296271</v>
      </c>
      <c r="H182" s="271" t="str">
        <f aca="false">IFERROR(__xludf.dummyfunction("""COMPUTED_VALUE"""),"Non Guaranteed")</f>
        <v>Non Guaranteed</v>
      </c>
      <c r="I182" s="272" t="n">
        <f aca="false">IFERROR(__xludf.dummyfunction("""COMPUTED_VALUE"""),2486995)</f>
        <v>2486995</v>
      </c>
      <c r="J182" s="271" t="str">
        <f aca="false">IFERROR(__xludf.dummyfunction("""COMPUTED_VALUE"""),"Club Option")</f>
        <v>Club Option</v>
      </c>
      <c r="K182" s="272" t="n">
        <f aca="false">IFERROR(__xludf.dummyfunction("""COMPUTED_VALUE"""),3056337)</f>
        <v>3056337</v>
      </c>
      <c r="L182" s="193" t="str">
        <f aca="false">IFERROR(__xludf.dummyfunction("""COMPUTED_VALUE"""),"UFA - Bird")</f>
        <v>UFA - Bird</v>
      </c>
      <c r="M182" s="273"/>
      <c r="N182" s="193"/>
      <c r="O182" s="193" t="n">
        <f aca="false">IFERROR(__xludf.dummyfunction("""COMPUTED_VALUE"""),1)</f>
        <v>1</v>
      </c>
      <c r="P182" s="193"/>
      <c r="Q182" s="193"/>
      <c r="R182" s="193"/>
      <c r="S182" s="193"/>
      <c r="T182" s="193"/>
      <c r="U182" s="193"/>
      <c r="V182" s="193"/>
      <c r="W182" s="193"/>
      <c r="X182" s="193"/>
      <c r="Y182" s="193"/>
      <c r="Z182" s="193"/>
    </row>
    <row r="183" customFormat="false" ht="15.75" hidden="false" customHeight="false" outlineLevel="0" collapsed="false">
      <c r="A183" s="193" t="str">
        <f aca="false">IFERROR(__xludf.dummyfunction("""COMPUTED_VALUE"""),"P.J. Hall")</f>
        <v>P.J. Hall</v>
      </c>
      <c r="B183" s="271" t="str">
        <f aca="false">IFERROR(__xludf.dummyfunction("""COMPUTED_VALUE"""),"Denver Nuggets")</f>
        <v>Denver Nuggets</v>
      </c>
      <c r="C183" s="273"/>
      <c r="D183" s="193"/>
      <c r="E183" s="273"/>
      <c r="F183" s="193" t="str">
        <f aca="false">IFERROR(__xludf.dummyfunction("""COMPUTED_VALUE"""),"UFA - Rights Renounced")</f>
        <v>UFA - Rights Renounced</v>
      </c>
      <c r="G183" s="273"/>
      <c r="H183" s="193"/>
      <c r="I183" s="273"/>
      <c r="J183" s="193"/>
      <c r="K183" s="273"/>
      <c r="L183" s="193"/>
      <c r="M183" s="273"/>
      <c r="N183" s="193"/>
      <c r="O183" s="193" t="n">
        <f aca="false">IFERROR(__xludf.dummyfunction("""COMPUTED_VALUE"""),1)</f>
        <v>1</v>
      </c>
      <c r="P183" s="193"/>
      <c r="Q183" s="193"/>
      <c r="R183" s="193"/>
      <c r="S183" s="193"/>
      <c r="T183" s="193"/>
      <c r="U183" s="193"/>
      <c r="V183" s="193"/>
      <c r="W183" s="193"/>
      <c r="X183" s="193"/>
      <c r="Y183" s="193"/>
      <c r="Z183" s="193"/>
    </row>
    <row r="184" customFormat="false" ht="15.75" hidden="false" customHeight="false" outlineLevel="0" collapsed="false">
      <c r="A184" s="193" t="str">
        <f aca="false">IFERROR(__xludf.dummyfunction("""COMPUTED_VALUE"""),"Spencer Jones")</f>
        <v>Spencer Jones</v>
      </c>
      <c r="B184" s="271" t="str">
        <f aca="false">IFERROR(__xludf.dummyfunction("""COMPUTED_VALUE"""),"Denver Nuggets")</f>
        <v>Denver Nuggets</v>
      </c>
      <c r="C184" s="273"/>
      <c r="D184" s="193"/>
      <c r="E184" s="273"/>
      <c r="F184" s="193" t="str">
        <f aca="false">IFERROR(__xludf.dummyfunction("""COMPUTED_VALUE"""),"UFA - Rights Renounced")</f>
        <v>UFA - Rights Renounced</v>
      </c>
      <c r="G184" s="273"/>
      <c r="H184" s="193"/>
      <c r="I184" s="273"/>
      <c r="J184" s="193"/>
      <c r="K184" s="273"/>
      <c r="L184" s="193"/>
      <c r="M184" s="273"/>
      <c r="N184" s="193"/>
      <c r="O184" s="193" t="n">
        <f aca="false">IFERROR(__xludf.dummyfunction("""COMPUTED_VALUE"""),1)</f>
        <v>1</v>
      </c>
      <c r="P184" s="193"/>
      <c r="Q184" s="193"/>
      <c r="R184" s="193"/>
      <c r="S184" s="193"/>
      <c r="T184" s="193"/>
      <c r="U184" s="193"/>
      <c r="V184" s="193"/>
      <c r="W184" s="193"/>
      <c r="X184" s="193"/>
      <c r="Y184" s="193"/>
      <c r="Z184" s="193"/>
    </row>
    <row r="185" customFormat="false" ht="15.75" hidden="false" customHeight="false" outlineLevel="0" collapsed="false">
      <c r="A185" s="193" t="str">
        <f aca="false">IFERROR(__xludf.dummyfunction("""COMPUTED_VALUE"""),"Vlatko Cancar")</f>
        <v>Vlatko Cancar</v>
      </c>
      <c r="B185" s="271" t="str">
        <f aca="false">IFERROR(__xludf.dummyfunction("""COMPUTED_VALUE"""),"Denver Nuggets")</f>
        <v>Denver Nuggets</v>
      </c>
      <c r="C185" s="272" t="n">
        <f aca="false">IFERROR(__xludf.dummyfunction("""COMPUTED_VALUE"""),2087519)</f>
        <v>2087519</v>
      </c>
      <c r="D185" s="193"/>
      <c r="E185" s="273"/>
      <c r="F185" s="193" t="str">
        <f aca="false">IFERROR(__xludf.dummyfunction("""COMPUTED_VALUE"""),"UFA - Rights Renounced")</f>
        <v>UFA - Rights Renounced</v>
      </c>
      <c r="G185" s="272" t="str">
        <f aca="false">IFERROR(__xludf.dummyfunction("""COMPUTED_VALUE"""),"")</f>
        <v/>
      </c>
      <c r="H185" s="193"/>
      <c r="I185" s="272" t="str">
        <f aca="false">IFERROR(__xludf.dummyfunction("""COMPUTED_VALUE"""),"")</f>
        <v/>
      </c>
      <c r="J185" s="193"/>
      <c r="K185" s="273"/>
      <c r="L185" s="193"/>
      <c r="M185" s="273"/>
      <c r="N185" s="193"/>
      <c r="O185" s="193" t="n">
        <f aca="false">IFERROR(__xludf.dummyfunction("""COMPUTED_VALUE"""),1)</f>
        <v>1</v>
      </c>
      <c r="P185" s="193"/>
      <c r="Q185" s="193"/>
      <c r="R185" s="193"/>
      <c r="S185" s="193"/>
      <c r="T185" s="193"/>
      <c r="U185" s="193"/>
      <c r="V185" s="193"/>
      <c r="W185" s="193"/>
      <c r="X185" s="193"/>
      <c r="Y185" s="193"/>
      <c r="Z185" s="193"/>
    </row>
    <row r="186" customFormat="false" ht="15.75" hidden="false" customHeight="false" outlineLevel="0" collapsed="false">
      <c r="A186" s="193" t="str">
        <f aca="false">IFERROR(__xludf.dummyfunction("""COMPUTED_VALUE"""),"Tyrese Martin")</f>
        <v>Tyrese Martin</v>
      </c>
      <c r="B186" s="271" t="str">
        <f aca="false">IFERROR(__xludf.dummyfunction("""COMPUTED_VALUE"""),"Detroit Pistons")</f>
        <v>Detroit Pistons</v>
      </c>
      <c r="C186" s="272" t="str">
        <f aca="false">IFERROR(__xludf.dummyfunction("""COMPUTED_VALUE"""),"Two-Way")</f>
        <v>Two-Way</v>
      </c>
      <c r="D186" s="193" t="str">
        <f aca="false">IFERROR(__xludf.dummyfunction("""COMPUTED_VALUE"""),"Two-Way")</f>
        <v>Two-Way</v>
      </c>
      <c r="E186" s="272" t="str">
        <f aca="false">IFERROR(__xludf.dummyfunction("""COMPUTED_VALUE"""),"Two-Way")</f>
        <v>Two-Way</v>
      </c>
      <c r="F186" s="193" t="str">
        <f aca="false">IFERROR(__xludf.dummyfunction("""COMPUTED_VALUE"""),"Two-Way")</f>
        <v>Two-Way</v>
      </c>
      <c r="G186" s="272" t="n">
        <f aca="false">IFERROR(__xludf.dummyfunction("""COMPUTED_VALUE"""),2253346)</f>
        <v>2253346</v>
      </c>
      <c r="H186" s="271" t="str">
        <f aca="false">IFERROR(__xludf.dummyfunction("""COMPUTED_VALUE"""),"UFA - Two-Way")</f>
        <v>UFA - Two-Way</v>
      </c>
      <c r="I186" s="272" t="str">
        <f aca="false">IFERROR(__xludf.dummyfunction("""COMPUTED_VALUE"""),"")</f>
        <v/>
      </c>
      <c r="J186" s="193"/>
      <c r="K186" s="273"/>
      <c r="L186" s="193"/>
      <c r="M186" s="273"/>
      <c r="N186" s="193"/>
      <c r="O186" s="193" t="n">
        <f aca="false">IFERROR(__xludf.dummyfunction("""COMPUTED_VALUE"""),1)</f>
        <v>1</v>
      </c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</row>
    <row r="187" customFormat="false" ht="15.75" hidden="false" customHeight="false" outlineLevel="0" collapsed="false">
      <c r="A187" s="193" t="str">
        <f aca="false">IFERROR(__xludf.dummyfunction("""COMPUTED_VALUE"""),"Amari Williams (R)")</f>
        <v>Amari Williams (R)</v>
      </c>
      <c r="B187" s="271" t="str">
        <f aca="false">IFERROR(__xludf.dummyfunction("""COMPUTED_VALUE"""),"Detroit Pistons")</f>
        <v>Detroit Pistons</v>
      </c>
      <c r="C187" s="272" t="str">
        <f aca="false">IFERROR(__xludf.dummyfunction("""COMPUTED_VALUE"""),"Two-Way")</f>
        <v>Two-Way</v>
      </c>
      <c r="D187" s="271" t="str">
        <f aca="false">IFERROR(__xludf.dummyfunction("""COMPUTED_VALUE"""),"Two-Way")</f>
        <v>Two-Way</v>
      </c>
      <c r="E187" s="272" t="str">
        <f aca="false">IFERROR(__xludf.dummyfunction("""COMPUTED_VALUE"""),"Two-Way")</f>
        <v>Two-Way</v>
      </c>
      <c r="F187" s="271" t="str">
        <f aca="false">IFERROR(__xludf.dummyfunction("""COMPUTED_VALUE"""),"Two-Way")</f>
        <v>Two-Way</v>
      </c>
      <c r="G187" s="272" t="n">
        <f aca="false">IFERROR(__xludf.dummyfunction("""COMPUTED_VALUE"""),2253346)</f>
        <v>2253346</v>
      </c>
      <c r="H187" s="271" t="str">
        <f aca="false">IFERROR(__xludf.dummyfunction("""COMPUTED_VALUE"""),"UFA - Two-Way")</f>
        <v>UFA - Two-Way</v>
      </c>
      <c r="I187" s="273"/>
      <c r="J187" s="193"/>
      <c r="K187" s="273"/>
      <c r="L187" s="193"/>
      <c r="M187" s="273"/>
      <c r="N187" s="193"/>
      <c r="O187" s="193" t="n">
        <f aca="false">IFERROR(__xludf.dummyfunction("""COMPUTED_VALUE"""),1)</f>
        <v>1</v>
      </c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</row>
    <row r="188" customFormat="false" ht="15.75" hidden="false" customHeight="false" outlineLevel="0" collapsed="false">
      <c r="A188" s="193" t="str">
        <f aca="false">IFERROR(__xludf.dummyfunction("""COMPUTED_VALUE"""),"Micah Peavy (R)")</f>
        <v>Micah Peavy (R)</v>
      </c>
      <c r="B188" s="271" t="str">
        <f aca="false">IFERROR(__xludf.dummyfunction("""COMPUTED_VALUE"""),"Detroit Pistons")</f>
        <v>Detroit Pistons</v>
      </c>
      <c r="C188" s="272" t="str">
        <f aca="false">IFERROR(__xludf.dummyfunction("""COMPUTED_VALUE"""),"Two-Way")</f>
        <v>Two-Way</v>
      </c>
      <c r="D188" s="271" t="str">
        <f aca="false">IFERROR(__xludf.dummyfunction("""COMPUTED_VALUE"""),"Two-Way")</f>
        <v>Two-Way</v>
      </c>
      <c r="E188" s="272" t="str">
        <f aca="false">IFERROR(__xludf.dummyfunction("""COMPUTED_VALUE"""),"Two-Way")</f>
        <v>Two-Way</v>
      </c>
      <c r="F188" s="271" t="str">
        <f aca="false">IFERROR(__xludf.dummyfunction("""COMPUTED_VALUE"""),"Two-Way")</f>
        <v>Two-Way</v>
      </c>
      <c r="G188" s="272" t="n">
        <f aca="false">IFERROR(__xludf.dummyfunction("""COMPUTED_VALUE"""),2253346)</f>
        <v>2253346</v>
      </c>
      <c r="H188" s="193" t="str">
        <f aca="false">IFERROR(__xludf.dummyfunction("""COMPUTED_VALUE"""),"UFA - Two-Way")</f>
        <v>UFA - Two-Way</v>
      </c>
      <c r="I188" s="273"/>
      <c r="J188" s="193"/>
      <c r="K188" s="273"/>
      <c r="L188" s="193"/>
      <c r="M188" s="273"/>
      <c r="N188" s="193"/>
      <c r="O188" s="193" t="n">
        <f aca="false">IFERROR(__xludf.dummyfunction("""COMPUTED_VALUE"""),1)</f>
        <v>1</v>
      </c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</row>
    <row r="189" customFormat="false" ht="15.75" hidden="false" customHeight="false" outlineLevel="0" collapsed="false">
      <c r="A189" s="193" t="str">
        <f aca="false">IFERROR(__xludf.dummyfunction("""COMPUTED_VALUE"""),"Jamal Murray")</f>
        <v>Jamal Murray</v>
      </c>
      <c r="B189" s="271" t="str">
        <f aca="false">IFERROR(__xludf.dummyfunction("""COMPUTED_VALUE"""),"Detroit Pistons")</f>
        <v>Detroit Pistons</v>
      </c>
      <c r="C189" s="273"/>
      <c r="D189" s="193"/>
      <c r="E189" s="272" t="n">
        <f aca="false">IFERROR(__xludf.dummyfunction("""COMPUTED_VALUE"""),46394100)</f>
        <v>46394100</v>
      </c>
      <c r="F189" s="193" t="str">
        <f aca="false">IFERROR(__xludf.dummyfunction("""COMPUTED_VALUE"""),"Estimated")</f>
        <v>Estimated</v>
      </c>
      <c r="G189" s="272" t="n">
        <f aca="false">IFERROR(__xludf.dummyfunction("""COMPUTED_VALUE"""),50105628)</f>
        <v>50105628</v>
      </c>
      <c r="H189" s="193" t="str">
        <f aca="false">IFERROR(__xludf.dummyfunction("""COMPUTED_VALUE"""),"Estimated")</f>
        <v>Estimated</v>
      </c>
      <c r="I189" s="272" t="n">
        <f aca="false">IFERROR(__xludf.dummyfunction("""COMPUTED_VALUE"""),53817156)</f>
        <v>53817156</v>
      </c>
      <c r="J189" s="193" t="str">
        <f aca="false">IFERROR(__xludf.dummyfunction("""COMPUTED_VALUE"""),"Estimated")</f>
        <v>Estimated</v>
      </c>
      <c r="K189" s="272" t="n">
        <f aca="false">IFERROR(__xludf.dummyfunction("""COMPUTED_VALUE"""),57528684)</f>
        <v>57528684</v>
      </c>
      <c r="L189" s="193" t="str">
        <f aca="false">IFERROR(__xludf.dummyfunction("""COMPUTED_VALUE"""),"Estimated")</f>
        <v>Estimated</v>
      </c>
      <c r="M189" s="272" t="n">
        <f aca="false">IFERROR(__xludf.dummyfunction("""COMPUTED_VALUE"""),79246650)</f>
        <v>79246650</v>
      </c>
      <c r="N189" s="193" t="str">
        <f aca="false">IFERROR(__xludf.dummyfunction("""COMPUTED_VALUE"""),"UFA - Bird")</f>
        <v>UFA - Bird</v>
      </c>
      <c r="O189" s="193" t="n">
        <f aca="false">IFERROR(__xludf.dummyfunction("""COMPUTED_VALUE"""),1)</f>
        <v>1</v>
      </c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</row>
    <row r="190" customFormat="false" ht="15.75" hidden="false" customHeight="false" outlineLevel="0" collapsed="false">
      <c r="A190" s="193" t="str">
        <f aca="false">IFERROR(__xludf.dummyfunction("""COMPUTED_VALUE"""),"Cade Cunningham")</f>
        <v>Cade Cunningham</v>
      </c>
      <c r="B190" s="271" t="str">
        <f aca="false">IFERROR(__xludf.dummyfunction("""COMPUTED_VALUE"""),"Detroit Pistons")</f>
        <v>Detroit Pistons</v>
      </c>
      <c r="C190" s="272" t="n">
        <f aca="false">IFERROR(__xludf.dummyfunction("""COMPUTED_VALUE"""),13940809)</f>
        <v>13940809</v>
      </c>
      <c r="D190" s="193"/>
      <c r="E190" s="272" t="n">
        <f aca="false">IFERROR(__xludf.dummyfunction("""COMPUTED_VALUE"""),38661750)</f>
        <v>38661750</v>
      </c>
      <c r="F190" s="271" t="str">
        <f aca="false">IFERROR(__xludf.dummyfunction("""COMPUTED_VALUE"""),"Estimated")</f>
        <v>Estimated</v>
      </c>
      <c r="G190" s="272" t="n">
        <f aca="false">IFERROR(__xludf.dummyfunction("""COMPUTED_VALUE"""),41754690)</f>
        <v>41754690</v>
      </c>
      <c r="H190" s="271" t="str">
        <f aca="false">IFERROR(__xludf.dummyfunction("""COMPUTED_VALUE"""),"Estimated")</f>
        <v>Estimated</v>
      </c>
      <c r="I190" s="272" t="n">
        <f aca="false">IFERROR(__xludf.dummyfunction("""COMPUTED_VALUE"""),44847630)</f>
        <v>44847630</v>
      </c>
      <c r="J190" s="271" t="str">
        <f aca="false">IFERROR(__xludf.dummyfunction("""COMPUTED_VALUE"""),"Estimated")</f>
        <v>Estimated</v>
      </c>
      <c r="K190" s="272" t="n">
        <f aca="false">IFERROR(__xludf.dummyfunction("""COMPUTED_VALUE"""),47940570)</f>
        <v>47940570</v>
      </c>
      <c r="L190" s="271" t="str">
        <f aca="false">IFERROR(__xludf.dummyfunction("""COMPUTED_VALUE"""),"Estimated")</f>
        <v>Estimated</v>
      </c>
      <c r="M190" s="272" t="n">
        <f aca="false">IFERROR(__xludf.dummyfunction("""COMPUTED_VALUE"""),51033510)</f>
        <v>51033510</v>
      </c>
      <c r="N190" s="271" t="str">
        <f aca="false">IFERROR(__xludf.dummyfunction("""COMPUTED_VALUE"""),"Estimated")</f>
        <v>Estimated</v>
      </c>
      <c r="O190" s="193" t="n">
        <f aca="false">IFERROR(__xludf.dummyfunction("""COMPUTED_VALUE"""),1)</f>
        <v>1</v>
      </c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</row>
    <row r="191" customFormat="false" ht="15.75" hidden="false" customHeight="false" outlineLevel="0" collapsed="false">
      <c r="A191" s="193" t="str">
        <f aca="false">IFERROR(__xludf.dummyfunction("""COMPUTED_VALUE"""),"Santi Aldama")</f>
        <v>Santi Aldama</v>
      </c>
      <c r="B191" s="271" t="str">
        <f aca="false">IFERROR(__xludf.dummyfunction("""COMPUTED_VALUE"""),"Detroit Pistons")</f>
        <v>Detroit Pistons</v>
      </c>
      <c r="C191" s="272" t="n">
        <f aca="false">IFERROR(__xludf.dummyfunction("""COMPUTED_VALUE"""),3960531)</f>
        <v>3960531</v>
      </c>
      <c r="D191" s="193"/>
      <c r="E191" s="272" t="n">
        <f aca="false">IFERROR(__xludf.dummyfunction("""COMPUTED_VALUE"""),20000000)</f>
        <v>20000000</v>
      </c>
      <c r="F191" s="193"/>
      <c r="G191" s="272" t="n">
        <f aca="false">IFERROR(__xludf.dummyfunction("""COMPUTED_VALUE"""),20000000)</f>
        <v>20000000</v>
      </c>
      <c r="H191" s="193"/>
      <c r="I191" s="272" t="n">
        <f aca="false">IFERROR(__xludf.dummyfunction("""COMPUTED_VALUE"""),20000000)</f>
        <v>20000000</v>
      </c>
      <c r="J191" s="193"/>
      <c r="K191" s="272" t="n">
        <f aca="false">IFERROR(__xludf.dummyfunction("""COMPUTED_VALUE"""),20000000)</f>
        <v>20000000</v>
      </c>
      <c r="L191" s="193"/>
      <c r="M191" s="272" t="n">
        <f aca="false">IFERROR(__xludf.dummyfunction("""COMPUTED_VALUE"""),30000000)</f>
        <v>30000000</v>
      </c>
      <c r="N191" s="271" t="str">
        <f aca="false">IFERROR(__xludf.dummyfunction("""COMPUTED_VALUE"""),"UFA - Bird")</f>
        <v>UFA - Bird</v>
      </c>
      <c r="O191" s="193" t="n">
        <f aca="false">IFERROR(__xludf.dummyfunction("""COMPUTED_VALUE"""),1)</f>
        <v>1</v>
      </c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</row>
    <row r="192" customFormat="false" ht="15.75" hidden="false" customHeight="false" outlineLevel="0" collapsed="false">
      <c r="A192" s="193" t="str">
        <f aca="false">IFERROR(__xludf.dummyfunction("""COMPUTED_VALUE"""),"Ty Jerome")</f>
        <v>Ty Jerome</v>
      </c>
      <c r="B192" s="271" t="str">
        <f aca="false">IFERROR(__xludf.dummyfunction("""COMPUTED_VALUE"""),"Detroit Pistons")</f>
        <v>Detroit Pistons</v>
      </c>
      <c r="C192" s="272" t="n">
        <f aca="false">IFERROR(__xludf.dummyfunction("""COMPUTED_VALUE"""),2560975)</f>
        <v>2560975</v>
      </c>
      <c r="D192" s="193"/>
      <c r="E192" s="272" t="n">
        <f aca="false">IFERROR(__xludf.dummyfunction("""COMPUTED_VALUE"""),12000000)</f>
        <v>12000000</v>
      </c>
      <c r="F192" s="193"/>
      <c r="G192" s="272" t="n">
        <f aca="false">IFERROR(__xludf.dummyfunction("""COMPUTED_VALUE"""),12600000)</f>
        <v>12600000</v>
      </c>
      <c r="H192" s="193"/>
      <c r="I192" s="272" t="n">
        <f aca="false">IFERROR(__xludf.dummyfunction("""COMPUTED_VALUE"""),13200000)</f>
        <v>13200000</v>
      </c>
      <c r="J192" s="193"/>
      <c r="K192" s="272" t="n">
        <f aca="false">IFERROR(__xludf.dummyfunction("""COMPUTED_VALUE"""),13800000)</f>
        <v>13800000</v>
      </c>
      <c r="L192" s="271" t="str">
        <f aca="false">IFERROR(__xludf.dummyfunction("""COMPUTED_VALUE"""),"Player Option")</f>
        <v>Player Option</v>
      </c>
      <c r="M192" s="272" t="n">
        <f aca="false">IFERROR(__xludf.dummyfunction("""COMPUTED_VALUE"""),26220000)</f>
        <v>26220000</v>
      </c>
      <c r="N192" s="271" t="str">
        <f aca="false">IFERROR(__xludf.dummyfunction("""COMPUTED_VALUE"""),"UFA - Bird")</f>
        <v>UFA - Bird</v>
      </c>
      <c r="O192" s="193" t="n">
        <f aca="false">IFERROR(__xludf.dummyfunction("""COMPUTED_VALUE"""),1)</f>
        <v>1</v>
      </c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</row>
    <row r="193" customFormat="false" ht="15.75" hidden="false" customHeight="false" outlineLevel="0" collapsed="false">
      <c r="A193" s="193" t="str">
        <f aca="false">IFERROR(__xludf.dummyfunction("""COMPUTED_VALUE"""),"Clint Capela")</f>
        <v>Clint Capela</v>
      </c>
      <c r="B193" s="271" t="str">
        <f aca="false">IFERROR(__xludf.dummyfunction("""COMPUTED_VALUE"""),"Detroit Pistons")</f>
        <v>Detroit Pistons</v>
      </c>
      <c r="C193" s="272" t="n">
        <f aca="false">IFERROR(__xludf.dummyfunction("""COMPUTED_VALUE"""),22265280)</f>
        <v>22265280</v>
      </c>
      <c r="D193" s="193"/>
      <c r="E193" s="272" t="n">
        <f aca="false">IFERROR(__xludf.dummyfunction("""COMPUTED_VALUE"""),10852800)</f>
        <v>10852800</v>
      </c>
      <c r="F193" s="193"/>
      <c r="G193" s="272" t="n">
        <f aca="false">IFERROR(__xludf.dummyfunction("""COMPUTED_VALUE"""),11395440)</f>
        <v>11395440</v>
      </c>
      <c r="H193" s="271" t="str">
        <f aca="false">IFERROR(__xludf.dummyfunction("""COMPUTED_VALUE"""),"Player Option")</f>
        <v>Player Option</v>
      </c>
      <c r="I193" s="272" t="n">
        <f aca="false">IFERROR(__xludf.dummyfunction("""COMPUTED_VALUE"""),14814072)</f>
        <v>14814072</v>
      </c>
      <c r="J193" s="271" t="str">
        <f aca="false">IFERROR(__xludf.dummyfunction("""COMPUTED_VALUE"""),"UFA - Early Bird")</f>
        <v>UFA - Early Bird</v>
      </c>
      <c r="K193" s="273"/>
      <c r="L193" s="193"/>
      <c r="M193" s="273"/>
      <c r="N193" s="193"/>
      <c r="O193" s="193" t="n">
        <f aca="false">IFERROR(__xludf.dummyfunction("""COMPUTED_VALUE"""),1)</f>
        <v>1</v>
      </c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</row>
    <row r="194" customFormat="false" ht="15.75" hidden="false" customHeight="false" outlineLevel="0" collapsed="false">
      <c r="A194" s="193" t="str">
        <f aca="false">IFERROR(__xludf.dummyfunction("""COMPUTED_VALUE"""),"Caris LeVert")</f>
        <v>Caris LeVert</v>
      </c>
      <c r="B194" s="271" t="str">
        <f aca="false">IFERROR(__xludf.dummyfunction("""COMPUTED_VALUE"""),"Detroit Pistons")</f>
        <v>Detroit Pistons</v>
      </c>
      <c r="C194" s="272" t="n">
        <f aca="false">IFERROR(__xludf.dummyfunction("""COMPUTED_VALUE"""),16615384)</f>
        <v>16615384</v>
      </c>
      <c r="D194" s="193"/>
      <c r="E194" s="272" t="n">
        <f aca="false">IFERROR(__xludf.dummyfunction("""COMPUTED_VALUE"""),8780845.3)</f>
        <v>8780845.3</v>
      </c>
      <c r="F194" s="193"/>
      <c r="G194" s="272" t="n">
        <f aca="false">IFERROR(__xludf.dummyfunction("""COMPUTED_VALUE"""),9483312.92)</f>
        <v>9483312.92</v>
      </c>
      <c r="H194" s="193"/>
      <c r="I194" s="272" t="n">
        <f aca="false">IFERROR(__xludf.dummyfunction("""COMPUTED_VALUE"""),10185780.55)</f>
        <v>10185780.55</v>
      </c>
      <c r="J194" s="271" t="str">
        <f aca="false">IFERROR(__xludf.dummyfunction("""COMPUTED_VALUE"""),"Player Option")</f>
        <v>Player Option</v>
      </c>
      <c r="K194" s="272" t="n">
        <f aca="false">IFERROR(__xludf.dummyfunction("""COMPUTED_VALUE"""),19352983.04)</f>
        <v>19352983.04</v>
      </c>
      <c r="L194" s="271" t="str">
        <f aca="false">IFERROR(__xludf.dummyfunction("""COMPUTED_VALUE"""),"UFA - Bird")</f>
        <v>UFA - Bird</v>
      </c>
      <c r="M194" s="273"/>
      <c r="N194" s="193"/>
      <c r="O194" s="193" t="n">
        <f aca="false">IFERROR(__xludf.dummyfunction("""COMPUTED_VALUE"""),1)</f>
        <v>1</v>
      </c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</row>
    <row r="195" customFormat="false" ht="15.75" hidden="false" customHeight="false" outlineLevel="0" collapsed="false">
      <c r="A195" s="193" t="str">
        <f aca="false">IFERROR(__xludf.dummyfunction("""COMPUTED_VALUE"""),"Ausar Thompson")</f>
        <v>Ausar Thompson</v>
      </c>
      <c r="B195" s="271" t="str">
        <f aca="false">IFERROR(__xludf.dummyfunction("""COMPUTED_VALUE"""),"Detroit Pistons")</f>
        <v>Detroit Pistons</v>
      </c>
      <c r="C195" s="272" t="n">
        <f aca="false">IFERROR(__xludf.dummyfunction("""COMPUTED_VALUE"""),8376000)</f>
        <v>8376000</v>
      </c>
      <c r="D195" s="193"/>
      <c r="E195" s="272" t="n">
        <f aca="false">IFERROR(__xludf.dummyfunction("""COMPUTED_VALUE"""),8775000)</f>
        <v>8775000</v>
      </c>
      <c r="F195" s="193"/>
      <c r="G195" s="272" t="n">
        <f aca="false">IFERROR(__xludf.dummyfunction("""COMPUTED_VALUE"""),11117925)</f>
        <v>11117925</v>
      </c>
      <c r="H195" s="271" t="str">
        <f aca="false">IFERROR(__xludf.dummyfunction("""COMPUTED_VALUE"""),"Club Option")</f>
        <v>Club Option</v>
      </c>
      <c r="I195" s="272" t="n">
        <f aca="false">IFERROR(__xludf.dummyfunction("""COMPUTED_VALUE"""),33353775)</f>
        <v>33353775</v>
      </c>
      <c r="J195" s="271" t="str">
        <f aca="false">IFERROR(__xludf.dummyfunction("""COMPUTED_VALUE"""),"RFA - Bird")</f>
        <v>RFA - Bird</v>
      </c>
      <c r="K195" s="273"/>
      <c r="L195" s="193"/>
      <c r="M195" s="273"/>
      <c r="N195" s="193"/>
      <c r="O195" s="193" t="n">
        <f aca="false">IFERROR(__xludf.dummyfunction("""COMPUTED_VALUE"""),1)</f>
        <v>1</v>
      </c>
      <c r="P195" s="193"/>
      <c r="Q195" s="193"/>
      <c r="R195" s="193"/>
      <c r="S195" s="193"/>
      <c r="T195" s="193"/>
      <c r="U195" s="193"/>
      <c r="V195" s="193"/>
      <c r="W195" s="193"/>
      <c r="X195" s="193"/>
      <c r="Y195" s="193"/>
      <c r="Z195" s="193"/>
    </row>
    <row r="196" customFormat="false" ht="15.75" hidden="false" customHeight="false" outlineLevel="0" collapsed="false">
      <c r="A196" s="193" t="str">
        <f aca="false">IFERROR(__xludf.dummyfunction("""COMPUTED_VALUE"""),"Ron Holland II")</f>
        <v>Ron Holland II</v>
      </c>
      <c r="B196" s="271" t="str">
        <f aca="false">IFERROR(__xludf.dummyfunction("""COMPUTED_VALUE"""),"Detroit Pistons")</f>
        <v>Detroit Pistons</v>
      </c>
      <c r="C196" s="272" t="n">
        <f aca="false">IFERROR(__xludf.dummyfunction("""COMPUTED_VALUE"""),8245320)</f>
        <v>8245320</v>
      </c>
      <c r="D196" s="193"/>
      <c r="E196" s="272" t="n">
        <f aca="false">IFERROR(__xludf.dummyfunction("""COMPUTED_VALUE"""),8657280)</f>
        <v>8657280</v>
      </c>
      <c r="F196" s="193"/>
      <c r="G196" s="272" t="n">
        <f aca="false">IFERROR(__xludf.dummyfunction("""COMPUTED_VALUE"""),9069600)</f>
        <v>9069600</v>
      </c>
      <c r="H196" s="271" t="str">
        <f aca="false">IFERROR(__xludf.dummyfunction("""COMPUTED_VALUE"""),"Club Option")</f>
        <v>Club Option</v>
      </c>
      <c r="I196" s="272" t="n">
        <f aca="false">IFERROR(__xludf.dummyfunction("""COMPUTED_VALUE"""),11491183)</f>
        <v>11491183</v>
      </c>
      <c r="J196" s="271" t="str">
        <f aca="false">IFERROR(__xludf.dummyfunction("""COMPUTED_VALUE"""),"Club Option")</f>
        <v>Club Option</v>
      </c>
      <c r="K196" s="272" t="n">
        <f aca="false">IFERROR(__xludf.dummyfunction("""COMPUTED_VALUE"""),34473549)</f>
        <v>34473549</v>
      </c>
      <c r="L196" s="271" t="str">
        <f aca="false">IFERROR(__xludf.dummyfunction("""COMPUTED_VALUE"""),"RFA - Bird")</f>
        <v>RFA - Bird</v>
      </c>
      <c r="M196" s="273"/>
      <c r="N196" s="193"/>
      <c r="O196" s="193" t="n">
        <f aca="false">IFERROR(__xludf.dummyfunction("""COMPUTED_VALUE"""),1)</f>
        <v>1</v>
      </c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</row>
    <row r="197" customFormat="false" ht="15.75" hidden="false" customHeight="false" outlineLevel="0" collapsed="false">
      <c r="A197" s="193" t="str">
        <f aca="false">IFERROR(__xludf.dummyfunction("""COMPUTED_VALUE"""),"Jalen Duren")</f>
        <v>Jalen Duren</v>
      </c>
      <c r="B197" s="271" t="str">
        <f aca="false">IFERROR(__xludf.dummyfunction("""COMPUTED_VALUE"""),"Detroit Pistons")</f>
        <v>Detroit Pistons</v>
      </c>
      <c r="C197" s="272" t="n">
        <f aca="false">IFERROR(__xludf.dummyfunction("""COMPUTED_VALUE"""),4536840)</f>
        <v>4536840</v>
      </c>
      <c r="D197" s="193"/>
      <c r="E197" s="272" t="n">
        <f aca="false">IFERROR(__xludf.dummyfunction("""COMPUTED_VALUE"""),6483144)</f>
        <v>6483144</v>
      </c>
      <c r="F197" s="193"/>
      <c r="G197" s="272" t="n">
        <f aca="false">IFERROR(__xludf.dummyfunction("""COMPUTED_VALUE"""),19449432)</f>
        <v>19449432</v>
      </c>
      <c r="H197" s="271" t="str">
        <f aca="false">IFERROR(__xludf.dummyfunction("""COMPUTED_VALUE"""),"RFA - Bird")</f>
        <v>RFA - Bird</v>
      </c>
      <c r="I197" s="272" t="str">
        <f aca="false">IFERROR(__xludf.dummyfunction("""COMPUTED_VALUE"""),"")</f>
        <v/>
      </c>
      <c r="J197" s="193"/>
      <c r="K197" s="273"/>
      <c r="L197" s="193"/>
      <c r="M197" s="273"/>
      <c r="N197" s="193"/>
      <c r="O197" s="193" t="n">
        <f aca="false">IFERROR(__xludf.dummyfunction("""COMPUTED_VALUE"""),1)</f>
        <v>1</v>
      </c>
      <c r="P197" s="193"/>
      <c r="Q197" s="193"/>
      <c r="R197" s="193"/>
      <c r="S197" s="193"/>
      <c r="T197" s="193"/>
      <c r="U197" s="193"/>
      <c r="V197" s="193"/>
      <c r="W197" s="193"/>
      <c r="X197" s="193"/>
      <c r="Y197" s="193"/>
      <c r="Z197" s="193"/>
    </row>
    <row r="198" customFormat="false" ht="15.75" hidden="false" customHeight="false" outlineLevel="0" collapsed="false">
      <c r="A198" s="193" t="str">
        <f aca="false">IFERROR(__xludf.dummyfunction("""COMPUTED_VALUE"""),"Cedric Coward (R)")</f>
        <v>Cedric Coward (R)</v>
      </c>
      <c r="B198" s="271" t="str">
        <f aca="false">IFERROR(__xludf.dummyfunction("""COMPUTED_VALUE"""),"Detroit Pistons")</f>
        <v>Detroit Pistons</v>
      </c>
      <c r="C198" s="273"/>
      <c r="D198" s="193"/>
      <c r="E198" s="272" t="n">
        <f aca="false">IFERROR(__xludf.dummyfunction("""COMPUTED_VALUE"""),5157960)</f>
        <v>5157960</v>
      </c>
      <c r="F198" s="193"/>
      <c r="G198" s="272" t="n">
        <f aca="false">IFERROR(__xludf.dummyfunction("""COMPUTED_VALUE"""),5416080)</f>
        <v>5416080</v>
      </c>
      <c r="H198" s="193"/>
      <c r="I198" s="272" t="n">
        <f aca="false">IFERROR(__xludf.dummyfunction("""COMPUTED_VALUE"""),5673840)</f>
        <v>5673840</v>
      </c>
      <c r="J198" s="271" t="str">
        <f aca="false">IFERROR(__xludf.dummyfunction("""COMPUTED_VALUE"""),"Club Option")</f>
        <v>Club Option</v>
      </c>
      <c r="K198" s="272" t="n">
        <f aca="false">IFERROR(__xludf.dummyfunction("""COMPUTED_VALUE"""),8107917.36)</f>
        <v>8107917.36</v>
      </c>
      <c r="L198" s="271" t="str">
        <f aca="false">IFERROR(__xludf.dummyfunction("""COMPUTED_VALUE"""),"Club Option")</f>
        <v>Club Option</v>
      </c>
      <c r="M198" s="272" t="n">
        <f aca="false">IFERROR(__xludf.dummyfunction("""COMPUTED_VALUE"""),24323752.08)</f>
        <v>24323752.08</v>
      </c>
      <c r="N198" s="271" t="str">
        <f aca="false">IFERROR(__xludf.dummyfunction("""COMPUTED_VALUE"""),"RFA - Bird")</f>
        <v>RFA - Bird</v>
      </c>
      <c r="O198" s="193" t="n">
        <f aca="false">IFERROR(__xludf.dummyfunction("""COMPUTED_VALUE"""),1)</f>
        <v>1</v>
      </c>
      <c r="P198" s="193"/>
      <c r="Q198" s="193"/>
      <c r="R198" s="193"/>
      <c r="S198" s="193"/>
      <c r="T198" s="193"/>
      <c r="U198" s="193"/>
      <c r="V198" s="193"/>
      <c r="W198" s="193"/>
      <c r="X198" s="193"/>
      <c r="Y198" s="193"/>
      <c r="Z198" s="193"/>
    </row>
    <row r="199" customFormat="false" ht="15.75" hidden="false" customHeight="false" outlineLevel="0" collapsed="false">
      <c r="A199" s="193" t="str">
        <f aca="false">IFERROR(__xludf.dummyfunction("""COMPUTED_VALUE"""),"Walter Clayton Jr. (R)")</f>
        <v>Walter Clayton Jr. (R)</v>
      </c>
      <c r="B199" s="271" t="str">
        <f aca="false">IFERROR(__xludf.dummyfunction("""COMPUTED_VALUE"""),"Detroit Pistons")</f>
        <v>Detroit Pistons</v>
      </c>
      <c r="C199" s="273"/>
      <c r="D199" s="193"/>
      <c r="E199" s="272" t="n">
        <f aca="false">IFERROR(__xludf.dummyfunction("""COMPUTED_VALUE"""),2801280)</f>
        <v>2801280</v>
      </c>
      <c r="F199" s="193"/>
      <c r="G199" s="272" t="n">
        <f aca="false">IFERROR(__xludf.dummyfunction("""COMPUTED_VALUE"""),2941440)</f>
        <v>2941440</v>
      </c>
      <c r="H199" s="193"/>
      <c r="I199" s="272" t="n">
        <f aca="false">IFERROR(__xludf.dummyfunction("""COMPUTED_VALUE"""),3081840)</f>
        <v>3081840</v>
      </c>
      <c r="J199" s="271" t="str">
        <f aca="false">IFERROR(__xludf.dummyfunction("""COMPUTED_VALUE"""),"Club Option")</f>
        <v>Club Option</v>
      </c>
      <c r="K199" s="272" t="n">
        <f aca="false">IFERROR(__xludf.dummyfunction("""COMPUTED_VALUE"""),5559639.36)</f>
        <v>5559639.36</v>
      </c>
      <c r="L199" s="271" t="str">
        <f aca="false">IFERROR(__xludf.dummyfunction("""COMPUTED_VALUE"""),"Club Option")</f>
        <v>Club Option</v>
      </c>
      <c r="M199" s="272" t="n">
        <f aca="false">IFERROR(__xludf.dummyfunction("""COMPUTED_VALUE"""),16678918.08)</f>
        <v>16678918.08</v>
      </c>
      <c r="N199" s="271" t="str">
        <f aca="false">IFERROR(__xludf.dummyfunction("""COMPUTED_VALUE"""),"RFA - Bird")</f>
        <v>RFA - Bird</v>
      </c>
      <c r="O199" s="193" t="n">
        <f aca="false">IFERROR(__xludf.dummyfunction("""COMPUTED_VALUE"""),1)</f>
        <v>1</v>
      </c>
      <c r="P199" s="193"/>
      <c r="Q199" s="193"/>
      <c r="R199" s="193"/>
      <c r="S199" s="193"/>
      <c r="T199" s="193"/>
      <c r="U199" s="193"/>
      <c r="V199" s="193"/>
      <c r="W199" s="193"/>
      <c r="X199" s="193"/>
      <c r="Y199" s="193"/>
      <c r="Z199" s="193"/>
    </row>
    <row r="200" customFormat="false" ht="15.75" hidden="false" customHeight="false" outlineLevel="0" collapsed="false">
      <c r="A200" s="193" t="str">
        <f aca="false">IFERROR(__xludf.dummyfunction("""COMPUTED_VALUE"""),"Kam Jones (R)")</f>
        <v>Kam Jones (R)</v>
      </c>
      <c r="B200" s="271" t="str">
        <f aca="false">IFERROR(__xludf.dummyfunction("""COMPUTED_VALUE"""),"Detroit Pistons")</f>
        <v>Detroit Pistons</v>
      </c>
      <c r="C200" s="273"/>
      <c r="D200" s="193"/>
      <c r="E200" s="272" t="n">
        <f aca="false">IFERROR(__xludf.dummyfunction("""COMPUTED_VALUE"""),2783880)</f>
        <v>2783880</v>
      </c>
      <c r="F200" s="193"/>
      <c r="G200" s="272" t="n">
        <f aca="false">IFERROR(__xludf.dummyfunction("""COMPUTED_VALUE"""),2923560)</f>
        <v>2923560</v>
      </c>
      <c r="H200" s="193"/>
      <c r="I200" s="272" t="n">
        <f aca="false">IFERROR(__xludf.dummyfunction("""COMPUTED_VALUE"""),3062640)</f>
        <v>3062640</v>
      </c>
      <c r="J200" s="271" t="str">
        <f aca="false">IFERROR(__xludf.dummyfunction("""COMPUTED_VALUE"""),"Club Option")</f>
        <v>Club Option</v>
      </c>
      <c r="K200" s="272" t="n">
        <f aca="false">IFERROR(__xludf.dummyfunction("""COMPUTED_VALUE"""),5528065.2)</f>
        <v>5528065.2</v>
      </c>
      <c r="L200" s="271" t="str">
        <f aca="false">IFERROR(__xludf.dummyfunction("""COMPUTED_VALUE"""),"Club Option")</f>
        <v>Club Option</v>
      </c>
      <c r="M200" s="272" t="n">
        <f aca="false">IFERROR(__xludf.dummyfunction("""COMPUTED_VALUE"""),16584195.6)</f>
        <v>16584195.6</v>
      </c>
      <c r="N200" s="271" t="str">
        <f aca="false">IFERROR(__xludf.dummyfunction("""COMPUTED_VALUE"""),"RFA - Bird")</f>
        <v>RFA - Bird</v>
      </c>
      <c r="O200" s="193" t="n">
        <f aca="false">IFERROR(__xludf.dummyfunction("""COMPUTED_VALUE"""),1)</f>
        <v>1</v>
      </c>
      <c r="P200" s="193"/>
      <c r="Q200" s="193"/>
      <c r="R200" s="193"/>
      <c r="S200" s="193"/>
      <c r="T200" s="193"/>
      <c r="U200" s="193"/>
      <c r="V200" s="193"/>
      <c r="W200" s="193"/>
      <c r="X200" s="193"/>
      <c r="Y200" s="193"/>
      <c r="Z200" s="193"/>
    </row>
    <row r="201" customFormat="false" ht="15.75" hidden="false" customHeight="false" outlineLevel="0" collapsed="false">
      <c r="A201" s="193" t="str">
        <f aca="false">IFERROR(__xludf.dummyfunction("""COMPUTED_VALUE"""),"Dante Exum")</f>
        <v>Dante Exum</v>
      </c>
      <c r="B201" s="271" t="str">
        <f aca="false">IFERROR(__xludf.dummyfunction("""COMPUTED_VALUE"""),"Detroit Pistons")</f>
        <v>Detroit Pistons</v>
      </c>
      <c r="C201" s="272" t="n">
        <f aca="false">IFERROR(__xludf.dummyfunction("""COMPUTED_VALUE"""),3150000)</f>
        <v>3150000</v>
      </c>
      <c r="D201" s="193"/>
      <c r="E201" s="272" t="n">
        <f aca="false">IFERROR(__xludf.dummyfunction("""COMPUTED_VALUE"""),2296271)</f>
        <v>2296271</v>
      </c>
      <c r="F201" s="193"/>
      <c r="G201" s="272" t="n">
        <f aca="false">IFERROR(__xludf.dummyfunction("""COMPUTED_VALUE"""),2525898.1)</f>
        <v>2525898.1</v>
      </c>
      <c r="H201" s="271" t="str">
        <f aca="false">IFERROR(__xludf.dummyfunction("""COMPUTED_VALUE"""),"UFA - Non-Bird")</f>
        <v>UFA - Non-Bird</v>
      </c>
      <c r="I201" s="273"/>
      <c r="J201" s="193"/>
      <c r="K201" s="273"/>
      <c r="L201" s="193"/>
      <c r="M201" s="273"/>
      <c r="N201" s="193"/>
      <c r="O201" s="193" t="n">
        <f aca="false">IFERROR(__xludf.dummyfunction("""COMPUTED_VALUE"""),1)</f>
        <v>1</v>
      </c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</row>
    <row r="202" customFormat="false" ht="15.75" hidden="false" customHeight="false" outlineLevel="0" collapsed="false">
      <c r="A202" s="193" t="str">
        <f aca="false">IFERROR(__xludf.dummyfunction("""COMPUTED_VALUE"""),"Ron Harper Jr.")</f>
        <v>Ron Harper Jr.</v>
      </c>
      <c r="B202" s="271" t="str">
        <f aca="false">IFERROR(__xludf.dummyfunction("""COMPUTED_VALUE"""),"Detroit Pistons")</f>
        <v>Detroit Pistons</v>
      </c>
      <c r="C202" s="272" t="n">
        <f aca="false">IFERROR(__xludf.dummyfunction("""COMPUTED_VALUE"""),2048491)</f>
        <v>2048491</v>
      </c>
      <c r="D202" s="193" t="str">
        <f aca="false">IFERROR(__xludf.dummyfunction("""COMPUTED_VALUE"""),"UFA - Two-way")</f>
        <v>UFA - Two-way</v>
      </c>
      <c r="E202" s="272" t="n">
        <f aca="false">IFERROR(__xludf.dummyfunction("""COMPUTED_VALUE"""),2048491)</f>
        <v>2048491</v>
      </c>
      <c r="F202" s="193" t="str">
        <f aca="false">IFERROR(__xludf.dummyfunction("""COMPUTED_VALUE"""),"UFA - Two-way")</f>
        <v>UFA - Two-way</v>
      </c>
      <c r="G202" s="273"/>
      <c r="H202" s="193"/>
      <c r="I202" s="273"/>
      <c r="J202" s="193"/>
      <c r="K202" s="273"/>
      <c r="L202" s="193"/>
      <c r="M202" s="273"/>
      <c r="N202" s="193"/>
      <c r="O202" s="193" t="n">
        <f aca="false">IFERROR(__xludf.dummyfunction("""COMPUTED_VALUE"""),1)</f>
        <v>1</v>
      </c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</row>
    <row r="203" customFormat="false" ht="15.75" hidden="false" customHeight="false" outlineLevel="0" collapsed="false">
      <c r="A203" s="193" t="str">
        <f aca="false">IFERROR(__xludf.dummyfunction("""COMPUTED_VALUE"""),"Tolu Smith III")</f>
        <v>Tolu Smith III</v>
      </c>
      <c r="B203" s="271" t="str">
        <f aca="false">IFERROR(__xludf.dummyfunction("""COMPUTED_VALUE"""),"Detroit Pistons")</f>
        <v>Detroit Pistons</v>
      </c>
      <c r="C203" s="272" t="n">
        <f aca="false">IFERROR(__xludf.dummyfunction("""COMPUTED_VALUE"""),2048491)</f>
        <v>2048491</v>
      </c>
      <c r="D203" s="193" t="str">
        <f aca="false">IFERROR(__xludf.dummyfunction("""COMPUTED_VALUE"""),"UFA - Two-way")</f>
        <v>UFA - Two-way</v>
      </c>
      <c r="E203" s="272" t="n">
        <f aca="false">IFERROR(__xludf.dummyfunction("""COMPUTED_VALUE"""),2048491)</f>
        <v>2048491</v>
      </c>
      <c r="F203" s="193" t="str">
        <f aca="false">IFERROR(__xludf.dummyfunction("""COMPUTED_VALUE"""),"UFA - Two-way")</f>
        <v>UFA - Two-way</v>
      </c>
      <c r="G203" s="273"/>
      <c r="H203" s="193"/>
      <c r="I203" s="273"/>
      <c r="J203" s="193"/>
      <c r="K203" s="273"/>
      <c r="L203" s="193"/>
      <c r="M203" s="273"/>
      <c r="N203" s="193"/>
      <c r="O203" s="193" t="n">
        <f aca="false">IFERROR(__xludf.dummyfunction("""COMPUTED_VALUE"""),1)</f>
        <v>1</v>
      </c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</row>
    <row r="204" customFormat="false" ht="15.75" hidden="false" customHeight="false" outlineLevel="0" collapsed="false">
      <c r="A204" s="193" t="str">
        <f aca="false">IFERROR(__xludf.dummyfunction("""COMPUTED_VALUE"""),"Quinten Post")</f>
        <v>Quinten Post</v>
      </c>
      <c r="B204" s="271" t="str">
        <f aca="false">IFERROR(__xludf.dummyfunction("""COMPUTED_VALUE"""),"Detroit Pistons")</f>
        <v>Detroit Pistons</v>
      </c>
      <c r="C204" s="272" t="n">
        <f aca="false">IFERROR(__xludf.dummyfunction("""COMPUTED_VALUE"""),438920)</f>
        <v>438920</v>
      </c>
      <c r="D204" s="193"/>
      <c r="E204" s="272" t="n">
        <f aca="false">IFERROR(__xludf.dummyfunction("""COMPUTED_VALUE"""),1955377)</f>
        <v>1955377</v>
      </c>
      <c r="F204" s="193"/>
      <c r="G204" s="272" t="n">
        <f aca="false">IFERROR(__xludf.dummyfunction("""COMPUTED_VALUE"""),2725905)</f>
        <v>2725905</v>
      </c>
      <c r="H204" s="271" t="str">
        <f aca="false">IFERROR(__xludf.dummyfunction("""COMPUTED_VALUE"""),"RFA - Early Bird")</f>
        <v>RFA - Early Bird</v>
      </c>
      <c r="I204" s="272" t="str">
        <f aca="false">IFERROR(__xludf.dummyfunction("""COMPUTED_VALUE"""),"")</f>
        <v/>
      </c>
      <c r="J204" s="193"/>
      <c r="K204" s="273"/>
      <c r="L204" s="193"/>
      <c r="M204" s="273"/>
      <c r="N204" s="193"/>
      <c r="O204" s="193" t="n">
        <f aca="false">IFERROR(__xludf.dummyfunction("""COMPUTED_VALUE"""),1)</f>
        <v>1</v>
      </c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</row>
    <row r="205" customFormat="false" ht="15.75" hidden="false" customHeight="false" outlineLevel="0" collapsed="false">
      <c r="A205" s="193" t="str">
        <f aca="false">IFERROR(__xludf.dummyfunction("""COMPUTED_VALUE"""),"Kyle Anderson")</f>
        <v>Kyle Anderson</v>
      </c>
      <c r="B205" s="271" t="str">
        <f aca="false">IFERROR(__xludf.dummyfunction("""COMPUTED_VALUE"""),"Detroit Pistons")</f>
        <v>Detroit Pistons</v>
      </c>
      <c r="C205" s="273"/>
      <c r="D205" s="271" t="str">
        <f aca="false">IFERROR(__xludf.dummyfunction("""COMPUTED_VALUE"""),"Dead Cap")</f>
        <v>Dead Cap</v>
      </c>
      <c r="E205" s="272" t="n">
        <f aca="false">IFERROR(__xludf.dummyfunction("""COMPUTED_VALUE"""),1843902.4)</f>
        <v>1843902.4</v>
      </c>
      <c r="F205" s="271" t="str">
        <f aca="false">IFERROR(__xludf.dummyfunction("""COMPUTED_VALUE"""),"Dead Cap")</f>
        <v>Dead Cap</v>
      </c>
      <c r="G205" s="272" t="n">
        <f aca="false">IFERROR(__xludf.dummyfunction("""COMPUTED_VALUE"""),1843902.4)</f>
        <v>1843902.4</v>
      </c>
      <c r="H205" s="271" t="str">
        <f aca="false">IFERROR(__xludf.dummyfunction("""COMPUTED_VALUE"""),"Dead Cap")</f>
        <v>Dead Cap</v>
      </c>
      <c r="I205" s="272" t="n">
        <f aca="false">IFERROR(__xludf.dummyfunction("""COMPUTED_VALUE"""),1843902.4)</f>
        <v>1843902.4</v>
      </c>
      <c r="J205" s="271" t="str">
        <f aca="false">IFERROR(__xludf.dummyfunction("""COMPUTED_VALUE"""),"Dead Cap")</f>
        <v>Dead Cap</v>
      </c>
      <c r="K205" s="272" t="n">
        <f aca="false">IFERROR(__xludf.dummyfunction("""COMPUTED_VALUE"""),1843902.4)</f>
        <v>1843902.4</v>
      </c>
      <c r="L205" s="271" t="str">
        <f aca="false">IFERROR(__xludf.dummyfunction("""COMPUTED_VALUE"""),"Dead Cap")</f>
        <v>Dead Cap</v>
      </c>
      <c r="M205" s="272" t="n">
        <f aca="false">IFERROR(__xludf.dummyfunction("""COMPUTED_VALUE"""),1843902.4)</f>
        <v>1843902.4</v>
      </c>
      <c r="N205" s="271" t="str">
        <f aca="false">IFERROR(__xludf.dummyfunction("""COMPUTED_VALUE"""),"Dead Cap")</f>
        <v>Dead Cap</v>
      </c>
      <c r="O205" s="193" t="n">
        <f aca="false">IFERROR(__xludf.dummyfunction("""COMPUTED_VALUE"""),2)</f>
        <v>2</v>
      </c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</row>
    <row r="206" customFormat="false" ht="15.75" hidden="false" customHeight="false" outlineLevel="0" collapsed="false">
      <c r="A206" s="193" t="str">
        <f aca="false">IFERROR(__xludf.dummyfunction("""COMPUTED_VALUE"""),"Sion James (R)")</f>
        <v>Sion James (R)</v>
      </c>
      <c r="B206" s="271" t="str">
        <f aca="false">IFERROR(__xludf.dummyfunction("""COMPUTED_VALUE"""),"Detroit Pistons")</f>
        <v>Detroit Pistons</v>
      </c>
      <c r="C206" s="273"/>
      <c r="D206" s="193"/>
      <c r="E206" s="272" t="n">
        <f aca="false">IFERROR(__xludf.dummyfunction("""COMPUTED_VALUE"""),1272869)</f>
        <v>1272869</v>
      </c>
      <c r="F206" s="193"/>
      <c r="G206" s="272" t="n">
        <f aca="false">IFERROR(__xludf.dummyfunction("""COMPUTED_VALUE"""),2150915.55)</f>
        <v>2150915.55</v>
      </c>
      <c r="H206" s="271" t="str">
        <f aca="false">IFERROR(__xludf.dummyfunction("""COMPUTED_VALUE"""),"50% Guaranteed")</f>
        <v>50% Guaranteed</v>
      </c>
      <c r="I206" s="272" t="n">
        <f aca="false">IFERROR(__xludf.dummyfunction("""COMPUTED_VALUE"""),2525899)</f>
        <v>2525899</v>
      </c>
      <c r="J206" s="271" t="str">
        <f aca="false">IFERROR(__xludf.dummyfunction("""COMPUTED_VALUE"""),"Club Option")</f>
        <v>Club Option</v>
      </c>
      <c r="K206" s="272" t="n">
        <f aca="false">IFERROR(__xludf.dummyfunction("""COMPUTED_VALUE"""),4799206.2)</f>
        <v>4799206.2</v>
      </c>
      <c r="L206" s="271" t="str">
        <f aca="false">IFERROR(__xludf.dummyfunction("""COMPUTED_VALUE"""),"UFA - Bird")</f>
        <v>UFA - Bird</v>
      </c>
      <c r="M206" s="273"/>
      <c r="N206" s="193"/>
      <c r="O206" s="193" t="n">
        <f aca="false">IFERROR(__xludf.dummyfunction("""COMPUTED_VALUE"""),1)</f>
        <v>1</v>
      </c>
      <c r="P206" s="193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</row>
    <row r="207" customFormat="false" ht="15.75" hidden="false" customHeight="false" outlineLevel="0" collapsed="false">
      <c r="A207" s="193" t="str">
        <f aca="false">IFERROR(__xludf.dummyfunction("""COMPUTED_VALUE"""),"Daniss Jenkins")</f>
        <v>Daniss Jenkins</v>
      </c>
      <c r="B207" s="271" t="str">
        <f aca="false">IFERROR(__xludf.dummyfunction("""COMPUTED_VALUE"""),"Detroit Pistons")</f>
        <v>Detroit Pistons</v>
      </c>
      <c r="C207" s="273"/>
      <c r="D207" s="193"/>
      <c r="E207" s="273"/>
      <c r="F207" s="271" t="str">
        <f aca="false">IFERROR(__xludf.dummyfunction("""COMPUTED_VALUE"""),"UFA - Rights Renounced")</f>
        <v>UFA - Rights Renounced</v>
      </c>
      <c r="G207" s="273"/>
      <c r="H207" s="193"/>
      <c r="I207" s="273"/>
      <c r="J207" s="193"/>
      <c r="K207" s="273"/>
      <c r="L207" s="193"/>
      <c r="M207" s="273"/>
      <c r="N207" s="193"/>
      <c r="O207" s="193" t="n">
        <f aca="false">IFERROR(__xludf.dummyfunction("""COMPUTED_VALUE"""),1)</f>
        <v>1</v>
      </c>
      <c r="P207" s="193"/>
      <c r="Q207" s="193"/>
      <c r="R207" s="193"/>
      <c r="S207" s="193"/>
      <c r="T207" s="193"/>
      <c r="U207" s="193"/>
      <c r="V207" s="193"/>
      <c r="W207" s="193"/>
      <c r="X207" s="193"/>
      <c r="Y207" s="193"/>
      <c r="Z207" s="193"/>
    </row>
    <row r="208" customFormat="false" ht="15.75" hidden="false" customHeight="false" outlineLevel="0" collapsed="false">
      <c r="A208" s="193" t="str">
        <f aca="false">IFERROR(__xludf.dummyfunction("""COMPUTED_VALUE"""),"Lindy Waters III")</f>
        <v>Lindy Waters III</v>
      </c>
      <c r="B208" s="271" t="str">
        <f aca="false">IFERROR(__xludf.dummyfunction("""COMPUTED_VALUE"""),"Detroit Pistons")</f>
        <v>Detroit Pistons</v>
      </c>
      <c r="C208" s="272" t="n">
        <f aca="false">IFERROR(__xludf.dummyfunction("""COMPUTED_VALUE"""),2196970)</f>
        <v>2196970</v>
      </c>
      <c r="D208" s="193"/>
      <c r="E208" s="273"/>
      <c r="F208" s="271" t="str">
        <f aca="false">IFERROR(__xludf.dummyfunction("""COMPUTED_VALUE"""),"UFA - Rights Renounced")</f>
        <v>UFA - Rights Renounced</v>
      </c>
      <c r="G208" s="272" t="str">
        <f aca="false">IFERROR(__xludf.dummyfunction("""COMPUTED_VALUE"""),"")</f>
        <v/>
      </c>
      <c r="H208" s="193"/>
      <c r="I208" s="272" t="str">
        <f aca="false">IFERROR(__xludf.dummyfunction("""COMPUTED_VALUE"""),"")</f>
        <v/>
      </c>
      <c r="J208" s="193"/>
      <c r="K208" s="273"/>
      <c r="L208" s="193"/>
      <c r="M208" s="273"/>
      <c r="N208" s="193"/>
      <c r="O208" s="193" t="n">
        <f aca="false">IFERROR(__xludf.dummyfunction("""COMPUTED_VALUE"""),1)</f>
        <v>1</v>
      </c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</row>
    <row r="209" customFormat="false" ht="15.75" hidden="false" customHeight="false" outlineLevel="0" collapsed="false">
      <c r="A209" s="193" t="str">
        <f aca="false">IFERROR(__xludf.dummyfunction("""COMPUTED_VALUE"""),"Hugo Gonzalez")</f>
        <v>Hugo Gonzalez</v>
      </c>
      <c r="B209" s="271" t="str">
        <f aca="false">IFERROR(__xludf.dummyfunction("""COMPUTED_VALUE"""),"Detroit Pistons")</f>
        <v>Detroit Pistons</v>
      </c>
      <c r="C209" s="273"/>
      <c r="D209" s="271" t="str">
        <f aca="false">IFERROR(__xludf.dummyfunction("""COMPUTED_VALUE"""),"Not In League")</f>
        <v>Not In League</v>
      </c>
      <c r="E209" s="273"/>
      <c r="F209" s="193"/>
      <c r="G209" s="273"/>
      <c r="H209" s="193"/>
      <c r="I209" s="273"/>
      <c r="J209" s="193"/>
      <c r="K209" s="273"/>
      <c r="L209" s="193"/>
      <c r="M209" s="273"/>
      <c r="N209" s="193"/>
      <c r="O209" s="193" t="n">
        <f aca="false">IFERROR(__xludf.dummyfunction("""COMPUTED_VALUE"""),1)</f>
        <v>1</v>
      </c>
      <c r="P209" s="193"/>
      <c r="Q209" s="193"/>
      <c r="R209" s="193"/>
      <c r="S209" s="193"/>
      <c r="T209" s="193"/>
      <c r="U209" s="193"/>
      <c r="V209" s="193"/>
      <c r="W209" s="193"/>
      <c r="X209" s="193"/>
      <c r="Y209" s="193"/>
      <c r="Z209" s="193"/>
    </row>
    <row r="210" customFormat="false" ht="15.75" hidden="false" customHeight="false" outlineLevel="0" collapsed="false">
      <c r="A210" s="193" t="str">
        <f aca="false">IFERROR(__xludf.dummyfunction("""COMPUTED_VALUE"""),"Neoklis Avdalas")</f>
        <v>Neoklis Avdalas</v>
      </c>
      <c r="B210" s="271" t="str">
        <f aca="false">IFERROR(__xludf.dummyfunction("""COMPUTED_VALUE"""),"Detroit Pistons")</f>
        <v>Detroit Pistons</v>
      </c>
      <c r="C210" s="273"/>
      <c r="D210" s="271" t="str">
        <f aca="false">IFERROR(__xludf.dummyfunction("""COMPUTED_VALUE"""),"Not In League")</f>
        <v>Not In League</v>
      </c>
      <c r="E210" s="273"/>
      <c r="F210" s="193"/>
      <c r="G210" s="273"/>
      <c r="H210" s="193"/>
      <c r="I210" s="273"/>
      <c r="J210" s="193"/>
      <c r="K210" s="273"/>
      <c r="L210" s="193"/>
      <c r="M210" s="273"/>
      <c r="N210" s="193"/>
      <c r="O210" s="193" t="n">
        <f aca="false">IFERROR(__xludf.dummyfunction("""COMPUTED_VALUE"""),1)</f>
        <v>1</v>
      </c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</row>
    <row r="211" customFormat="false" ht="15.75" hidden="false" customHeight="false" outlineLevel="0" collapsed="false">
      <c r="A211" s="193" t="str">
        <f aca="false">IFERROR(__xludf.dummyfunction("""COMPUTED_VALUE"""),"Jackson Rowe")</f>
        <v>Jackson Rowe</v>
      </c>
      <c r="B211" s="271" t="str">
        <f aca="false">IFERROR(__xludf.dummyfunction("""COMPUTED_VALUE"""),"Golden State Warriors")</f>
        <v>Golden State Warriors</v>
      </c>
      <c r="C211" s="272" t="str">
        <f aca="false">IFERROR(__xludf.dummyfunction("""COMPUTED_VALUE"""),"Two-way")</f>
        <v>Two-way</v>
      </c>
      <c r="D211" s="271" t="str">
        <f aca="false">IFERROR(__xludf.dummyfunction("""COMPUTED_VALUE"""),"Two-way")</f>
        <v>Two-way</v>
      </c>
      <c r="E211" s="272" t="str">
        <f aca="false">IFERROR(__xludf.dummyfunction("""COMPUTED_VALUE"""),"Two-way")</f>
        <v>Two-way</v>
      </c>
      <c r="F211" s="271" t="str">
        <f aca="false">IFERROR(__xludf.dummyfunction("""COMPUTED_VALUE"""),"Two-way")</f>
        <v>Two-way</v>
      </c>
      <c r="G211" s="272" t="n">
        <f aca="false">IFERROR(__xludf.dummyfunction("""COMPUTED_VALUE"""),2253346)</f>
        <v>2253346</v>
      </c>
      <c r="H211" s="271" t="str">
        <f aca="false">IFERROR(__xludf.dummyfunction("""COMPUTED_VALUE"""),"UFA - Two-way")</f>
        <v>UFA - Two-way</v>
      </c>
      <c r="I211" s="273"/>
      <c r="J211" s="193"/>
      <c r="K211" s="273"/>
      <c r="L211" s="193"/>
      <c r="M211" s="273"/>
      <c r="N211" s="193"/>
      <c r="O211" s="193" t="n">
        <f aca="false">IFERROR(__xludf.dummyfunction("""COMPUTED_VALUE"""),1)</f>
        <v>1</v>
      </c>
      <c r="P211" s="193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</row>
    <row r="212" customFormat="false" ht="15.75" hidden="false" customHeight="false" outlineLevel="0" collapsed="false">
      <c r="A212" s="193" t="str">
        <f aca="false">IFERROR(__xludf.dummyfunction("""COMPUTED_VALUE"""),"Jamaree Bouyea")</f>
        <v>Jamaree Bouyea</v>
      </c>
      <c r="B212" s="271" t="str">
        <f aca="false">IFERROR(__xludf.dummyfunction("""COMPUTED_VALUE"""),"Golden State Warriors")</f>
        <v>Golden State Warriors</v>
      </c>
      <c r="C212" s="272" t="str">
        <f aca="false">IFERROR(__xludf.dummyfunction("""COMPUTED_VALUE"""),"Two-way")</f>
        <v>Two-way</v>
      </c>
      <c r="D212" s="271" t="str">
        <f aca="false">IFERROR(__xludf.dummyfunction("""COMPUTED_VALUE"""),"Two-way")</f>
        <v>Two-way</v>
      </c>
      <c r="E212" s="272" t="str">
        <f aca="false">IFERROR(__xludf.dummyfunction("""COMPUTED_VALUE"""),"Two-way")</f>
        <v>Two-way</v>
      </c>
      <c r="F212" s="271" t="str">
        <f aca="false">IFERROR(__xludf.dummyfunction("""COMPUTED_VALUE"""),"Two-way")</f>
        <v>Two-way</v>
      </c>
      <c r="G212" s="272" t="n">
        <f aca="false">IFERROR(__xludf.dummyfunction("""COMPUTED_VALUE"""),2253346)</f>
        <v>2253346</v>
      </c>
      <c r="H212" s="271" t="str">
        <f aca="false">IFERROR(__xludf.dummyfunction("""COMPUTED_VALUE"""),"UFA - Two-way")</f>
        <v>UFA - Two-way</v>
      </c>
      <c r="I212" s="273"/>
      <c r="J212" s="193"/>
      <c r="K212" s="273"/>
      <c r="L212" s="193"/>
      <c r="M212" s="273"/>
      <c r="N212" s="193"/>
      <c r="O212" s="193" t="n">
        <f aca="false">IFERROR(__xludf.dummyfunction("""COMPUTED_VALUE"""),1)</f>
        <v>1</v>
      </c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</row>
    <row r="213" customFormat="false" ht="15.75" hidden="false" customHeight="false" outlineLevel="0" collapsed="false">
      <c r="A213" s="193" t="str">
        <f aca="false">IFERROR(__xludf.dummyfunction("""COMPUTED_VALUE"""),"Stephen Curry")</f>
        <v>Stephen Curry</v>
      </c>
      <c r="B213" s="271" t="str">
        <f aca="false">IFERROR(__xludf.dummyfunction("""COMPUTED_VALUE"""),"Golden State Warriors")</f>
        <v>Golden State Warriors</v>
      </c>
      <c r="C213" s="272" t="n">
        <f aca="false">IFERROR(__xludf.dummyfunction("""COMPUTED_VALUE"""),55761216)</f>
        <v>55761216</v>
      </c>
      <c r="D213" s="193"/>
      <c r="E213" s="272" t="n">
        <f aca="false">IFERROR(__xludf.dummyfunction("""COMPUTED_VALUE"""),59606817)</f>
        <v>59606817</v>
      </c>
      <c r="F213" s="193"/>
      <c r="G213" s="272" t="n">
        <f aca="false">IFERROR(__xludf.dummyfunction("""COMPUTED_VALUE"""),62587158)</f>
        <v>62587158</v>
      </c>
      <c r="H213" s="193"/>
      <c r="I213" s="272" t="n">
        <f aca="false">IFERROR(__xludf.dummyfunction("""COMPUTED_VALUE"""),65716516)</f>
        <v>65716516</v>
      </c>
      <c r="J213" s="271" t="str">
        <f aca="false">IFERROR(__xludf.dummyfunction("""COMPUTED_VALUE"""),"UFA - Bird")</f>
        <v>UFA - Bird</v>
      </c>
      <c r="K213" s="273"/>
      <c r="L213" s="193"/>
      <c r="M213" s="273"/>
      <c r="N213" s="193"/>
      <c r="O213" s="193" t="n">
        <f aca="false">IFERROR(__xludf.dummyfunction("""COMPUTED_VALUE"""),1)</f>
        <v>1</v>
      </c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</row>
    <row r="214" customFormat="false" ht="15.75" hidden="false" customHeight="false" outlineLevel="0" collapsed="false">
      <c r="A214" s="193" t="str">
        <f aca="false">IFERROR(__xludf.dummyfunction("""COMPUTED_VALUE"""),"Jimmy Butler")</f>
        <v>Jimmy Butler</v>
      </c>
      <c r="B214" s="271" t="str">
        <f aca="false">IFERROR(__xludf.dummyfunction("""COMPUTED_VALUE"""),"Golden State Warriors")</f>
        <v>Golden State Warriors</v>
      </c>
      <c r="C214" s="272" t="n">
        <f aca="false">IFERROR(__xludf.dummyfunction("""COMPUTED_VALUE"""),48798677)</f>
        <v>48798677</v>
      </c>
      <c r="D214" s="193"/>
      <c r="E214" s="272" t="n">
        <f aca="false">IFERROR(__xludf.dummyfunction("""COMPUTED_VALUE"""),54126450)</f>
        <v>54126450</v>
      </c>
      <c r="F214" s="271" t="str">
        <f aca="false">IFERROR(__xludf.dummyfunction("""COMPUTED_VALUE"""),"Estimated")</f>
        <v>Estimated</v>
      </c>
      <c r="G214" s="272" t="n">
        <f aca="false">IFERROR(__xludf.dummyfunction("""COMPUTED_VALUE"""),56832773)</f>
        <v>56832773</v>
      </c>
      <c r="H214" s="271" t="str">
        <f aca="false">IFERROR(__xludf.dummyfunction("""COMPUTED_VALUE"""),"Estimated")</f>
        <v>Estimated</v>
      </c>
      <c r="I214" s="272" t="n">
        <f aca="false">IFERROR(__xludf.dummyfunction("""COMPUTED_VALUE"""),65493050)</f>
        <v>65493050</v>
      </c>
      <c r="J214" s="271" t="str">
        <f aca="false">IFERROR(__xludf.dummyfunction("""COMPUTED_VALUE"""),"UFA - Bird")</f>
        <v>UFA - Bird</v>
      </c>
      <c r="K214" s="273"/>
      <c r="L214" s="193"/>
      <c r="M214" s="273"/>
      <c r="N214" s="193"/>
      <c r="O214" s="193" t="n">
        <f aca="false">IFERROR(__xludf.dummyfunction("""COMPUTED_VALUE"""),1)</f>
        <v>1</v>
      </c>
      <c r="P214" s="193"/>
      <c r="Q214" s="193"/>
      <c r="R214" s="193"/>
      <c r="S214" s="193"/>
      <c r="T214" s="193"/>
      <c r="U214" s="193"/>
      <c r="V214" s="193"/>
      <c r="W214" s="193"/>
      <c r="X214" s="193"/>
      <c r="Y214" s="193"/>
      <c r="Z214" s="193"/>
    </row>
    <row r="215" customFormat="false" ht="15.75" hidden="false" customHeight="false" outlineLevel="0" collapsed="false">
      <c r="A215" s="193" t="str">
        <f aca="false">IFERROR(__xludf.dummyfunction("""COMPUTED_VALUE"""),"Tobias Harris")</f>
        <v>Tobias Harris</v>
      </c>
      <c r="B215" s="271" t="str">
        <f aca="false">IFERROR(__xludf.dummyfunction("""COMPUTED_VALUE"""),"Golden State Warriors")</f>
        <v>Golden State Warriors</v>
      </c>
      <c r="C215" s="273"/>
      <c r="D215" s="193"/>
      <c r="E215" s="272" t="n">
        <f aca="false">IFERROR(__xludf.dummyfunction("""COMPUTED_VALUE"""),26634146)</f>
        <v>26634146</v>
      </c>
      <c r="F215" s="193"/>
      <c r="G215" s="272" t="n">
        <f aca="false">IFERROR(__xludf.dummyfunction("""COMPUTED_VALUE"""),39951219)</f>
        <v>39951219</v>
      </c>
      <c r="H215" s="193" t="str">
        <f aca="false">IFERROR(__xludf.dummyfunction("""COMPUTED_VALUE"""),"UFA - Early Bird")</f>
        <v>UFA - Early Bird</v>
      </c>
      <c r="I215" s="272" t="str">
        <f aca="false">IFERROR(__xludf.dummyfunction("""COMPUTED_VALUE"""),"")</f>
        <v/>
      </c>
      <c r="J215" s="193"/>
      <c r="K215" s="273"/>
      <c r="L215" s="193"/>
      <c r="M215" s="273"/>
      <c r="N215" s="193"/>
      <c r="O215" s="193" t="n">
        <f aca="false">IFERROR(__xludf.dummyfunction("""COMPUTED_VALUE"""),1)</f>
        <v>1</v>
      </c>
      <c r="P215" s="193"/>
      <c r="Q215" s="193"/>
      <c r="R215" s="193"/>
      <c r="S215" s="193"/>
      <c r="T215" s="193"/>
      <c r="U215" s="193"/>
      <c r="V215" s="193"/>
      <c r="W215" s="193"/>
      <c r="X215" s="193"/>
      <c r="Y215" s="193"/>
      <c r="Z215" s="193"/>
    </row>
    <row r="216" customFormat="false" ht="15.75" hidden="false" customHeight="false" outlineLevel="0" collapsed="false">
      <c r="A216" s="193" t="str">
        <f aca="false">IFERROR(__xludf.dummyfunction("""COMPUTED_VALUE"""),"Draymond Green")</f>
        <v>Draymond Green</v>
      </c>
      <c r="B216" s="271" t="str">
        <f aca="false">IFERROR(__xludf.dummyfunction("""COMPUTED_VALUE"""),"Golden State Warriors")</f>
        <v>Golden State Warriors</v>
      </c>
      <c r="C216" s="272" t="n">
        <f aca="false">IFERROR(__xludf.dummyfunction("""COMPUTED_VALUE"""),24107143)</f>
        <v>24107143</v>
      </c>
      <c r="D216" s="193"/>
      <c r="E216" s="272" t="n">
        <f aca="false">IFERROR(__xludf.dummyfunction("""COMPUTED_VALUE"""),25892857)</f>
        <v>25892857</v>
      </c>
      <c r="F216" s="193"/>
      <c r="G216" s="272" t="n">
        <f aca="false">IFERROR(__xludf.dummyfunction("""COMPUTED_VALUE"""),27678571)</f>
        <v>27678571</v>
      </c>
      <c r="H216" s="271" t="str">
        <f aca="false">IFERROR(__xludf.dummyfunction("""COMPUTED_VALUE"""),"Player Option")</f>
        <v>Player Option</v>
      </c>
      <c r="I216" s="272" t="n">
        <f aca="false">IFERROR(__xludf.dummyfunction("""COMPUTED_VALUE"""),41517857)</f>
        <v>41517857</v>
      </c>
      <c r="J216" s="271" t="str">
        <f aca="false">IFERROR(__xludf.dummyfunction("""COMPUTED_VALUE"""),"UFA - Bird")</f>
        <v>UFA - Bird</v>
      </c>
      <c r="K216" s="273"/>
      <c r="L216" s="193"/>
      <c r="M216" s="273"/>
      <c r="N216" s="193"/>
      <c r="O216" s="193" t="n">
        <f aca="false">IFERROR(__xludf.dummyfunction("""COMPUTED_VALUE"""),1)</f>
        <v>1</v>
      </c>
      <c r="P216" s="193"/>
      <c r="Q216" s="193"/>
      <c r="R216" s="193"/>
      <c r="S216" s="193"/>
      <c r="T216" s="193"/>
      <c r="U216" s="193"/>
      <c r="V216" s="193"/>
      <c r="W216" s="193"/>
      <c r="X216" s="193"/>
      <c r="Y216" s="193"/>
      <c r="Z216" s="193"/>
    </row>
    <row r="217" customFormat="false" ht="15.75" hidden="false" customHeight="false" outlineLevel="0" collapsed="false">
      <c r="A217" s="193" t="str">
        <f aca="false">IFERROR(__xludf.dummyfunction("""COMPUTED_VALUE"""),"Buddy Hield")</f>
        <v>Buddy Hield</v>
      </c>
      <c r="B217" s="271" t="str">
        <f aca="false">IFERROR(__xludf.dummyfunction("""COMPUTED_VALUE"""),"Golden State Warriors")</f>
        <v>Golden State Warriors</v>
      </c>
      <c r="C217" s="272" t="n">
        <f aca="false">IFERROR(__xludf.dummyfunction("""COMPUTED_VALUE"""),8780488)</f>
        <v>8780488</v>
      </c>
      <c r="D217" s="193"/>
      <c r="E217" s="272" t="n">
        <f aca="false">IFERROR(__xludf.dummyfunction("""COMPUTED_VALUE"""),9219512)</f>
        <v>9219512</v>
      </c>
      <c r="F217" s="193"/>
      <c r="G217" s="272" t="n">
        <f aca="false">IFERROR(__xludf.dummyfunction("""COMPUTED_VALUE"""),9658536)</f>
        <v>9658536</v>
      </c>
      <c r="H217" s="271" t="str">
        <f aca="false">IFERROR(__xludf.dummyfunction("""COMPUTED_VALUE"""),"3 mil Guaranteed")</f>
        <v>3 mil Guaranteed</v>
      </c>
      <c r="I217" s="272" t="n">
        <f aca="false">IFERROR(__xludf.dummyfunction("""COMPUTED_VALUE"""),10097560)</f>
        <v>10097560</v>
      </c>
      <c r="J217" s="271" t="str">
        <f aca="false">IFERROR(__xludf.dummyfunction("""COMPUTED_VALUE"""),"Player Option")</f>
        <v>Player Option</v>
      </c>
      <c r="K217" s="272" t="n">
        <f aca="false">IFERROR(__xludf.dummyfunction("""COMPUTED_VALUE"""),19185364)</f>
        <v>19185364</v>
      </c>
      <c r="L217" s="271" t="str">
        <f aca="false">IFERROR(__xludf.dummyfunction("""COMPUTED_VALUE"""),"UFA - Bird")</f>
        <v>UFA - Bird</v>
      </c>
      <c r="M217" s="273"/>
      <c r="N217" s="193"/>
      <c r="O217" s="193" t="n">
        <f aca="false">IFERROR(__xludf.dummyfunction("""COMPUTED_VALUE"""),1)</f>
        <v>1</v>
      </c>
      <c r="P217" s="193"/>
      <c r="Q217" s="193"/>
      <c r="R217" s="193"/>
      <c r="S217" s="193"/>
      <c r="T217" s="193"/>
      <c r="U217" s="193"/>
      <c r="V217" s="193"/>
      <c r="W217" s="193"/>
      <c r="X217" s="193"/>
      <c r="Y217" s="193"/>
      <c r="Z217" s="193"/>
    </row>
    <row r="218" customFormat="false" ht="15.75" hidden="false" customHeight="false" outlineLevel="0" collapsed="false">
      <c r="A218" s="193" t="str">
        <f aca="false">IFERROR(__xludf.dummyfunction("""COMPUTED_VALUE"""),"Mark Williams")</f>
        <v>Mark Williams</v>
      </c>
      <c r="B218" s="271" t="str">
        <f aca="false">IFERROR(__xludf.dummyfunction("""COMPUTED_VALUE"""),"Golden State Warriors")</f>
        <v>Golden State Warriors</v>
      </c>
      <c r="C218" s="273"/>
      <c r="D218" s="193"/>
      <c r="E218" s="272" t="n">
        <f aca="false">IFERROR(__xludf.dummyfunction("""COMPUTED_VALUE"""),6276531)</f>
        <v>6276531</v>
      </c>
      <c r="F218" s="193"/>
      <c r="G218" s="272" t="n">
        <f aca="false">IFERROR(__xludf.dummyfunction("""COMPUTED_VALUE"""),18829593)</f>
        <v>18829593</v>
      </c>
      <c r="H218" s="193" t="str">
        <f aca="false">IFERROR(__xludf.dummyfunction("""COMPUTED_VALUE"""),"RFA - Bird")</f>
        <v>RFA - Bird</v>
      </c>
      <c r="I218" s="272" t="str">
        <f aca="false">IFERROR(__xludf.dummyfunction("""COMPUTED_VALUE"""),"")</f>
        <v/>
      </c>
      <c r="J218" s="193"/>
      <c r="K218" s="273"/>
      <c r="L218" s="193"/>
      <c r="M218" s="273"/>
      <c r="N218" s="193"/>
      <c r="O218" s="193" t="n">
        <f aca="false">IFERROR(__xludf.dummyfunction("""COMPUTED_VALUE"""),1)</f>
        <v>1</v>
      </c>
      <c r="P218" s="193"/>
      <c r="Q218" s="193"/>
      <c r="R218" s="193"/>
      <c r="S218" s="193"/>
      <c r="T218" s="193"/>
      <c r="U218" s="193"/>
      <c r="V218" s="193"/>
      <c r="W218" s="193"/>
      <c r="X218" s="193"/>
      <c r="Y218" s="193"/>
      <c r="Z218" s="193"/>
    </row>
    <row r="219" customFormat="false" ht="15.75" hidden="false" customHeight="false" outlineLevel="0" collapsed="false">
      <c r="A219" s="193" t="str">
        <f aca="false">IFERROR(__xludf.dummyfunction("""COMPUTED_VALUE"""),"Brook Lopez")</f>
        <v>Brook Lopez</v>
      </c>
      <c r="B219" s="271" t="str">
        <f aca="false">IFERROR(__xludf.dummyfunction("""COMPUTED_VALUE"""),"Golden State Warriors")</f>
        <v>Golden State Warriors</v>
      </c>
      <c r="C219" s="272" t="n">
        <f aca="false">IFERROR(__xludf.dummyfunction("""COMPUTED_VALUE"""),23000000)</f>
        <v>23000000</v>
      </c>
      <c r="D219" s="193"/>
      <c r="E219" s="272" t="n">
        <f aca="false">IFERROR(__xludf.dummyfunction("""COMPUTED_VALUE"""),5684666)</f>
        <v>5684666</v>
      </c>
      <c r="F219" s="193"/>
      <c r="G219" s="272" t="n">
        <f aca="false">IFERROR(__xludf.dummyfunction("""COMPUTED_VALUE"""),5684666)</f>
        <v>5684666</v>
      </c>
      <c r="H219" s="271" t="str">
        <f aca="false">IFERROR(__xludf.dummyfunction("""COMPUTED_VALUE"""),"Player Option")</f>
        <v>Player Option</v>
      </c>
      <c r="I219" s="272" t="n">
        <f aca="false">IFERROR(__xludf.dummyfunction("""COMPUTED_VALUE"""),7390065.8)</f>
        <v>7390065.8</v>
      </c>
      <c r="J219" s="271" t="str">
        <f aca="false">IFERROR(__xludf.dummyfunction("""COMPUTED_VALUE"""),"UFA - Early Bird")</f>
        <v>UFA - Early Bird</v>
      </c>
      <c r="K219" s="273"/>
      <c r="L219" s="193"/>
      <c r="M219" s="273"/>
      <c r="N219" s="193"/>
      <c r="O219" s="193" t="n">
        <f aca="false">IFERROR(__xludf.dummyfunction("""COMPUTED_VALUE"""),1)</f>
        <v>1</v>
      </c>
      <c r="P219" s="193"/>
      <c r="Q219" s="193"/>
      <c r="R219" s="193"/>
      <c r="S219" s="193"/>
      <c r="T219" s="193"/>
      <c r="U219" s="193"/>
      <c r="V219" s="193"/>
      <c r="W219" s="193"/>
      <c r="X219" s="193"/>
      <c r="Y219" s="193"/>
      <c r="Z219" s="193"/>
    </row>
    <row r="220" customFormat="false" ht="15.75" hidden="false" customHeight="false" outlineLevel="0" collapsed="false">
      <c r="A220" s="193" t="str">
        <f aca="false">IFERROR(__xludf.dummyfunction("""COMPUTED_VALUE"""),"Brandin Podziemski")</f>
        <v>Brandin Podziemski</v>
      </c>
      <c r="B220" s="271" t="str">
        <f aca="false">IFERROR(__xludf.dummyfunction("""COMPUTED_VALUE"""),"Golden State Warriors")</f>
        <v>Golden State Warriors</v>
      </c>
      <c r="C220" s="272" t="n">
        <f aca="false">IFERROR(__xludf.dummyfunction("""COMPUTED_VALUE"""),3519960)</f>
        <v>3519960</v>
      </c>
      <c r="D220" s="193"/>
      <c r="E220" s="272" t="n">
        <f aca="false">IFERROR(__xludf.dummyfunction("""COMPUTED_VALUE"""),3687960)</f>
        <v>3687960</v>
      </c>
      <c r="F220" s="193"/>
      <c r="G220" s="272" t="n">
        <f aca="false">IFERROR(__xludf.dummyfunction("""COMPUTED_VALUE"""),5679459)</f>
        <v>5679459</v>
      </c>
      <c r="H220" s="271" t="str">
        <f aca="false">IFERROR(__xludf.dummyfunction("""COMPUTED_VALUE"""),"Club Option")</f>
        <v>Club Option</v>
      </c>
      <c r="I220" s="272" t="n">
        <f aca="false">IFERROR(__xludf.dummyfunction("""COMPUTED_VALUE"""),17038377)</f>
        <v>17038377</v>
      </c>
      <c r="J220" s="271" t="str">
        <f aca="false">IFERROR(__xludf.dummyfunction("""COMPUTED_VALUE"""),"RFA - Bird")</f>
        <v>RFA - Bird</v>
      </c>
      <c r="K220" s="273"/>
      <c r="L220" s="193"/>
      <c r="M220" s="273"/>
      <c r="N220" s="193"/>
      <c r="O220" s="193" t="n">
        <f aca="false">IFERROR(__xludf.dummyfunction("""COMPUTED_VALUE"""),1)</f>
        <v>1</v>
      </c>
      <c r="P220" s="193"/>
      <c r="Q220" s="193"/>
      <c r="R220" s="193"/>
      <c r="S220" s="193"/>
      <c r="T220" s="193"/>
      <c r="U220" s="193"/>
      <c r="V220" s="193"/>
      <c r="W220" s="193"/>
      <c r="X220" s="193"/>
      <c r="Y220" s="193"/>
      <c r="Z220" s="193"/>
    </row>
    <row r="221" customFormat="false" ht="15.75" hidden="false" customHeight="false" outlineLevel="0" collapsed="false">
      <c r="A221" s="193" t="str">
        <f aca="false">IFERROR(__xludf.dummyfunction("""COMPUTED_VALUE"""),"Brice Sensabaugh")</f>
        <v>Brice Sensabaugh</v>
      </c>
      <c r="B221" s="271" t="str">
        <f aca="false">IFERROR(__xludf.dummyfunction("""COMPUTED_VALUE"""),"Golden State Warriors")</f>
        <v>Golden State Warriors</v>
      </c>
      <c r="C221" s="272" t="n">
        <f aca="false">IFERROR(__xludf.dummyfunction("""COMPUTED_VALUE"""),2571480)</f>
        <v>2571480</v>
      </c>
      <c r="D221" s="193"/>
      <c r="E221" s="272" t="n">
        <f aca="false">IFERROR(__xludf.dummyfunction("""COMPUTED_VALUE"""),2693760)</f>
        <v>2693760</v>
      </c>
      <c r="F221" s="193"/>
      <c r="G221" s="272" t="n">
        <f aca="false">IFERROR(__xludf.dummyfunction("""COMPUTED_VALUE"""),4862237)</f>
        <v>4862237</v>
      </c>
      <c r="H221" s="271" t="str">
        <f aca="false">IFERROR(__xludf.dummyfunction("""COMPUTED_VALUE"""),"Club Option")</f>
        <v>Club Option</v>
      </c>
      <c r="I221" s="272" t="n">
        <f aca="false">IFERROR(__xludf.dummyfunction("""COMPUTED_VALUE"""),14586711)</f>
        <v>14586711</v>
      </c>
      <c r="J221" s="193" t="str">
        <f aca="false">IFERROR(__xludf.dummyfunction("""COMPUTED_VALUE"""),"RFA - Bird")</f>
        <v>RFA - Bird</v>
      </c>
      <c r="K221" s="273"/>
      <c r="L221" s="193"/>
      <c r="M221" s="273"/>
      <c r="N221" s="193"/>
      <c r="O221" s="193" t="n">
        <f aca="false">IFERROR(__xludf.dummyfunction("""COMPUTED_VALUE"""),1)</f>
        <v>1</v>
      </c>
      <c r="P221" s="193"/>
      <c r="Q221" s="193"/>
      <c r="R221" s="193"/>
      <c r="S221" s="193"/>
      <c r="T221" s="193"/>
      <c r="U221" s="193"/>
      <c r="V221" s="193"/>
      <c r="W221" s="193"/>
      <c r="X221" s="193"/>
      <c r="Y221" s="193"/>
      <c r="Z221" s="193"/>
    </row>
    <row r="222" customFormat="false" ht="15.75" hidden="false" customHeight="false" outlineLevel="0" collapsed="false">
      <c r="A222" s="193" t="str">
        <f aca="false">IFERROR(__xludf.dummyfunction("""COMPUTED_VALUE"""),"Pat Spencer")</f>
        <v>Pat Spencer</v>
      </c>
      <c r="B222" s="271" t="str">
        <f aca="false">IFERROR(__xludf.dummyfunction("""COMPUTED_VALUE"""),"Golden State Warriors")</f>
        <v>Golden State Warriors</v>
      </c>
      <c r="C222" s="272" t="n">
        <f aca="false">IFERROR(__xludf.dummyfunction("""COMPUTED_VALUE"""),438810)</f>
        <v>438810</v>
      </c>
      <c r="D222" s="193"/>
      <c r="E222" s="272" t="n">
        <f aca="false">IFERROR(__xludf.dummyfunction("""COMPUTED_VALUE"""),2496274)</f>
        <v>2496274</v>
      </c>
      <c r="F222" s="271" t="str">
        <f aca="false">IFERROR(__xludf.dummyfunction("""COMPUTED_VALUE"""),"UFA - Non-Bird")</f>
        <v>UFA - Non-Bird</v>
      </c>
      <c r="G222" s="273"/>
      <c r="H222" s="193"/>
      <c r="I222" s="273"/>
      <c r="J222" s="193"/>
      <c r="K222" s="273"/>
      <c r="L222" s="193"/>
      <c r="M222" s="273"/>
      <c r="N222" s="193"/>
      <c r="O222" s="193" t="n">
        <f aca="false">IFERROR(__xludf.dummyfunction("""COMPUTED_VALUE"""),1)</f>
        <v>1</v>
      </c>
      <c r="P222" s="193"/>
      <c r="Q222" s="193"/>
      <c r="R222" s="193"/>
      <c r="S222" s="193"/>
      <c r="T222" s="193"/>
      <c r="U222" s="193"/>
      <c r="V222" s="193"/>
      <c r="W222" s="193"/>
      <c r="X222" s="193"/>
      <c r="Y222" s="193"/>
      <c r="Z222" s="193"/>
    </row>
    <row r="223" customFormat="false" ht="15.75" hidden="false" customHeight="false" outlineLevel="0" collapsed="false">
      <c r="A223" s="193" t="str">
        <f aca="false">IFERROR(__xludf.dummyfunction("""COMPUTED_VALUE"""),"Andrew Bogut")</f>
        <v>Andrew Bogut</v>
      </c>
      <c r="B223" s="271" t="str">
        <f aca="false">IFERROR(__xludf.dummyfunction("""COMPUTED_VALUE"""),"Golden State Warriors")</f>
        <v>Golden State Warriors</v>
      </c>
      <c r="C223" s="272" t="n">
        <f aca="false">IFERROR(__xludf.dummyfunction("""COMPUTED_VALUE"""),2087519)</f>
        <v>2087519</v>
      </c>
      <c r="D223" s="271" t="str">
        <f aca="false">IFERROR(__xludf.dummyfunction("""COMPUTED_VALUE"""),"UFA - Non-Bird")</f>
        <v>UFA - Non-Bird</v>
      </c>
      <c r="E223" s="272" t="n">
        <f aca="false">IFERROR(__xludf.dummyfunction("""COMPUTED_VALUE"""),2296274)</f>
        <v>2296274</v>
      </c>
      <c r="F223" s="271" t="str">
        <f aca="false">IFERROR(__xludf.dummyfunction("""COMPUTED_VALUE"""),"UFA - Non-Bird")</f>
        <v>UFA - Non-Bird</v>
      </c>
      <c r="G223" s="273"/>
      <c r="H223" s="193"/>
      <c r="I223" s="273"/>
      <c r="J223" s="193"/>
      <c r="K223" s="273"/>
      <c r="L223" s="193"/>
      <c r="M223" s="273"/>
      <c r="N223" s="193"/>
      <c r="O223" s="193" t="n">
        <f aca="false">IFERROR(__xludf.dummyfunction("""COMPUTED_VALUE"""),1)</f>
        <v>1</v>
      </c>
      <c r="P223" s="193"/>
      <c r="Q223" s="193"/>
      <c r="R223" s="193"/>
      <c r="S223" s="193"/>
      <c r="T223" s="193"/>
      <c r="U223" s="193"/>
      <c r="V223" s="193"/>
      <c r="W223" s="193"/>
      <c r="X223" s="193"/>
      <c r="Y223" s="193"/>
      <c r="Z223" s="193"/>
    </row>
    <row r="224" customFormat="false" ht="15.75" hidden="false" customHeight="false" outlineLevel="0" collapsed="false">
      <c r="A224" s="193" t="str">
        <f aca="false">IFERROR(__xludf.dummyfunction("""COMPUTED_VALUE"""),"Kevin Knox")</f>
        <v>Kevin Knox</v>
      </c>
      <c r="B224" s="271" t="str">
        <f aca="false">IFERROR(__xludf.dummyfunction("""COMPUTED_VALUE"""),"Golden State Warriors")</f>
        <v>Golden State Warriors</v>
      </c>
      <c r="C224" s="272" t="n">
        <f aca="false">IFERROR(__xludf.dummyfunction("""COMPUTED_VALUE"""),263939)</f>
        <v>263939</v>
      </c>
      <c r="D224" s="193"/>
      <c r="E224" s="272" t="n">
        <f aca="false">IFERROR(__xludf.dummyfunction("""COMPUTED_VALUE"""),2296274)</f>
        <v>2296274</v>
      </c>
      <c r="F224" s="271" t="str">
        <f aca="false">IFERROR(__xludf.dummyfunction("""COMPUTED_VALUE"""),"UFA - Non-Bird")</f>
        <v>UFA - Non-Bird</v>
      </c>
      <c r="G224" s="272" t="str">
        <f aca="false">IFERROR(__xludf.dummyfunction("""COMPUTED_VALUE"""),"")</f>
        <v/>
      </c>
      <c r="H224" s="193"/>
      <c r="I224" s="272" t="str">
        <f aca="false">IFERROR(__xludf.dummyfunction("""COMPUTED_VALUE"""),"")</f>
        <v/>
      </c>
      <c r="J224" s="193"/>
      <c r="K224" s="273"/>
      <c r="L224" s="193"/>
      <c r="M224" s="273"/>
      <c r="N224" s="193"/>
      <c r="O224" s="193" t="n">
        <f aca="false">IFERROR(__xludf.dummyfunction("""COMPUTED_VALUE"""),1)</f>
        <v>1</v>
      </c>
      <c r="P224" s="193"/>
      <c r="Q224" s="193"/>
      <c r="R224" s="193"/>
      <c r="S224" s="193"/>
      <c r="T224" s="193"/>
      <c r="U224" s="193"/>
      <c r="V224" s="193"/>
      <c r="W224" s="193"/>
      <c r="X224" s="193"/>
      <c r="Y224" s="193"/>
      <c r="Z224" s="193"/>
    </row>
    <row r="225" customFormat="false" ht="15.75" hidden="false" customHeight="false" outlineLevel="0" collapsed="false">
      <c r="A225" s="193" t="str">
        <f aca="false">IFERROR(__xludf.dummyfunction("""COMPUTED_VALUE"""),"Matt Barnes")</f>
        <v>Matt Barnes</v>
      </c>
      <c r="B225" s="271" t="str">
        <f aca="false">IFERROR(__xludf.dummyfunction("""COMPUTED_VALUE"""),"Golden State Warriors")</f>
        <v>Golden State Warriors</v>
      </c>
      <c r="C225" s="272" t="n">
        <f aca="false">IFERROR(__xludf.dummyfunction("""COMPUTED_VALUE"""),2087519)</f>
        <v>2087519</v>
      </c>
      <c r="D225" s="271" t="str">
        <f aca="false">IFERROR(__xludf.dummyfunction("""COMPUTED_VALUE"""),"UFA - Non-Bird")</f>
        <v>UFA - Non-Bird</v>
      </c>
      <c r="E225" s="272" t="n">
        <f aca="false">IFERROR(__xludf.dummyfunction("""COMPUTED_VALUE"""),2296274)</f>
        <v>2296274</v>
      </c>
      <c r="F225" s="271" t="str">
        <f aca="false">IFERROR(__xludf.dummyfunction("""COMPUTED_VALUE"""),"UFA - Non-Bird")</f>
        <v>UFA - Non-Bird</v>
      </c>
      <c r="G225" s="273"/>
      <c r="H225" s="193"/>
      <c r="I225" s="273"/>
      <c r="J225" s="193"/>
      <c r="K225" s="273"/>
      <c r="L225" s="193"/>
      <c r="M225" s="273"/>
      <c r="N225" s="193"/>
      <c r="O225" s="193" t="n">
        <f aca="false">IFERROR(__xludf.dummyfunction("""COMPUTED_VALUE"""),1)</f>
        <v>1</v>
      </c>
      <c r="P225" s="193"/>
      <c r="Q225" s="193"/>
      <c r="R225" s="193"/>
      <c r="S225" s="193"/>
      <c r="T225" s="193"/>
      <c r="U225" s="193"/>
      <c r="V225" s="193"/>
      <c r="W225" s="193"/>
      <c r="X225" s="193"/>
      <c r="Y225" s="193"/>
      <c r="Z225" s="193"/>
    </row>
    <row r="226" customFormat="false" ht="15.75" hidden="false" customHeight="false" outlineLevel="0" collapsed="false">
      <c r="A226" s="193" t="str">
        <f aca="false">IFERROR(__xludf.dummyfunction("""COMPUTED_VALUE"""),"Nemanja Bjelica")</f>
        <v>Nemanja Bjelica</v>
      </c>
      <c r="B226" s="271" t="str">
        <f aca="false">IFERROR(__xludf.dummyfunction("""COMPUTED_VALUE"""),"Golden State Warriors")</f>
        <v>Golden State Warriors</v>
      </c>
      <c r="C226" s="272" t="n">
        <f aca="false">IFERROR(__xludf.dummyfunction("""COMPUTED_VALUE"""),2087519)</f>
        <v>2087519</v>
      </c>
      <c r="D226" s="271" t="str">
        <f aca="false">IFERROR(__xludf.dummyfunction("""COMPUTED_VALUE"""),"UFA - Non-Bird")</f>
        <v>UFA - Non-Bird</v>
      </c>
      <c r="E226" s="272" t="n">
        <f aca="false">IFERROR(__xludf.dummyfunction("""COMPUTED_VALUE"""),2296274)</f>
        <v>2296274</v>
      </c>
      <c r="F226" s="271" t="str">
        <f aca="false">IFERROR(__xludf.dummyfunction("""COMPUTED_VALUE"""),"UFA - Non-Bird")</f>
        <v>UFA - Non-Bird</v>
      </c>
      <c r="G226" s="273"/>
      <c r="H226" s="193"/>
      <c r="I226" s="273"/>
      <c r="J226" s="193"/>
      <c r="K226" s="273"/>
      <c r="L226" s="193"/>
      <c r="M226" s="273"/>
      <c r="N226" s="193"/>
      <c r="O226" s="193" t="n">
        <f aca="false">IFERROR(__xludf.dummyfunction("""COMPUTED_VALUE"""),1)</f>
        <v>1</v>
      </c>
      <c r="P226" s="193"/>
      <c r="Q226" s="193"/>
      <c r="R226" s="193"/>
      <c r="S226" s="193"/>
      <c r="T226" s="193"/>
      <c r="U226" s="193"/>
      <c r="V226" s="193"/>
      <c r="W226" s="193"/>
      <c r="X226" s="193"/>
      <c r="Y226" s="193"/>
      <c r="Z226" s="193"/>
    </row>
    <row r="227" customFormat="false" ht="15.75" hidden="false" customHeight="false" outlineLevel="0" collapsed="false">
      <c r="A227" s="193" t="str">
        <f aca="false">IFERROR(__xludf.dummyfunction("""COMPUTED_VALUE"""),"Usman Garuba")</f>
        <v>Usman Garuba</v>
      </c>
      <c r="B227" s="271" t="str">
        <f aca="false">IFERROR(__xludf.dummyfunction("""COMPUTED_VALUE"""),"Golden State Warriors")</f>
        <v>Golden State Warriors</v>
      </c>
      <c r="C227" s="272" t="n">
        <f aca="false">IFERROR(__xludf.dummyfunction("""COMPUTED_VALUE"""),2087519)</f>
        <v>2087519</v>
      </c>
      <c r="D227" s="271" t="str">
        <f aca="false">IFERROR(__xludf.dummyfunction("""COMPUTED_VALUE"""),"UFA - Non-Bird")</f>
        <v>UFA - Non-Bird</v>
      </c>
      <c r="E227" s="272" t="n">
        <f aca="false">IFERROR(__xludf.dummyfunction("""COMPUTED_VALUE"""),2296274)</f>
        <v>2296274</v>
      </c>
      <c r="F227" s="271" t="str">
        <f aca="false">IFERROR(__xludf.dummyfunction("""COMPUTED_VALUE"""),"UFA - Non-Bird")</f>
        <v>UFA - Non-Bird</v>
      </c>
      <c r="G227" s="273"/>
      <c r="H227" s="193"/>
      <c r="I227" s="273"/>
      <c r="J227" s="193"/>
      <c r="K227" s="273"/>
      <c r="L227" s="193"/>
      <c r="M227" s="273"/>
      <c r="N227" s="193"/>
      <c r="O227" s="193" t="n">
        <f aca="false">IFERROR(__xludf.dummyfunction("""COMPUTED_VALUE"""),1)</f>
        <v>1</v>
      </c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</row>
    <row r="228" customFormat="false" ht="15.75" hidden="false" customHeight="false" outlineLevel="0" collapsed="false">
      <c r="A228" s="193" t="str">
        <f aca="false">IFERROR(__xludf.dummyfunction("""COMPUTED_VALUE"""),"Seth Curry")</f>
        <v>Seth Curry</v>
      </c>
      <c r="B228" s="271" t="str">
        <f aca="false">IFERROR(__xludf.dummyfunction("""COMPUTED_VALUE"""),"Golden State Warriors")</f>
        <v>Golden State Warriors</v>
      </c>
      <c r="C228" s="272" t="n">
        <f aca="false">IFERROR(__xludf.dummyfunction("""COMPUTED_VALUE"""),2087519)</f>
        <v>2087519</v>
      </c>
      <c r="D228" s="193"/>
      <c r="E228" s="272" t="n">
        <f aca="false">IFERROR(__xludf.dummyfunction("""COMPUTED_VALUE"""),2296271)</f>
        <v>2296271</v>
      </c>
      <c r="F228" s="193"/>
      <c r="G228" s="272" t="n">
        <f aca="false">IFERROR(__xludf.dummyfunction("""COMPUTED_VALUE"""),2525898.1)</f>
        <v>2525898.1</v>
      </c>
      <c r="H228" s="271" t="str">
        <f aca="false">IFERROR(__xludf.dummyfunction("""COMPUTED_VALUE"""),"UFA - Non-Bird")</f>
        <v>UFA - Non-Bird</v>
      </c>
      <c r="I228" s="273"/>
      <c r="J228" s="193"/>
      <c r="K228" s="273"/>
      <c r="L228" s="193"/>
      <c r="M228" s="273"/>
      <c r="N228" s="193"/>
      <c r="O228" s="193" t="n">
        <f aca="false">IFERROR(__xludf.dummyfunction("""COMPUTED_VALUE"""),1)</f>
        <v>1</v>
      </c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</row>
    <row r="229" customFormat="false" ht="15.75" hidden="false" customHeight="false" outlineLevel="0" collapsed="false">
      <c r="A229" s="193" t="str">
        <f aca="false">IFERROR(__xludf.dummyfunction("""COMPUTED_VALUE"""),"Spencer Dinwiddie")</f>
        <v>Spencer Dinwiddie</v>
      </c>
      <c r="B229" s="271" t="str">
        <f aca="false">IFERROR(__xludf.dummyfunction("""COMPUTED_VALUE"""),"Golden State Warriors")</f>
        <v>Golden State Warriors</v>
      </c>
      <c r="C229" s="272" t="n">
        <f aca="false">IFERROR(__xludf.dummyfunction("""COMPUTED_VALUE"""),2087519)</f>
        <v>2087519</v>
      </c>
      <c r="D229" s="193"/>
      <c r="E229" s="272" t="n">
        <f aca="false">IFERROR(__xludf.dummyfunction("""COMPUTED_VALUE"""),2296271)</f>
        <v>2296271</v>
      </c>
      <c r="F229" s="193"/>
      <c r="G229" s="272" t="n">
        <f aca="false">IFERROR(__xludf.dummyfunction("""COMPUTED_VALUE"""),2525898.1)</f>
        <v>2525898.1</v>
      </c>
      <c r="H229" s="271" t="str">
        <f aca="false">IFERROR(__xludf.dummyfunction("""COMPUTED_VALUE"""),"UFA - Non-Bird")</f>
        <v>UFA - Non-Bird</v>
      </c>
      <c r="I229" s="273"/>
      <c r="J229" s="193"/>
      <c r="K229" s="273"/>
      <c r="L229" s="193"/>
      <c r="M229" s="273"/>
      <c r="N229" s="193"/>
      <c r="O229" s="193" t="n">
        <f aca="false">IFERROR(__xludf.dummyfunction("""COMPUTED_VALUE"""),1)</f>
        <v>1</v>
      </c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</row>
    <row r="230" customFormat="false" ht="15.75" hidden="false" customHeight="false" outlineLevel="0" collapsed="false">
      <c r="A230" s="193" t="str">
        <f aca="false">IFERROR(__xludf.dummyfunction("""COMPUTED_VALUE"""),"DeAndre Jordan")</f>
        <v>DeAndre Jordan</v>
      </c>
      <c r="B230" s="271" t="str">
        <f aca="false">IFERROR(__xludf.dummyfunction("""COMPUTED_VALUE"""),"Golden State Warriors")</f>
        <v>Golden State Warriors</v>
      </c>
      <c r="C230" s="272" t="n">
        <f aca="false">IFERROR(__xludf.dummyfunction("""COMPUTED_VALUE"""),2087519)</f>
        <v>2087519</v>
      </c>
      <c r="D230" s="193"/>
      <c r="E230" s="272" t="n">
        <f aca="false">IFERROR(__xludf.dummyfunction("""COMPUTED_VALUE"""),2296271)</f>
        <v>2296271</v>
      </c>
      <c r="F230" s="193"/>
      <c r="G230" s="272" t="n">
        <f aca="false">IFERROR(__xludf.dummyfunction("""COMPUTED_VALUE"""),2525898.1)</f>
        <v>2525898.1</v>
      </c>
      <c r="H230" s="271" t="str">
        <f aca="false">IFERROR(__xludf.dummyfunction("""COMPUTED_VALUE"""),"UFA - Non-Bird")</f>
        <v>UFA - Non-Bird</v>
      </c>
      <c r="I230" s="273"/>
      <c r="J230" s="193"/>
      <c r="K230" s="273"/>
      <c r="L230" s="193"/>
      <c r="M230" s="273"/>
      <c r="N230" s="193"/>
      <c r="O230" s="193" t="n">
        <f aca="false">IFERROR(__xludf.dummyfunction("""COMPUTED_VALUE"""),1)</f>
        <v>1</v>
      </c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</row>
    <row r="231" customFormat="false" ht="15.75" hidden="false" customHeight="false" outlineLevel="0" collapsed="false">
      <c r="A231" s="193" t="str">
        <f aca="false">IFERROR(__xludf.dummyfunction("""COMPUTED_VALUE"""),"Gui Santos")</f>
        <v>Gui Santos</v>
      </c>
      <c r="B231" s="271" t="str">
        <f aca="false">IFERROR(__xludf.dummyfunction("""COMPUTED_VALUE"""),"Golden State Warriors")</f>
        <v>Golden State Warriors</v>
      </c>
      <c r="C231" s="272" t="n">
        <f aca="false">IFERROR(__xludf.dummyfunction("""COMPUTED_VALUE"""),1891857)</f>
        <v>1891857</v>
      </c>
      <c r="D231" s="193"/>
      <c r="E231" s="272" t="n">
        <f aca="false">IFERROR(__xludf.dummyfunction("""COMPUTED_VALUE"""),2221677)</f>
        <v>2221677</v>
      </c>
      <c r="F231" s="193"/>
      <c r="G231" s="272" t="n">
        <f aca="false">IFERROR(__xludf.dummyfunction("""COMPUTED_VALUE"""),2181953)</f>
        <v>2181953</v>
      </c>
      <c r="H231" s="271" t="str">
        <f aca="false">IFERROR(__xludf.dummyfunction("""COMPUTED_VALUE"""),"RFA - Bird")</f>
        <v>RFA - Bird</v>
      </c>
      <c r="I231" s="272" t="str">
        <f aca="false">IFERROR(__xludf.dummyfunction("""COMPUTED_VALUE"""),"")</f>
        <v/>
      </c>
      <c r="J231" s="193"/>
      <c r="K231" s="273"/>
      <c r="L231" s="193"/>
      <c r="M231" s="273"/>
      <c r="N231" s="193"/>
      <c r="O231" s="193" t="n">
        <f aca="false">IFERROR(__xludf.dummyfunction("""COMPUTED_VALUE"""),1)</f>
        <v>1</v>
      </c>
      <c r="P231" s="193"/>
      <c r="Q231" s="193"/>
      <c r="R231" s="193"/>
      <c r="S231" s="193"/>
      <c r="T231" s="193"/>
      <c r="U231" s="193"/>
      <c r="V231" s="193"/>
      <c r="W231" s="193"/>
      <c r="X231" s="193"/>
      <c r="Y231" s="193"/>
      <c r="Z231" s="193"/>
    </row>
    <row r="232" customFormat="false" ht="15.75" hidden="false" customHeight="false" outlineLevel="0" collapsed="false">
      <c r="A232" s="193" t="str">
        <f aca="false">IFERROR(__xludf.dummyfunction("""COMPUTED_VALUE"""),"Braxton Key")</f>
        <v>Braxton Key</v>
      </c>
      <c r="B232" s="271" t="str">
        <f aca="false">IFERROR(__xludf.dummyfunction("""COMPUTED_VALUE"""),"Golden State Warriors")</f>
        <v>Golden State Warriors</v>
      </c>
      <c r="C232" s="272" t="str">
        <f aca="false">IFERROR(__xludf.dummyfunction("""COMPUTED_VALUE"""),"Two-way")</f>
        <v>Two-way</v>
      </c>
      <c r="D232" s="271" t="str">
        <f aca="false">IFERROR(__xludf.dummyfunction("""COMPUTED_VALUE"""),"Two-way")</f>
        <v>Two-way</v>
      </c>
      <c r="E232" s="272" t="n">
        <f aca="false">IFERROR(__xludf.dummyfunction("""COMPUTED_VALUE"""),2048491)</f>
        <v>2048491</v>
      </c>
      <c r="F232" s="271" t="str">
        <f aca="false">IFERROR(__xludf.dummyfunction("""COMPUTED_VALUE"""),"UFA - Two-way")</f>
        <v>UFA - Two-way</v>
      </c>
      <c r="G232" s="273"/>
      <c r="H232" s="193"/>
      <c r="I232" s="273"/>
      <c r="J232" s="193"/>
      <c r="K232" s="273"/>
      <c r="L232" s="193"/>
      <c r="M232" s="273"/>
      <c r="N232" s="193"/>
      <c r="O232" s="193" t="n">
        <f aca="false">IFERROR(__xludf.dummyfunction("""COMPUTED_VALUE"""),1)</f>
        <v>1</v>
      </c>
      <c r="P232" s="193"/>
      <c r="Q232" s="193"/>
      <c r="R232" s="193"/>
      <c r="S232" s="193"/>
      <c r="T232" s="193"/>
      <c r="U232" s="193"/>
      <c r="V232" s="193"/>
      <c r="W232" s="193"/>
      <c r="X232" s="193"/>
      <c r="Y232" s="193"/>
      <c r="Z232" s="193"/>
    </row>
    <row r="233" customFormat="false" ht="15.75" hidden="false" customHeight="false" outlineLevel="0" collapsed="false">
      <c r="A233" s="193" t="str">
        <f aca="false">IFERROR(__xludf.dummyfunction("""COMPUTED_VALUE"""),"Bobi Klintman")</f>
        <v>Bobi Klintman</v>
      </c>
      <c r="B233" s="271" t="str">
        <f aca="false">IFERROR(__xludf.dummyfunction("""COMPUTED_VALUE"""),"Golden State Warriors")</f>
        <v>Golden State Warriors</v>
      </c>
      <c r="C233" s="272" t="n">
        <f aca="false">IFERROR(__xludf.dummyfunction("""COMPUTED_VALUE"""),1257153)</f>
        <v>1257153</v>
      </c>
      <c r="D233" s="193"/>
      <c r="E233" s="272" t="n">
        <f aca="false">IFERROR(__xludf.dummyfunction("""COMPUTED_VALUE"""),1955377)</f>
        <v>1955377</v>
      </c>
      <c r="F233" s="193"/>
      <c r="G233" s="272" t="n">
        <f aca="false">IFERROR(__xludf.dummyfunction("""COMPUTED_VALUE"""),2296271)</f>
        <v>2296271</v>
      </c>
      <c r="H233" s="271" t="str">
        <f aca="false">IFERROR(__xludf.dummyfunction("""COMPUTED_VALUE"""),"Non-Guaranteed")</f>
        <v>Non-Guaranteed</v>
      </c>
      <c r="I233" s="272" t="n">
        <f aca="false">IFERROR(__xludf.dummyfunction("""COMPUTED_VALUE"""),2486995)</f>
        <v>2486995</v>
      </c>
      <c r="J233" s="271" t="str">
        <f aca="false">IFERROR(__xludf.dummyfunction("""COMPUTED_VALUE"""),"Club Option")</f>
        <v>Club Option</v>
      </c>
      <c r="K233" s="272" t="n">
        <f aca="false">IFERROR(__xludf.dummyfunction("""COMPUTED_VALUE"""),3056337)</f>
        <v>3056337</v>
      </c>
      <c r="L233" s="271" t="str">
        <f aca="false">IFERROR(__xludf.dummyfunction("""COMPUTED_VALUE"""),"UFA - Bird")</f>
        <v>UFA - Bird</v>
      </c>
      <c r="M233" s="273"/>
      <c r="N233" s="193"/>
      <c r="O233" s="193" t="n">
        <f aca="false">IFERROR(__xludf.dummyfunction("""COMPUTED_VALUE"""),1)</f>
        <v>1</v>
      </c>
      <c r="P233" s="193"/>
      <c r="Q233" s="193"/>
      <c r="R233" s="193"/>
      <c r="S233" s="193"/>
      <c r="T233" s="193"/>
      <c r="U233" s="193"/>
      <c r="V233" s="193"/>
      <c r="W233" s="193"/>
      <c r="X233" s="193"/>
      <c r="Y233" s="193"/>
      <c r="Z233" s="193"/>
    </row>
    <row r="234" customFormat="false" ht="15.75" hidden="false" customHeight="false" outlineLevel="0" collapsed="false">
      <c r="A234" s="193" t="str">
        <f aca="false">IFERROR(__xludf.dummyfunction("""COMPUTED_VALUE"""),"Drake Powell (R)")</f>
        <v>Drake Powell (R)</v>
      </c>
      <c r="B234" s="271" t="str">
        <f aca="false">IFERROR(__xludf.dummyfunction("""COMPUTED_VALUE"""),"Golden State Warriors")</f>
        <v>Golden State Warriors</v>
      </c>
      <c r="C234" s="273"/>
      <c r="D234" s="193"/>
      <c r="E234" s="272" t="n">
        <f aca="false">IFERROR(__xludf.dummyfunction("""COMPUTED_VALUE"""),1272869)</f>
        <v>1272869</v>
      </c>
      <c r="F234" s="193"/>
      <c r="G234" s="272" t="n">
        <f aca="false">IFERROR(__xludf.dummyfunction("""COMPUTED_VALUE"""),2150915.55)</f>
        <v>2150915.55</v>
      </c>
      <c r="H234" s="193"/>
      <c r="I234" s="272" t="n">
        <f aca="false">IFERROR(__xludf.dummyfunction("""COMPUTED_VALUE"""),2525899)</f>
        <v>2525899</v>
      </c>
      <c r="J234" s="193"/>
      <c r="K234" s="272" t="n">
        <f aca="false">IFERROR(__xludf.dummyfunction("""COMPUTED_VALUE"""),2735801.21)</f>
        <v>2735801.21</v>
      </c>
      <c r="L234" s="271" t="str">
        <f aca="false">IFERROR(__xludf.dummyfunction("""COMPUTED_VALUE"""),"Club Option")</f>
        <v>Club Option</v>
      </c>
      <c r="M234" s="272" t="n">
        <f aca="false">IFERROR(__xludf.dummyfunction("""COMPUTED_VALUE"""),5197819.55)</f>
        <v>5197819.55</v>
      </c>
      <c r="N234" s="271" t="str">
        <f aca="false">IFERROR(__xludf.dummyfunction("""COMPUTED_VALUE"""),"UFA - Bird")</f>
        <v>UFA - Bird</v>
      </c>
      <c r="O234" s="193" t="n">
        <f aca="false">IFERROR(__xludf.dummyfunction("""COMPUTED_VALUE"""),1)</f>
        <v>1</v>
      </c>
      <c r="P234" s="193"/>
      <c r="Q234" s="193"/>
      <c r="R234" s="193"/>
      <c r="S234" s="193"/>
      <c r="T234" s="193"/>
      <c r="U234" s="193"/>
      <c r="V234" s="193"/>
      <c r="W234" s="193"/>
      <c r="X234" s="193"/>
      <c r="Y234" s="193"/>
      <c r="Z234" s="193"/>
    </row>
    <row r="235" customFormat="false" ht="15.75" hidden="false" customHeight="false" outlineLevel="0" collapsed="false">
      <c r="A235" s="193" t="str">
        <f aca="false">IFERROR(__xludf.dummyfunction("""COMPUTED_VALUE"""),"Will Riley (R)")</f>
        <v>Will Riley (R)</v>
      </c>
      <c r="B235" s="271" t="str">
        <f aca="false">IFERROR(__xludf.dummyfunction("""COMPUTED_VALUE"""),"Golden State Warriors")</f>
        <v>Golden State Warriors</v>
      </c>
      <c r="C235" s="273"/>
      <c r="D235" s="193"/>
      <c r="E235" s="272" t="n">
        <f aca="false">IFERROR(__xludf.dummyfunction("""COMPUTED_VALUE"""),1272869)</f>
        <v>1272869</v>
      </c>
      <c r="F235" s="193"/>
      <c r="G235" s="272" t="n">
        <f aca="false">IFERROR(__xludf.dummyfunction("""COMPUTED_VALUE"""),2150915.55)</f>
        <v>2150915.55</v>
      </c>
      <c r="H235" s="193"/>
      <c r="I235" s="272" t="n">
        <f aca="false">IFERROR(__xludf.dummyfunction("""COMPUTED_VALUE"""),2525899)</f>
        <v>2525899</v>
      </c>
      <c r="J235" s="193"/>
      <c r="K235" s="272" t="n">
        <f aca="false">IFERROR(__xludf.dummyfunction("""COMPUTED_VALUE"""),2735801.21)</f>
        <v>2735801.21</v>
      </c>
      <c r="L235" s="271" t="str">
        <f aca="false">IFERROR(__xludf.dummyfunction("""COMPUTED_VALUE"""),"Club Option")</f>
        <v>Club Option</v>
      </c>
      <c r="M235" s="272" t="n">
        <f aca="false">IFERROR(__xludf.dummyfunction("""COMPUTED_VALUE"""),5197819.55)</f>
        <v>5197819.55</v>
      </c>
      <c r="N235" s="271" t="str">
        <f aca="false">IFERROR(__xludf.dummyfunction("""COMPUTED_VALUE"""),"UFA - Bird")</f>
        <v>UFA - Bird</v>
      </c>
      <c r="O235" s="193" t="n">
        <f aca="false">IFERROR(__xludf.dummyfunction("""COMPUTED_VALUE"""),1)</f>
        <v>1</v>
      </c>
      <c r="P235" s="193"/>
      <c r="Q235" s="193"/>
      <c r="R235" s="193"/>
      <c r="S235" s="193"/>
      <c r="T235" s="193"/>
      <c r="U235" s="193"/>
      <c r="V235" s="193"/>
      <c r="W235" s="193"/>
      <c r="X235" s="193"/>
      <c r="Y235" s="193"/>
      <c r="Z235" s="193"/>
    </row>
    <row r="236" customFormat="false" ht="15.75" hidden="false" customHeight="false" outlineLevel="0" collapsed="false">
      <c r="A236" s="193" t="str">
        <f aca="false">IFERROR(__xludf.dummyfunction("""COMPUTED_VALUE"""),"David Roddy")</f>
        <v>David Roddy</v>
      </c>
      <c r="B236" s="271" t="str">
        <f aca="false">IFERROR(__xludf.dummyfunction("""COMPUTED_VALUE"""),"Houston Rockets")</f>
        <v>Houston Rockets</v>
      </c>
      <c r="C236" s="272" t="str">
        <f aca="false">IFERROR(__xludf.dummyfunction("""COMPUTED_VALUE"""),"Two-Way")</f>
        <v>Two-Way</v>
      </c>
      <c r="D236" s="271" t="str">
        <f aca="false">IFERROR(__xludf.dummyfunction("""COMPUTED_VALUE"""),"Two-way")</f>
        <v>Two-way</v>
      </c>
      <c r="E236" s="272" t="str">
        <f aca="false">IFERROR(__xludf.dummyfunction("""COMPUTED_VALUE"""),"Two-Way")</f>
        <v>Two-Way</v>
      </c>
      <c r="F236" s="271" t="str">
        <f aca="false">IFERROR(__xludf.dummyfunction("""COMPUTED_VALUE"""),"Two-Way")</f>
        <v>Two-Way</v>
      </c>
      <c r="G236" s="272" t="n">
        <f aca="false">IFERROR(__xludf.dummyfunction("""COMPUTED_VALUE"""),2253346)</f>
        <v>2253346</v>
      </c>
      <c r="H236" s="271" t="str">
        <f aca="false">IFERROR(__xludf.dummyfunction("""COMPUTED_VALUE"""),"UFA - Two-Way")</f>
        <v>UFA - Two-Way</v>
      </c>
      <c r="I236" s="273"/>
      <c r="J236" s="193"/>
      <c r="K236" s="273"/>
      <c r="L236" s="193"/>
      <c r="M236" s="273"/>
      <c r="N236" s="193"/>
      <c r="O236" s="193" t="n">
        <f aca="false">IFERROR(__xludf.dummyfunction("""COMPUTED_VALUE"""),1)</f>
        <v>1</v>
      </c>
      <c r="P236" s="193"/>
      <c r="Q236" s="193"/>
      <c r="R236" s="193"/>
      <c r="S236" s="193"/>
      <c r="T236" s="193"/>
      <c r="U236" s="193"/>
      <c r="V236" s="193"/>
      <c r="W236" s="193"/>
      <c r="X236" s="193"/>
      <c r="Y236" s="193"/>
      <c r="Z236" s="193"/>
    </row>
    <row r="237" customFormat="false" ht="15.75" hidden="false" customHeight="false" outlineLevel="0" collapsed="false">
      <c r="A237" s="193" t="str">
        <f aca="false">IFERROR(__xludf.dummyfunction("""COMPUTED_VALUE"""),"Jack McVeigh")</f>
        <v>Jack McVeigh</v>
      </c>
      <c r="B237" s="271" t="str">
        <f aca="false">IFERROR(__xludf.dummyfunction("""COMPUTED_VALUE"""),"Houston Rockets")</f>
        <v>Houston Rockets</v>
      </c>
      <c r="C237" s="272" t="str">
        <f aca="false">IFERROR(__xludf.dummyfunction("""COMPUTED_VALUE"""),"Two-Way")</f>
        <v>Two-Way</v>
      </c>
      <c r="D237" s="271" t="str">
        <f aca="false">IFERROR(__xludf.dummyfunction("""COMPUTED_VALUE"""),"Two-way")</f>
        <v>Two-way</v>
      </c>
      <c r="E237" s="272" t="str">
        <f aca="false">IFERROR(__xludf.dummyfunction("""COMPUTED_VALUE"""),"Two-Way")</f>
        <v>Two-Way</v>
      </c>
      <c r="F237" s="271" t="str">
        <f aca="false">IFERROR(__xludf.dummyfunction("""COMPUTED_VALUE"""),"Two-Way")</f>
        <v>Two-Way</v>
      </c>
      <c r="G237" s="272" t="n">
        <f aca="false">IFERROR(__xludf.dummyfunction("""COMPUTED_VALUE"""),2253346)</f>
        <v>2253346</v>
      </c>
      <c r="H237" s="271" t="str">
        <f aca="false">IFERROR(__xludf.dummyfunction("""COMPUTED_VALUE"""),"UFA - Two-Way")</f>
        <v>UFA - Two-Way</v>
      </c>
      <c r="I237" s="273"/>
      <c r="J237" s="193"/>
      <c r="K237" s="273"/>
      <c r="L237" s="193"/>
      <c r="M237" s="273"/>
      <c r="N237" s="193"/>
      <c r="O237" s="193" t="n">
        <f aca="false">IFERROR(__xludf.dummyfunction("""COMPUTED_VALUE"""),1)</f>
        <v>1</v>
      </c>
      <c r="P237" s="193"/>
      <c r="Q237" s="193"/>
      <c r="R237" s="193"/>
      <c r="S237" s="193"/>
      <c r="T237" s="193"/>
      <c r="U237" s="193"/>
      <c r="V237" s="193"/>
      <c r="W237" s="193"/>
      <c r="X237" s="193"/>
      <c r="Y237" s="193"/>
      <c r="Z237" s="193"/>
    </row>
    <row r="238" customFormat="false" ht="15.75" hidden="false" customHeight="false" outlineLevel="0" collapsed="false">
      <c r="A238" s="193" t="str">
        <f aca="false">IFERROR(__xludf.dummyfunction("""COMPUTED_VALUE"""),"N'Faly Dante")</f>
        <v>N'Faly Dante</v>
      </c>
      <c r="B238" s="271" t="str">
        <f aca="false">IFERROR(__xludf.dummyfunction("""COMPUTED_VALUE"""),"Houston Rockets")</f>
        <v>Houston Rockets</v>
      </c>
      <c r="C238" s="272" t="str">
        <f aca="false">IFERROR(__xludf.dummyfunction("""COMPUTED_VALUE"""),"Two-Way")</f>
        <v>Two-Way</v>
      </c>
      <c r="D238" s="271" t="str">
        <f aca="false">IFERROR(__xludf.dummyfunction("""COMPUTED_VALUE"""),"Two-way")</f>
        <v>Two-way</v>
      </c>
      <c r="E238" s="272" t="str">
        <f aca="false">IFERROR(__xludf.dummyfunction("""COMPUTED_VALUE"""),"Two-Way")</f>
        <v>Two-Way</v>
      </c>
      <c r="F238" s="271" t="str">
        <f aca="false">IFERROR(__xludf.dummyfunction("""COMPUTED_VALUE"""),"Two-Way")</f>
        <v>Two-Way</v>
      </c>
      <c r="G238" s="272" t="n">
        <f aca="false">IFERROR(__xludf.dummyfunction("""COMPUTED_VALUE"""),2253346)</f>
        <v>2253346</v>
      </c>
      <c r="H238" s="271" t="str">
        <f aca="false">IFERROR(__xludf.dummyfunction("""COMPUTED_VALUE"""),"UFA - Two-Way")</f>
        <v>UFA - Two-Way</v>
      </c>
      <c r="I238" s="273"/>
      <c r="J238" s="193"/>
      <c r="K238" s="273"/>
      <c r="L238" s="193"/>
      <c r="M238" s="273"/>
      <c r="N238" s="193"/>
      <c r="O238" s="193" t="n">
        <f aca="false">IFERROR(__xludf.dummyfunction("""COMPUTED_VALUE"""),1)</f>
        <v>1</v>
      </c>
      <c r="P238" s="193"/>
      <c r="Q238" s="193"/>
      <c r="R238" s="193"/>
      <c r="S238" s="193"/>
      <c r="T238" s="193"/>
      <c r="U238" s="193"/>
      <c r="V238" s="193"/>
      <c r="W238" s="193"/>
      <c r="X238" s="193"/>
      <c r="Y238" s="193"/>
      <c r="Z238" s="193"/>
    </row>
    <row r="239" customFormat="false" ht="15.75" hidden="false" customHeight="false" outlineLevel="0" collapsed="false">
      <c r="A239" s="193" t="str">
        <f aca="false">IFERROR(__xludf.dummyfunction("""COMPUTED_VALUE"""),"Giannis Antetokounmpo")</f>
        <v>Giannis Antetokounmpo</v>
      </c>
      <c r="B239" s="271" t="str">
        <f aca="false">IFERROR(__xludf.dummyfunction("""COMPUTED_VALUE"""),"Houston Rockets")</f>
        <v>Houston Rockets</v>
      </c>
      <c r="C239" s="273"/>
      <c r="D239" s="193"/>
      <c r="E239" s="272" t="n">
        <f aca="false">IFERROR(__xludf.dummyfunction("""COMPUTED_VALUE"""),54126380)</f>
        <v>54126380</v>
      </c>
      <c r="F239" s="271" t="str">
        <f aca="false">IFERROR(__xludf.dummyfunction("""COMPUTED_VALUE"""),"Estimated")</f>
        <v>Estimated</v>
      </c>
      <c r="G239" s="272" t="n">
        <f aca="false">IFERROR(__xludf.dummyfunction("""COMPUTED_VALUE"""),58456490)</f>
        <v>58456490</v>
      </c>
      <c r="H239" s="271" t="str">
        <f aca="false">IFERROR(__xludf.dummyfunction("""COMPUTED_VALUE"""),"Estimated")</f>
        <v>Estimated</v>
      </c>
      <c r="I239" s="272" t="n">
        <f aca="false">IFERROR(__xludf.dummyfunction("""COMPUTED_VALUE"""),62786601)</f>
        <v>62786601</v>
      </c>
      <c r="J239" s="271" t="str">
        <f aca="false">IFERROR(__xludf.dummyfunction("""COMPUTED_VALUE"""),"Player Option")</f>
        <v>Player Option</v>
      </c>
      <c r="K239" s="272" t="n">
        <f aca="false">IFERROR(__xludf.dummyfunction("""COMPUTED_VALUE"""),72042212)</f>
        <v>72042212</v>
      </c>
      <c r="L239" s="193" t="str">
        <f aca="false">IFERROR(__xludf.dummyfunction("""COMPUTED_VALUE"""),"UFA - Bird")</f>
        <v>UFA - Bird</v>
      </c>
      <c r="M239" s="273"/>
      <c r="N239" s="193"/>
      <c r="O239" s="193" t="n">
        <f aca="false">IFERROR(__xludf.dummyfunction("""COMPUTED_VALUE"""),1)</f>
        <v>1</v>
      </c>
      <c r="P239" s="193"/>
      <c r="Q239" s="193"/>
      <c r="R239" s="193"/>
      <c r="S239" s="193"/>
      <c r="T239" s="193"/>
      <c r="U239" s="193"/>
      <c r="V239" s="193"/>
      <c r="W239" s="193"/>
      <c r="X239" s="193"/>
      <c r="Y239" s="193"/>
      <c r="Z239" s="193"/>
    </row>
    <row r="240" customFormat="false" ht="15.75" hidden="false" customHeight="false" outlineLevel="0" collapsed="false">
      <c r="A240" s="193" t="str">
        <f aca="false">IFERROR(__xludf.dummyfunction("""COMPUTED_VALUE"""),"Michael Porter Jr.")</f>
        <v>Michael Porter Jr.</v>
      </c>
      <c r="B240" s="271" t="str">
        <f aca="false">IFERROR(__xludf.dummyfunction("""COMPUTED_VALUE"""),"Houston Rockets")</f>
        <v>Houston Rockets</v>
      </c>
      <c r="C240" s="273"/>
      <c r="D240" s="193"/>
      <c r="E240" s="272" t="n">
        <f aca="false">IFERROR(__xludf.dummyfunction("""COMPUTED_VALUE"""),38333050)</f>
        <v>38333050</v>
      </c>
      <c r="F240" s="193"/>
      <c r="G240" s="272" t="n">
        <f aca="false">IFERROR(__xludf.dummyfunction("""COMPUTED_VALUE"""),40806150)</f>
        <v>40806150</v>
      </c>
      <c r="H240" s="193"/>
      <c r="I240" s="272" t="n">
        <f aca="false">IFERROR(__xludf.dummyfunction("""COMPUTED_VALUE"""),42659956)</f>
        <v>42659956</v>
      </c>
      <c r="J240" s="193" t="str">
        <f aca="false">IFERROR(__xludf.dummyfunction("""COMPUTED_VALUE"""),"UFA - Bird")</f>
        <v>UFA - Bird</v>
      </c>
      <c r="K240" s="273"/>
      <c r="L240" s="193"/>
      <c r="M240" s="273"/>
      <c r="N240" s="193"/>
      <c r="O240" s="193" t="n">
        <f aca="false">IFERROR(__xludf.dummyfunction("""COMPUTED_VALUE"""),1)</f>
        <v>1</v>
      </c>
      <c r="P240" s="193"/>
      <c r="Q240" s="193"/>
      <c r="R240" s="193"/>
      <c r="S240" s="193"/>
      <c r="T240" s="193"/>
      <c r="U240" s="193"/>
      <c r="V240" s="193"/>
      <c r="W240" s="193"/>
      <c r="X240" s="193"/>
      <c r="Y240" s="193"/>
      <c r="Z240" s="193"/>
    </row>
    <row r="241" customFormat="false" ht="15.75" hidden="false" customHeight="false" outlineLevel="0" collapsed="false">
      <c r="A241" s="193" t="str">
        <f aca="false">IFERROR(__xludf.dummyfunction("""COMPUTED_VALUE"""),"Nikola Vucevic")</f>
        <v>Nikola Vucevic</v>
      </c>
      <c r="B241" s="271" t="str">
        <f aca="false">IFERROR(__xludf.dummyfunction("""COMPUTED_VALUE"""),"Houston Rockets")</f>
        <v>Houston Rockets</v>
      </c>
      <c r="C241" s="273"/>
      <c r="D241" s="193"/>
      <c r="E241" s="272" t="n">
        <f aca="false">IFERROR(__xludf.dummyfunction("""COMPUTED_VALUE"""),21481481)</f>
        <v>21481481</v>
      </c>
      <c r="F241" s="193"/>
      <c r="G241" s="272" t="n">
        <f aca="false">IFERROR(__xludf.dummyfunction("""COMPUTED_VALUE"""),30000000)</f>
        <v>30000000</v>
      </c>
      <c r="H241" s="193" t="str">
        <f aca="false">IFERROR(__xludf.dummyfunction("""COMPUTED_VALUE"""),"UFA - Bird")</f>
        <v>UFA - Bird</v>
      </c>
      <c r="I241" s="272" t="str">
        <f aca="false">IFERROR(__xludf.dummyfunction("""COMPUTED_VALUE"""),"")</f>
        <v/>
      </c>
      <c r="J241" s="193"/>
      <c r="K241" s="273"/>
      <c r="L241" s="193"/>
      <c r="M241" s="273"/>
      <c r="N241" s="193"/>
      <c r="O241" s="193" t="n">
        <f aca="false">IFERROR(__xludf.dummyfunction("""COMPUTED_VALUE"""),1)</f>
        <v>1</v>
      </c>
      <c r="P241" s="193"/>
      <c r="Q241" s="193"/>
      <c r="R241" s="193"/>
      <c r="S241" s="193"/>
      <c r="T241" s="193"/>
      <c r="U241" s="193"/>
      <c r="V241" s="193"/>
      <c r="W241" s="193"/>
      <c r="X241" s="193"/>
      <c r="Y241" s="193"/>
      <c r="Z241" s="193"/>
    </row>
    <row r="242" customFormat="false" ht="15.75" hidden="false" customHeight="false" outlineLevel="0" collapsed="false">
      <c r="A242" s="193" t="str">
        <f aca="false">IFERROR(__xludf.dummyfunction("""COMPUTED_VALUE"""),"Dillon Brooks")</f>
        <v>Dillon Brooks</v>
      </c>
      <c r="B242" s="271" t="str">
        <f aca="false">IFERROR(__xludf.dummyfunction("""COMPUTED_VALUE"""),"Houston Rockets")</f>
        <v>Houston Rockets</v>
      </c>
      <c r="C242" s="272" t="n">
        <f aca="false">IFERROR(__xludf.dummyfunction("""COMPUTED_VALUE"""),22255493)</f>
        <v>22255493</v>
      </c>
      <c r="D242" s="193"/>
      <c r="E242" s="272" t="n">
        <f aca="false">IFERROR(__xludf.dummyfunction("""COMPUTED_VALUE"""),21124110)</f>
        <v>21124110</v>
      </c>
      <c r="F242" s="193"/>
      <c r="G242" s="272" t="n">
        <f aca="false">IFERROR(__xludf.dummyfunction("""COMPUTED_VALUE"""),19992727)</f>
        <v>19992727</v>
      </c>
      <c r="H242" s="193"/>
      <c r="I242" s="272" t="n">
        <f aca="false">IFERROR(__xludf.dummyfunction("""COMPUTED_VALUE"""),30000000)</f>
        <v>30000000</v>
      </c>
      <c r="J242" s="271" t="str">
        <f aca="false">IFERROR(__xludf.dummyfunction("""COMPUTED_VALUE"""),"UFA - Bird")</f>
        <v>UFA - Bird</v>
      </c>
      <c r="K242" s="273"/>
      <c r="L242" s="193"/>
      <c r="M242" s="273"/>
      <c r="N242" s="193"/>
      <c r="O242" s="193" t="n">
        <f aca="false">IFERROR(__xludf.dummyfunction("""COMPUTED_VALUE"""),1)</f>
        <v>1</v>
      </c>
      <c r="P242" s="193"/>
      <c r="Q242" s="193"/>
      <c r="R242" s="193"/>
      <c r="S242" s="193"/>
      <c r="T242" s="193"/>
      <c r="U242" s="193"/>
      <c r="V242" s="193"/>
      <c r="W242" s="193"/>
      <c r="X242" s="193"/>
      <c r="Y242" s="193"/>
      <c r="Z242" s="193"/>
    </row>
    <row r="243" customFormat="false" ht="15.75" hidden="false" customHeight="false" outlineLevel="0" collapsed="false">
      <c r="A243" s="193" t="str">
        <f aca="false">IFERROR(__xludf.dummyfunction("""COMPUTED_VALUE"""),"Jock Landale")</f>
        <v>Jock Landale</v>
      </c>
      <c r="B243" s="271" t="str">
        <f aca="false">IFERROR(__xludf.dummyfunction("""COMPUTED_VALUE"""),"Houston Rockets")</f>
        <v>Houston Rockets</v>
      </c>
      <c r="C243" s="272" t="n">
        <f aca="false">IFERROR(__xludf.dummyfunction("""COMPUTED_VALUE"""),8000000)</f>
        <v>8000000</v>
      </c>
      <c r="D243" s="193"/>
      <c r="E243" s="272" t="n">
        <f aca="false">IFERROR(__xludf.dummyfunction("""COMPUTED_VALUE"""),15200000)</f>
        <v>15200000</v>
      </c>
      <c r="F243" s="271" t="str">
        <f aca="false">IFERROR(__xludf.dummyfunction("""COMPUTED_VALUE"""),"UFA - Bird")</f>
        <v>UFA - Bird</v>
      </c>
      <c r="G243" s="273"/>
      <c r="H243" s="193"/>
      <c r="I243" s="273"/>
      <c r="J243" s="193"/>
      <c r="K243" s="273"/>
      <c r="L243" s="193"/>
      <c r="M243" s="273"/>
      <c r="N243" s="193"/>
      <c r="O243" s="193" t="n">
        <f aca="false">IFERROR(__xludf.dummyfunction("""COMPUTED_VALUE"""),1)</f>
        <v>1</v>
      </c>
      <c r="P243" s="193"/>
      <c r="Q243" s="193"/>
      <c r="R243" s="193"/>
      <c r="S243" s="193"/>
      <c r="T243" s="193"/>
      <c r="U243" s="193"/>
      <c r="V243" s="193"/>
      <c r="W243" s="193"/>
      <c r="X243" s="193"/>
      <c r="Y243" s="193"/>
      <c r="Z243" s="193"/>
    </row>
    <row r="244" customFormat="false" ht="15.75" hidden="false" customHeight="false" outlineLevel="0" collapsed="false">
      <c r="A244" s="193" t="str">
        <f aca="false">IFERROR(__xludf.dummyfunction("""COMPUTED_VALUE"""),"Jeff Green")</f>
        <v>Jeff Green</v>
      </c>
      <c r="B244" s="271" t="str">
        <f aca="false">IFERROR(__xludf.dummyfunction("""COMPUTED_VALUE"""),"Houston Rockets")</f>
        <v>Houston Rockets</v>
      </c>
      <c r="C244" s="272" t="n">
        <f aca="false">IFERROR(__xludf.dummyfunction("""COMPUTED_VALUE"""),8000000)</f>
        <v>8000000</v>
      </c>
      <c r="D244" s="193"/>
      <c r="E244" s="272" t="n">
        <f aca="false">IFERROR(__xludf.dummyfunction("""COMPUTED_VALUE"""),12480000)</f>
        <v>12480000</v>
      </c>
      <c r="F244" s="271" t="str">
        <f aca="false">IFERROR(__xludf.dummyfunction("""COMPUTED_VALUE"""),"UFA - Early Bird")</f>
        <v>UFA - Early Bird</v>
      </c>
      <c r="G244" s="272" t="str">
        <f aca="false">IFERROR(__xludf.dummyfunction("""COMPUTED_VALUE"""),"")</f>
        <v/>
      </c>
      <c r="H244" s="193"/>
      <c r="I244" s="272" t="str">
        <f aca="false">IFERROR(__xludf.dummyfunction("""COMPUTED_VALUE"""),"")</f>
        <v/>
      </c>
      <c r="J244" s="193"/>
      <c r="K244" s="273"/>
      <c r="L244" s="193"/>
      <c r="M244" s="273"/>
      <c r="N244" s="193"/>
      <c r="O244" s="193" t="n">
        <f aca="false">IFERROR(__xludf.dummyfunction("""COMPUTED_VALUE"""),1)</f>
        <v>1</v>
      </c>
      <c r="P244" s="193"/>
      <c r="Q244" s="193"/>
      <c r="R244" s="193"/>
      <c r="S244" s="193"/>
      <c r="T244" s="193"/>
      <c r="U244" s="193"/>
      <c r="V244" s="193"/>
      <c r="W244" s="193"/>
      <c r="X244" s="193"/>
      <c r="Y244" s="193"/>
      <c r="Z244" s="193"/>
    </row>
    <row r="245" customFormat="false" ht="15.75" hidden="false" customHeight="false" outlineLevel="0" collapsed="false">
      <c r="A245" s="193" t="str">
        <f aca="false">IFERROR(__xludf.dummyfunction("""COMPUTED_VALUE"""),"Jabari Smith Jr.")</f>
        <v>Jabari Smith Jr.</v>
      </c>
      <c r="B245" s="271" t="str">
        <f aca="false">IFERROR(__xludf.dummyfunction("""COMPUTED_VALUE"""),"Houston Rockets")</f>
        <v>Houston Rockets</v>
      </c>
      <c r="C245" s="272" t="n">
        <f aca="false">IFERROR(__xludf.dummyfunction("""COMPUTED_VALUE"""),9770880)</f>
        <v>9770880</v>
      </c>
      <c r="D245" s="193"/>
      <c r="E245" s="272" t="n">
        <f aca="false">IFERROR(__xludf.dummyfunction("""COMPUTED_VALUE"""),12350392)</f>
        <v>12350392</v>
      </c>
      <c r="F245" s="193"/>
      <c r="G245" s="272" t="n">
        <f aca="false">IFERROR(__xludf.dummyfunction("""COMPUTED_VALUE"""),30875980)</f>
        <v>30875980</v>
      </c>
      <c r="H245" s="271" t="str">
        <f aca="false">IFERROR(__xludf.dummyfunction("""COMPUTED_VALUE"""),"RFA - Bird")</f>
        <v>RFA - Bird</v>
      </c>
      <c r="I245" s="272" t="str">
        <f aca="false">IFERROR(__xludf.dummyfunction("""COMPUTED_VALUE"""),"")</f>
        <v/>
      </c>
      <c r="J245" s="193"/>
      <c r="K245" s="273"/>
      <c r="L245" s="193"/>
      <c r="M245" s="273"/>
      <c r="N245" s="193"/>
      <c r="O245" s="193" t="n">
        <f aca="false">IFERROR(__xludf.dummyfunction("""COMPUTED_VALUE"""),1)</f>
        <v>1</v>
      </c>
      <c r="P245" s="193"/>
      <c r="Q245" s="193"/>
      <c r="R245" s="193"/>
      <c r="S245" s="193"/>
      <c r="T245" s="193"/>
      <c r="U245" s="193"/>
      <c r="V245" s="193"/>
      <c r="W245" s="193"/>
      <c r="X245" s="193"/>
      <c r="Y245" s="193"/>
      <c r="Z245" s="193"/>
    </row>
    <row r="246" customFormat="false" ht="15.75" hidden="false" customHeight="false" outlineLevel="0" collapsed="false">
      <c r="A246" s="193" t="str">
        <f aca="false">IFERROR(__xludf.dummyfunction("""COMPUTED_VALUE"""),"Lonzo Ball")</f>
        <v>Lonzo Ball</v>
      </c>
      <c r="B246" s="271" t="str">
        <f aca="false">IFERROR(__xludf.dummyfunction("""COMPUTED_VALUE"""),"Houston Rockets")</f>
        <v>Houston Rockets</v>
      </c>
      <c r="C246" s="273"/>
      <c r="D246" s="193"/>
      <c r="E246" s="272" t="n">
        <f aca="false">IFERROR(__xludf.dummyfunction("""COMPUTED_VALUE"""),10000000)</f>
        <v>10000000</v>
      </c>
      <c r="F246" s="193"/>
      <c r="G246" s="272" t="n">
        <f aca="false">IFERROR(__xludf.dummyfunction("""COMPUTED_VALUE"""),10000000)</f>
        <v>10000000</v>
      </c>
      <c r="H246" s="193" t="str">
        <f aca="false">IFERROR(__xludf.dummyfunction("""COMPUTED_VALUE"""),"Club Option")</f>
        <v>Club Option</v>
      </c>
      <c r="I246" s="272" t="n">
        <f aca="false">IFERROR(__xludf.dummyfunction("""COMPUTED_VALUE"""),19000000)</f>
        <v>19000000</v>
      </c>
      <c r="J246" s="193" t="str">
        <f aca="false">IFERROR(__xludf.dummyfunction("""COMPUTED_VALUE"""),"UFA - Bird")</f>
        <v>UFA - Bird</v>
      </c>
      <c r="K246" s="273"/>
      <c r="L246" s="193"/>
      <c r="M246" s="273"/>
      <c r="N246" s="193"/>
      <c r="O246" s="193" t="n">
        <f aca="false">IFERROR(__xludf.dummyfunction("""COMPUTED_VALUE"""),1)</f>
        <v>1</v>
      </c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</row>
    <row r="247" customFormat="false" ht="15.75" hidden="false" customHeight="false" outlineLevel="0" collapsed="false">
      <c r="A247" s="193" t="str">
        <f aca="false">IFERROR(__xludf.dummyfunction("""COMPUTED_VALUE"""),"Amen Thompson")</f>
        <v>Amen Thompson</v>
      </c>
      <c r="B247" s="271" t="str">
        <f aca="false">IFERROR(__xludf.dummyfunction("""COMPUTED_VALUE"""),"Houston Rockets")</f>
        <v>Houston Rockets</v>
      </c>
      <c r="C247" s="272" t="n">
        <f aca="false">IFERROR(__xludf.dummyfunction("""COMPUTED_VALUE"""),9249960)</f>
        <v>9249960</v>
      </c>
      <c r="D247" s="193"/>
      <c r="E247" s="272" t="n">
        <f aca="false">IFERROR(__xludf.dummyfunction("""COMPUTED_VALUE"""),9690600)</f>
        <v>9690600</v>
      </c>
      <c r="F247" s="193"/>
      <c r="G247" s="272" t="n">
        <f aca="false">IFERROR(__xludf.dummyfunction("""COMPUTED_VALUE"""),12258609)</f>
        <v>12258609</v>
      </c>
      <c r="H247" s="271" t="str">
        <f aca="false">IFERROR(__xludf.dummyfunction("""COMPUTED_VALUE"""),"Club Option")</f>
        <v>Club Option</v>
      </c>
      <c r="I247" s="272" t="n">
        <f aca="false">IFERROR(__xludf.dummyfunction("""COMPUTED_VALUE"""),36775827)</f>
        <v>36775827</v>
      </c>
      <c r="J247" s="271" t="str">
        <f aca="false">IFERROR(__xludf.dummyfunction("""COMPUTED_VALUE"""),"RFA - Bird")</f>
        <v>RFA - Bird</v>
      </c>
      <c r="K247" s="273"/>
      <c r="L247" s="193"/>
      <c r="M247" s="273"/>
      <c r="N247" s="193"/>
      <c r="O247" s="193" t="n">
        <f aca="false">IFERROR(__xludf.dummyfunction("""COMPUTED_VALUE"""),1)</f>
        <v>1</v>
      </c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  <c r="Z247" s="193"/>
    </row>
    <row r="248" customFormat="false" ht="15.75" hidden="false" customHeight="false" outlineLevel="0" collapsed="false">
      <c r="A248" s="193" t="str">
        <f aca="false">IFERROR(__xludf.dummyfunction("""COMPUTED_VALUE"""),"Dalen Terry")</f>
        <v>Dalen Terry</v>
      </c>
      <c r="B248" s="271" t="str">
        <f aca="false">IFERROR(__xludf.dummyfunction("""COMPUTED_VALUE"""),"Houston Rockets")</f>
        <v>Houston Rockets</v>
      </c>
      <c r="C248" s="273"/>
      <c r="D248" s="193"/>
      <c r="E248" s="272" t="n">
        <f aca="false">IFERROR(__xludf.dummyfunction("""COMPUTED_VALUE"""),5399118)</f>
        <v>5399118</v>
      </c>
      <c r="F248" s="193"/>
      <c r="G248" s="272" t="n">
        <f aca="false">IFERROR(__xludf.dummyfunction("""COMPUTED_VALUE"""),16197354)</f>
        <v>16197354</v>
      </c>
      <c r="H248" s="193" t="str">
        <f aca="false">IFERROR(__xludf.dummyfunction("""COMPUTED_VALUE"""),"RFA - Bird")</f>
        <v>RFA - Bird</v>
      </c>
      <c r="I248" s="272" t="str">
        <f aca="false">IFERROR(__xludf.dummyfunction("""COMPUTED_VALUE"""),"")</f>
        <v/>
      </c>
      <c r="J248" s="193"/>
      <c r="K248" s="273"/>
      <c r="L248" s="193"/>
      <c r="M248" s="273"/>
      <c r="N248" s="193"/>
      <c r="O248" s="193" t="n">
        <f aca="false">IFERROR(__xludf.dummyfunction("""COMPUTED_VALUE"""),1)</f>
        <v>1</v>
      </c>
      <c r="P248" s="193"/>
      <c r="Q248" s="193"/>
      <c r="R248" s="193"/>
      <c r="S248" s="193"/>
      <c r="T248" s="193"/>
      <c r="U248" s="193"/>
      <c r="V248" s="193"/>
      <c r="W248" s="193"/>
      <c r="X248" s="193"/>
      <c r="Y248" s="193"/>
      <c r="Z248" s="193"/>
    </row>
    <row r="249" customFormat="false" ht="15.75" hidden="false" customHeight="false" outlineLevel="0" collapsed="false">
      <c r="A249" s="193" t="str">
        <f aca="false">IFERROR(__xludf.dummyfunction("""COMPUTED_VALUE"""),"Chris Boucher")</f>
        <v>Chris Boucher</v>
      </c>
      <c r="B249" s="271" t="str">
        <f aca="false">IFERROR(__xludf.dummyfunction("""COMPUTED_VALUE"""),"Houston Rockets")</f>
        <v>Houston Rockets</v>
      </c>
      <c r="C249" s="272" t="n">
        <f aca="false">IFERROR(__xludf.dummyfunction("""COMPUTED_VALUE"""),10810000)</f>
        <v>10810000</v>
      </c>
      <c r="D249" s="193"/>
      <c r="E249" s="272" t="n">
        <f aca="false">IFERROR(__xludf.dummyfunction("""COMPUTED_VALUE"""),5134273.76)</f>
        <v>5134273.76</v>
      </c>
      <c r="F249" s="193"/>
      <c r="G249" s="272" t="n">
        <f aca="false">IFERROR(__xludf.dummyfunction("""COMPUTED_VALUE"""),7701410.64)</f>
        <v>7701410.64</v>
      </c>
      <c r="H249" s="271" t="str">
        <f aca="false">IFERROR(__xludf.dummyfunction("""COMPUTED_VALUE"""),"Player Option")</f>
        <v>Player Option</v>
      </c>
      <c r="I249" s="272" t="n">
        <f aca="false">IFERROR(__xludf.dummyfunction("""COMPUTED_VALUE"""),10011833.83)</f>
        <v>10011833.83</v>
      </c>
      <c r="J249" s="271" t="str">
        <f aca="false">IFERROR(__xludf.dummyfunction("""COMPUTED_VALUE"""),"UFA - Early Bird")</f>
        <v>UFA - Early Bird</v>
      </c>
      <c r="K249" s="273"/>
      <c r="L249" s="193"/>
      <c r="M249" s="273"/>
      <c r="N249" s="193"/>
      <c r="O249" s="193" t="n">
        <f aca="false">IFERROR(__xludf.dummyfunction("""COMPUTED_VALUE"""),1)</f>
        <v>1</v>
      </c>
      <c r="P249" s="193"/>
      <c r="Q249" s="193"/>
      <c r="R249" s="193"/>
      <c r="S249" s="193"/>
      <c r="T249" s="193"/>
      <c r="U249" s="193"/>
      <c r="V249" s="193"/>
      <c r="W249" s="193"/>
      <c r="X249" s="193"/>
      <c r="Y249" s="193"/>
      <c r="Z249" s="193"/>
    </row>
    <row r="250" customFormat="false" ht="15.75" hidden="false" customHeight="false" outlineLevel="0" collapsed="false">
      <c r="A250" s="193" t="str">
        <f aca="false">IFERROR(__xludf.dummyfunction("""COMPUTED_VALUE"""),"AJ Green")</f>
        <v>AJ Green</v>
      </c>
      <c r="B250" s="271" t="str">
        <f aca="false">IFERROR(__xludf.dummyfunction("""COMPUTED_VALUE"""),"Houston Rockets")</f>
        <v>Houston Rockets</v>
      </c>
      <c r="C250" s="273"/>
      <c r="D250" s="193"/>
      <c r="E250" s="272" t="n">
        <f aca="false">IFERROR(__xludf.dummyfunction("""COMPUTED_VALUE"""),2301587)</f>
        <v>2301587</v>
      </c>
      <c r="F250" s="193"/>
      <c r="G250" s="272" t="n">
        <f aca="false">IFERROR(__xludf.dummyfunction("""COMPUTED_VALUE"""),2688239)</f>
        <v>2688239</v>
      </c>
      <c r="H250" s="193" t="str">
        <f aca="false">IFERROR(__xludf.dummyfunction("""COMPUTED_VALUE"""),"UFA - Bird")</f>
        <v>UFA - Bird</v>
      </c>
      <c r="I250" s="272" t="str">
        <f aca="false">IFERROR(__xludf.dummyfunction("""COMPUTED_VALUE"""),"")</f>
        <v/>
      </c>
      <c r="J250" s="193"/>
      <c r="K250" s="273"/>
      <c r="L250" s="193"/>
      <c r="M250" s="273"/>
      <c r="N250" s="193"/>
      <c r="O250" s="193" t="n">
        <f aca="false">IFERROR(__xludf.dummyfunction("""COMPUTED_VALUE"""),1)</f>
        <v>1</v>
      </c>
      <c r="P250" s="193"/>
      <c r="Q250" s="193"/>
      <c r="R250" s="193"/>
      <c r="S250" s="193"/>
      <c r="T250" s="193"/>
      <c r="U250" s="193"/>
      <c r="V250" s="193"/>
      <c r="W250" s="193"/>
      <c r="X250" s="193"/>
      <c r="Y250" s="193"/>
      <c r="Z250" s="193"/>
    </row>
    <row r="251" customFormat="false" ht="15.75" hidden="false" customHeight="false" outlineLevel="0" collapsed="false">
      <c r="A251" s="193" t="str">
        <f aca="false">IFERROR(__xludf.dummyfunction("""COMPUTED_VALUE"""),"Reggie Bullock")</f>
        <v>Reggie Bullock</v>
      </c>
      <c r="B251" s="271" t="str">
        <f aca="false">IFERROR(__xludf.dummyfunction("""COMPUTED_VALUE"""),"Houston Rockets")</f>
        <v>Houston Rockets</v>
      </c>
      <c r="C251" s="272" t="n">
        <f aca="false">IFERROR(__xludf.dummyfunction("""COMPUTED_VALUE"""),2087519)</f>
        <v>2087519</v>
      </c>
      <c r="D251" s="271" t="str">
        <f aca="false">IFERROR(__xludf.dummyfunction("""COMPUTED_VALUE"""),"UFA - Non-Bird")</f>
        <v>UFA - Non-Bird</v>
      </c>
      <c r="E251" s="272" t="n">
        <f aca="false">IFERROR(__xludf.dummyfunction("""COMPUTED_VALUE"""),2296274)</f>
        <v>2296274</v>
      </c>
      <c r="F251" s="271" t="str">
        <f aca="false">IFERROR(__xludf.dummyfunction("""COMPUTED_VALUE"""),"UFA - Non-Bird")</f>
        <v>UFA - Non-Bird</v>
      </c>
      <c r="G251" s="273"/>
      <c r="H251" s="193"/>
      <c r="I251" s="273"/>
      <c r="J251" s="193"/>
      <c r="K251" s="273"/>
      <c r="L251" s="193"/>
      <c r="M251" s="273"/>
      <c r="N251" s="193"/>
      <c r="O251" s="193" t="n">
        <f aca="false">IFERROR(__xludf.dummyfunction("""COMPUTED_VALUE"""),1)</f>
        <v>1</v>
      </c>
      <c r="P251" s="193"/>
      <c r="Q251" s="193"/>
      <c r="R251" s="193"/>
      <c r="S251" s="193"/>
      <c r="T251" s="193"/>
      <c r="U251" s="193"/>
      <c r="V251" s="193"/>
      <c r="W251" s="193"/>
      <c r="X251" s="193"/>
      <c r="Y251" s="193"/>
      <c r="Z251" s="193"/>
    </row>
    <row r="252" customFormat="false" ht="15.75" hidden="false" customHeight="false" outlineLevel="0" collapsed="false">
      <c r="A252" s="193" t="str">
        <f aca="false">IFERROR(__xludf.dummyfunction("""COMPUTED_VALUE"""),"Boban Marjanovic")</f>
        <v>Boban Marjanovic</v>
      </c>
      <c r="B252" s="271" t="str">
        <f aca="false">IFERROR(__xludf.dummyfunction("""COMPUTED_VALUE"""),"Houston Rockets")</f>
        <v>Houston Rockets</v>
      </c>
      <c r="C252" s="272" t="n">
        <f aca="false">IFERROR(__xludf.dummyfunction("""COMPUTED_VALUE"""),2087519)</f>
        <v>2087519</v>
      </c>
      <c r="D252" s="271" t="str">
        <f aca="false">IFERROR(__xludf.dummyfunction("""COMPUTED_VALUE"""),"UFA - Bird")</f>
        <v>UFA - Bird</v>
      </c>
      <c r="E252" s="272" t="n">
        <f aca="false">IFERROR(__xludf.dummyfunction("""COMPUTED_VALUE"""),2296274)</f>
        <v>2296274</v>
      </c>
      <c r="F252" s="271" t="str">
        <f aca="false">IFERROR(__xludf.dummyfunction("""COMPUTED_VALUE"""),"UFA - Bird")</f>
        <v>UFA - Bird</v>
      </c>
      <c r="G252" s="273"/>
      <c r="H252" s="193"/>
      <c r="I252" s="273"/>
      <c r="J252" s="193"/>
      <c r="K252" s="273"/>
      <c r="L252" s="193"/>
      <c r="M252" s="273"/>
      <c r="N252" s="193"/>
      <c r="O252" s="193" t="n">
        <f aca="false">IFERROR(__xludf.dummyfunction("""COMPUTED_VALUE"""),1)</f>
        <v>1</v>
      </c>
      <c r="P252" s="193"/>
      <c r="Q252" s="193"/>
      <c r="R252" s="193"/>
      <c r="S252" s="193"/>
      <c r="T252" s="193"/>
      <c r="U252" s="193"/>
      <c r="V252" s="193"/>
      <c r="W252" s="193"/>
      <c r="X252" s="193"/>
      <c r="Y252" s="193"/>
      <c r="Z252" s="193"/>
    </row>
    <row r="253" customFormat="false" ht="15.75" hidden="false" customHeight="false" outlineLevel="0" collapsed="false">
      <c r="A253" s="193" t="str">
        <f aca="false">IFERROR(__xludf.dummyfunction("""COMPUTED_VALUE"""),"Taurean Prince")</f>
        <v>Taurean Prince</v>
      </c>
      <c r="B253" s="271" t="str">
        <f aca="false">IFERROR(__xludf.dummyfunction("""COMPUTED_VALUE"""),"Houston Rockets")</f>
        <v>Houston Rockets</v>
      </c>
      <c r="C253" s="272" t="n">
        <f aca="false">IFERROR(__xludf.dummyfunction("""COMPUTED_VALUE"""),2087519)</f>
        <v>2087519</v>
      </c>
      <c r="D253" s="193"/>
      <c r="E253" s="272" t="n">
        <f aca="false">IFERROR(__xludf.dummyfunction("""COMPUTED_VALUE"""),2296271)</f>
        <v>2296271</v>
      </c>
      <c r="F253" s="193"/>
      <c r="G253" s="272" t="n">
        <f aca="false">IFERROR(__xludf.dummyfunction("""COMPUTED_VALUE"""),2525898.1)</f>
        <v>2525898.1</v>
      </c>
      <c r="H253" s="271" t="str">
        <f aca="false">IFERROR(__xludf.dummyfunction("""COMPUTED_VALUE"""),"UFA - Non-Bird")</f>
        <v>UFA - Non-Bird</v>
      </c>
      <c r="I253" s="273"/>
      <c r="J253" s="193"/>
      <c r="K253" s="273"/>
      <c r="L253" s="193"/>
      <c r="M253" s="273"/>
      <c r="N253" s="193"/>
      <c r="O253" s="193" t="n">
        <f aca="false">IFERROR(__xludf.dummyfunction("""COMPUTED_VALUE"""),1)</f>
        <v>1</v>
      </c>
      <c r="P253" s="193"/>
      <c r="Q253" s="193"/>
      <c r="R253" s="193"/>
      <c r="S253" s="193"/>
      <c r="T253" s="193"/>
      <c r="U253" s="193"/>
      <c r="V253" s="193"/>
      <c r="W253" s="193"/>
      <c r="X253" s="193"/>
      <c r="Y253" s="193"/>
      <c r="Z253" s="193"/>
    </row>
    <row r="254" customFormat="false" ht="15.75" hidden="false" customHeight="false" outlineLevel="0" collapsed="false">
      <c r="A254" s="193" t="str">
        <f aca="false">IFERROR(__xludf.dummyfunction("""COMPUTED_VALUE"""),"Thanasis Antetokounmpo")</f>
        <v>Thanasis Antetokounmpo</v>
      </c>
      <c r="B254" s="271" t="str">
        <f aca="false">IFERROR(__xludf.dummyfunction("""COMPUTED_VALUE"""),"Houston Rockets")</f>
        <v>Houston Rockets</v>
      </c>
      <c r="C254" s="272" t="n">
        <f aca="false">IFERROR(__xludf.dummyfunction("""COMPUTED_VALUE"""),2087519)</f>
        <v>2087519</v>
      </c>
      <c r="D254" s="193"/>
      <c r="E254" s="272" t="n">
        <f aca="false">IFERROR(__xludf.dummyfunction("""COMPUTED_VALUE"""),2296271)</f>
        <v>2296271</v>
      </c>
      <c r="F254" s="193"/>
      <c r="G254" s="272" t="n">
        <f aca="false">IFERROR(__xludf.dummyfunction("""COMPUTED_VALUE"""),2525898.1)</f>
        <v>2525898.1</v>
      </c>
      <c r="H254" s="271" t="str">
        <f aca="false">IFERROR(__xludf.dummyfunction("""COMPUTED_VALUE"""),"UFA - Non-Bird")</f>
        <v>UFA - Non-Bird</v>
      </c>
      <c r="I254" s="273"/>
      <c r="J254" s="193"/>
      <c r="K254" s="273"/>
      <c r="L254" s="193"/>
      <c r="M254" s="273"/>
      <c r="N254" s="193"/>
      <c r="O254" s="193" t="n">
        <f aca="false">IFERROR(__xludf.dummyfunction("""COMPUTED_VALUE"""),1)</f>
        <v>1</v>
      </c>
      <c r="P254" s="193"/>
      <c r="Q254" s="193"/>
      <c r="R254" s="193"/>
      <c r="S254" s="193"/>
      <c r="T254" s="193"/>
      <c r="U254" s="193"/>
      <c r="V254" s="193"/>
      <c r="W254" s="193"/>
      <c r="X254" s="193"/>
      <c r="Y254" s="193"/>
      <c r="Z254" s="193"/>
    </row>
    <row r="255" customFormat="false" ht="15.75" hidden="false" customHeight="false" outlineLevel="0" collapsed="false">
      <c r="A255" s="193" t="str">
        <f aca="false">IFERROR(__xludf.dummyfunction("""COMPUTED_VALUE"""),"Landry Shamet")</f>
        <v>Landry Shamet</v>
      </c>
      <c r="B255" s="271" t="str">
        <f aca="false">IFERROR(__xludf.dummyfunction("""COMPUTED_VALUE"""),"Houston Rockets")</f>
        <v>Houston Rockets</v>
      </c>
      <c r="C255" s="272" t="n">
        <f aca="false">IFERROR(__xludf.dummyfunction("""COMPUTED_VALUE"""),1343690)</f>
        <v>1343690</v>
      </c>
      <c r="D255" s="193"/>
      <c r="E255" s="272" t="n">
        <f aca="false">IFERROR(__xludf.dummyfunction("""COMPUTED_VALUE"""),2296271)</f>
        <v>2296271</v>
      </c>
      <c r="F255" s="193"/>
      <c r="G255" s="272" t="n">
        <f aca="false">IFERROR(__xludf.dummyfunction("""COMPUTED_VALUE"""),2525898.1)</f>
        <v>2525898.1</v>
      </c>
      <c r="H255" s="271" t="str">
        <f aca="false">IFERROR(__xludf.dummyfunction("""COMPUTED_VALUE"""),"UFA - Non-Bird")</f>
        <v>UFA - Non-Bird</v>
      </c>
      <c r="I255" s="273"/>
      <c r="J255" s="193"/>
      <c r="K255" s="273"/>
      <c r="L255" s="193"/>
      <c r="M255" s="273"/>
      <c r="N255" s="193"/>
      <c r="O255" s="193" t="n">
        <f aca="false">IFERROR(__xludf.dummyfunction("""COMPUTED_VALUE"""),1)</f>
        <v>1</v>
      </c>
      <c r="P255" s="193"/>
      <c r="Q255" s="193"/>
      <c r="R255" s="193"/>
      <c r="S255" s="193"/>
      <c r="T255" s="193"/>
      <c r="U255" s="193"/>
      <c r="V255" s="193"/>
      <c r="W255" s="193"/>
      <c r="X255" s="193"/>
      <c r="Y255" s="193"/>
      <c r="Z255" s="193"/>
    </row>
    <row r="256" customFormat="false" ht="15.75" hidden="false" customHeight="false" outlineLevel="0" collapsed="false">
      <c r="A256" s="193" t="str">
        <f aca="false">IFERROR(__xludf.dummyfunction("""COMPUTED_VALUE"""),"Jae Crowder")</f>
        <v>Jae Crowder</v>
      </c>
      <c r="B256" s="271" t="str">
        <f aca="false">IFERROR(__xludf.dummyfunction("""COMPUTED_VALUE"""),"Houston Rockets")</f>
        <v>Houston Rockets</v>
      </c>
      <c r="C256" s="272" t="n">
        <f aca="false">IFERROR(__xludf.dummyfunction("""COMPUTED_VALUE"""),1655619)</f>
        <v>1655619</v>
      </c>
      <c r="D256" s="193"/>
      <c r="E256" s="272" t="n">
        <f aca="false">IFERROR(__xludf.dummyfunction("""COMPUTED_VALUE"""),2296271)</f>
        <v>2296271</v>
      </c>
      <c r="F256" s="193"/>
      <c r="G256" s="272" t="n">
        <f aca="false">IFERROR(__xludf.dummyfunction("""COMPUTED_VALUE"""),2525898.1)</f>
        <v>2525898.1</v>
      </c>
      <c r="H256" s="271" t="str">
        <f aca="false">IFERROR(__xludf.dummyfunction("""COMPUTED_VALUE"""),"UFA - Non-Bird")</f>
        <v>UFA - Non-Bird</v>
      </c>
      <c r="I256" s="273"/>
      <c r="J256" s="193"/>
      <c r="K256" s="273"/>
      <c r="L256" s="193"/>
      <c r="M256" s="273"/>
      <c r="N256" s="193"/>
      <c r="O256" s="193" t="n">
        <f aca="false">IFERROR(__xludf.dummyfunction("""COMPUTED_VALUE"""),1)</f>
        <v>1</v>
      </c>
      <c r="P256" s="193"/>
      <c r="Q256" s="193"/>
      <c r="R256" s="193"/>
      <c r="S256" s="193"/>
      <c r="T256" s="193"/>
      <c r="U256" s="193"/>
      <c r="V256" s="193"/>
      <c r="W256" s="193"/>
      <c r="X256" s="193"/>
      <c r="Y256" s="193"/>
      <c r="Z256" s="193"/>
    </row>
    <row r="257" customFormat="false" ht="15.75" hidden="false" customHeight="false" outlineLevel="0" collapsed="false">
      <c r="A257" s="193" t="str">
        <f aca="false">IFERROR(__xludf.dummyfunction("""COMPUTED_VALUE"""),"Jeenathan Williams")</f>
        <v>Jeenathan Williams</v>
      </c>
      <c r="B257" s="271" t="str">
        <f aca="false">IFERROR(__xludf.dummyfunction("""COMPUTED_VALUE"""),"Houston Rockets")</f>
        <v>Houston Rockets</v>
      </c>
      <c r="C257" s="272" t="n">
        <f aca="false">IFERROR(__xludf.dummyfunction("""COMPUTED_VALUE"""),515881)</f>
        <v>515881</v>
      </c>
      <c r="D257" s="193"/>
      <c r="E257" s="272" t="n">
        <f aca="false">IFERROR(__xludf.dummyfunction("""COMPUTED_VALUE"""),2270735)</f>
        <v>2270735</v>
      </c>
      <c r="F257" s="271" t="str">
        <f aca="false">IFERROR(__xludf.dummyfunction("""COMPUTED_VALUE"""),"UFA - Non-Bird")</f>
        <v>UFA - Non-Bird</v>
      </c>
      <c r="G257" s="273"/>
      <c r="H257" s="193"/>
      <c r="I257" s="273"/>
      <c r="J257" s="193"/>
      <c r="K257" s="273"/>
      <c r="L257" s="193"/>
      <c r="M257" s="273"/>
      <c r="N257" s="193"/>
      <c r="O257" s="193" t="n">
        <f aca="false">IFERROR(__xludf.dummyfunction("""COMPUTED_VALUE"""),1)</f>
        <v>1</v>
      </c>
      <c r="P257" s="193"/>
      <c r="Q257" s="193"/>
      <c r="R257" s="193"/>
      <c r="S257" s="193"/>
      <c r="T257" s="193"/>
      <c r="U257" s="193"/>
      <c r="V257" s="193"/>
      <c r="W257" s="193"/>
      <c r="X257" s="193"/>
      <c r="Y257" s="193"/>
      <c r="Z257" s="193"/>
    </row>
    <row r="258" customFormat="false" ht="15.75" hidden="false" customHeight="false" outlineLevel="0" collapsed="false">
      <c r="A258" s="193" t="str">
        <f aca="false">IFERROR(__xludf.dummyfunction("""COMPUTED_VALUE"""),"RayJ Dennis")</f>
        <v>RayJ Dennis</v>
      </c>
      <c r="B258" s="271" t="str">
        <f aca="false">IFERROR(__xludf.dummyfunction("""COMPUTED_VALUE"""),"Indiana Pacers")</f>
        <v>Indiana Pacers</v>
      </c>
      <c r="C258" s="272" t="str">
        <f aca="false">IFERROR(__xludf.dummyfunction("""COMPUTED_VALUE"""),"Two-way")</f>
        <v>Two-way</v>
      </c>
      <c r="D258" s="271" t="str">
        <f aca="false">IFERROR(__xludf.dummyfunction("""COMPUTED_VALUE"""),"Two-way")</f>
        <v>Two-way</v>
      </c>
      <c r="E258" s="272" t="str">
        <f aca="false">IFERROR(__xludf.dummyfunction("""COMPUTED_VALUE"""),"Two-way")</f>
        <v>Two-way</v>
      </c>
      <c r="F258" s="271" t="str">
        <f aca="false">IFERROR(__xludf.dummyfunction("""COMPUTED_VALUE"""),"Two-way")</f>
        <v>Two-way</v>
      </c>
      <c r="G258" s="272" t="n">
        <f aca="false">IFERROR(__xludf.dummyfunction("""COMPUTED_VALUE"""),2253346)</f>
        <v>2253346</v>
      </c>
      <c r="H258" s="271" t="str">
        <f aca="false">IFERROR(__xludf.dummyfunction("""COMPUTED_VALUE"""),"UFA - Two-way")</f>
        <v>UFA - Two-way</v>
      </c>
      <c r="I258" s="273"/>
      <c r="J258" s="193"/>
      <c r="K258" s="273"/>
      <c r="L258" s="193"/>
      <c r="M258" s="273"/>
      <c r="N258" s="193"/>
      <c r="O258" s="193" t="n">
        <f aca="false">IFERROR(__xludf.dummyfunction("""COMPUTED_VALUE"""),1)</f>
        <v>1</v>
      </c>
      <c r="P258" s="193"/>
      <c r="Q258" s="193"/>
      <c r="R258" s="193"/>
      <c r="S258" s="193"/>
      <c r="T258" s="193"/>
      <c r="U258" s="193"/>
      <c r="V258" s="193"/>
      <c r="W258" s="193"/>
      <c r="X258" s="193"/>
      <c r="Y258" s="193"/>
      <c r="Z258" s="193"/>
    </row>
    <row r="259" customFormat="false" ht="15.75" hidden="false" customHeight="false" outlineLevel="0" collapsed="false">
      <c r="A259" s="193" t="str">
        <f aca="false">IFERROR(__xludf.dummyfunction("""COMPUTED_VALUE"""),"Pascal Siakam")</f>
        <v>Pascal Siakam</v>
      </c>
      <c r="B259" s="271" t="str">
        <f aca="false">IFERROR(__xludf.dummyfunction("""COMPUTED_VALUE"""),"Indiana Pacers")</f>
        <v>Indiana Pacers</v>
      </c>
      <c r="C259" s="272" t="n">
        <f aca="false">IFERROR(__xludf.dummyfunction("""COMPUTED_VALUE"""),42176400)</f>
        <v>42176400</v>
      </c>
      <c r="D259" s="193"/>
      <c r="E259" s="272" t="n">
        <f aca="false">IFERROR(__xludf.dummyfunction("""COMPUTED_VALUE"""),45550512)</f>
        <v>45550512</v>
      </c>
      <c r="F259" s="193"/>
      <c r="G259" s="272" t="n">
        <f aca="false">IFERROR(__xludf.dummyfunction("""COMPUTED_VALUE"""),48924624)</f>
        <v>48924624</v>
      </c>
      <c r="H259" s="193"/>
      <c r="I259" s="272" t="n">
        <f aca="false">IFERROR(__xludf.dummyfunction("""COMPUTED_VALUE"""),52298736)</f>
        <v>52298736</v>
      </c>
      <c r="J259" s="193"/>
      <c r="K259" s="272" t="n">
        <f aca="false">IFERROR(__xludf.dummyfunction("""COMPUTED_VALUE"""),72253335)</f>
        <v>72253335</v>
      </c>
      <c r="L259" s="271" t="str">
        <f aca="false">IFERROR(__xludf.dummyfunction("""COMPUTED_VALUE"""),"UFA - Bird")</f>
        <v>UFA - Bird</v>
      </c>
      <c r="M259" s="273"/>
      <c r="N259" s="193"/>
      <c r="O259" s="193" t="n">
        <f aca="false">IFERROR(__xludf.dummyfunction("""COMPUTED_VALUE"""),1)</f>
        <v>1</v>
      </c>
      <c r="P259" s="193"/>
      <c r="Q259" s="193"/>
      <c r="R259" s="193"/>
      <c r="S259" s="193"/>
      <c r="T259" s="193"/>
      <c r="U259" s="193"/>
      <c r="V259" s="193"/>
      <c r="W259" s="193"/>
      <c r="X259" s="193"/>
      <c r="Y259" s="193"/>
      <c r="Z259" s="193"/>
    </row>
    <row r="260" customFormat="false" ht="15.75" hidden="false" customHeight="false" outlineLevel="0" collapsed="false">
      <c r="A260" s="193" t="str">
        <f aca="false">IFERROR(__xludf.dummyfunction("""COMPUTED_VALUE"""),"Tyrese Haliburton")</f>
        <v>Tyrese Haliburton</v>
      </c>
      <c r="B260" s="271" t="str">
        <f aca="false">IFERROR(__xludf.dummyfunction("""COMPUTED_VALUE"""),"Indiana Pacers")</f>
        <v>Indiana Pacers</v>
      </c>
      <c r="C260" s="272" t="n">
        <f aca="false">IFERROR(__xludf.dummyfunction("""COMPUTED_VALUE"""),42176400)</f>
        <v>42176400</v>
      </c>
      <c r="D260" s="193"/>
      <c r="E260" s="272" t="n">
        <f aca="false">IFERROR(__xludf.dummyfunction("""COMPUTED_VALUE"""),45550512)</f>
        <v>45550512</v>
      </c>
      <c r="F260" s="193"/>
      <c r="G260" s="272" t="n">
        <f aca="false">IFERROR(__xludf.dummyfunction("""COMPUTED_VALUE"""),48924624)</f>
        <v>48924624</v>
      </c>
      <c r="H260" s="193"/>
      <c r="I260" s="272" t="n">
        <f aca="false">IFERROR(__xludf.dummyfunction("""COMPUTED_VALUE"""),52298736)</f>
        <v>52298736</v>
      </c>
      <c r="J260" s="193"/>
      <c r="K260" s="272" t="n">
        <f aca="false">IFERROR(__xludf.dummyfunction("""COMPUTED_VALUE"""),55672848)</f>
        <v>55672848</v>
      </c>
      <c r="L260" s="193"/>
      <c r="M260" s="272" t="n">
        <f aca="false">IFERROR(__xludf.dummyfunction("""COMPUTED_VALUE"""),67925514)</f>
        <v>67925514</v>
      </c>
      <c r="N260" s="271" t="str">
        <f aca="false">IFERROR(__xludf.dummyfunction("""COMPUTED_VALUE"""),"UFA - Bird")</f>
        <v>UFA - Bird</v>
      </c>
      <c r="O260" s="193" t="n">
        <f aca="false">IFERROR(__xludf.dummyfunction("""COMPUTED_VALUE"""),1)</f>
        <v>1</v>
      </c>
      <c r="P260" s="193"/>
      <c r="Q260" s="193"/>
      <c r="R260" s="193"/>
      <c r="S260" s="193"/>
      <c r="T260" s="193"/>
      <c r="U260" s="193"/>
      <c r="V260" s="193"/>
      <c r="W260" s="193"/>
      <c r="X260" s="193"/>
      <c r="Y260" s="193"/>
      <c r="Z260" s="193"/>
    </row>
    <row r="261" customFormat="false" ht="15.75" hidden="false" customHeight="false" outlineLevel="0" collapsed="false">
      <c r="A261" s="193" t="str">
        <f aca="false">IFERROR(__xludf.dummyfunction("""COMPUTED_VALUE"""),"Myles Turner")</f>
        <v>Myles Turner</v>
      </c>
      <c r="B261" s="271" t="str">
        <f aca="false">IFERROR(__xludf.dummyfunction("""COMPUTED_VALUE"""),"Indiana Pacers")</f>
        <v>Indiana Pacers</v>
      </c>
      <c r="C261" s="272" t="n">
        <f aca="false">IFERROR(__xludf.dummyfunction("""COMPUTED_VALUE"""),19928500)</f>
        <v>19928500</v>
      </c>
      <c r="D261" s="193"/>
      <c r="E261" s="272" t="n">
        <f aca="false">IFERROR(__xludf.dummyfunction("""COMPUTED_VALUE"""),23250000)</f>
        <v>23250000</v>
      </c>
      <c r="F261" s="193"/>
      <c r="G261" s="272" t="n">
        <f aca="false">IFERROR(__xludf.dummyfunction("""COMPUTED_VALUE"""),25110000)</f>
        <v>25110000</v>
      </c>
      <c r="H261" s="193"/>
      <c r="I261" s="272" t="n">
        <f aca="false">IFERROR(__xludf.dummyfunction("""COMPUTED_VALUE"""),26970000)</f>
        <v>26970000</v>
      </c>
      <c r="J261" s="193"/>
      <c r="K261" s="272" t="n">
        <f aca="false">IFERROR(__xludf.dummyfunction("""COMPUTED_VALUE"""),28830000)</f>
        <v>28830000</v>
      </c>
      <c r="L261" s="271" t="str">
        <f aca="false">IFERROR(__xludf.dummyfunction("""COMPUTED_VALUE"""),"Player Option")</f>
        <v>Player Option</v>
      </c>
      <c r="M261" s="272" t="n">
        <f aca="false">IFERROR(__xludf.dummyfunction("""COMPUTED_VALUE"""),43245000)</f>
        <v>43245000</v>
      </c>
      <c r="N261" s="271" t="str">
        <f aca="false">IFERROR(__xludf.dummyfunction("""COMPUTED_VALUE"""),"UFA - Bird")</f>
        <v>UFA - Bird</v>
      </c>
      <c r="O261" s="193" t="n">
        <f aca="false">IFERROR(__xludf.dummyfunction("""COMPUTED_VALUE"""),1)</f>
        <v>1</v>
      </c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</row>
    <row r="262" customFormat="false" ht="15.75" hidden="false" customHeight="false" outlineLevel="0" collapsed="false">
      <c r="A262" s="193" t="str">
        <f aca="false">IFERROR(__xludf.dummyfunction("""COMPUTED_VALUE"""),"Andrew Nembhard")</f>
        <v>Andrew Nembhard</v>
      </c>
      <c r="B262" s="271" t="str">
        <f aca="false">IFERROR(__xludf.dummyfunction("""COMPUTED_VALUE"""),"Indiana Pacers")</f>
        <v>Indiana Pacers</v>
      </c>
      <c r="C262" s="272" t="n">
        <f aca="false">IFERROR(__xludf.dummyfunction("""COMPUTED_VALUE"""),2019699)</f>
        <v>2019699</v>
      </c>
      <c r="D262" s="193"/>
      <c r="E262" s="272" t="n">
        <f aca="false">IFERROR(__xludf.dummyfunction("""COMPUTED_VALUE"""),18102000)</f>
        <v>18102000</v>
      </c>
      <c r="F262" s="193"/>
      <c r="G262" s="272" t="n">
        <f aca="false">IFERROR(__xludf.dummyfunction("""COMPUTED_VALUE"""),19550160)</f>
        <v>19550160</v>
      </c>
      <c r="H262" s="193"/>
      <c r="I262" s="272" t="n">
        <f aca="false">IFERROR(__xludf.dummyfunction("""COMPUTED_VALUE"""),20998320)</f>
        <v>20998320</v>
      </c>
      <c r="J262" s="193"/>
      <c r="K262" s="272" t="n">
        <f aca="false">IFERROR(__xludf.dummyfunction("""COMPUTED_VALUE"""),31497480)</f>
        <v>31497480</v>
      </c>
      <c r="L262" s="271" t="str">
        <f aca="false">IFERROR(__xludf.dummyfunction("""COMPUTED_VALUE"""),"UFA - Bird")</f>
        <v>UFA - Bird</v>
      </c>
      <c r="M262" s="273"/>
      <c r="N262" s="193"/>
      <c r="O262" s="193" t="n">
        <f aca="false">IFERROR(__xludf.dummyfunction("""COMPUTED_VALUE"""),1)</f>
        <v>1</v>
      </c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</row>
    <row r="263" customFormat="false" ht="15.75" hidden="false" customHeight="false" outlineLevel="0" collapsed="false">
      <c r="A263" s="193" t="str">
        <f aca="false">IFERROR(__xludf.dummyfunction("""COMPUTED_VALUE"""),"Obi Toppin")</f>
        <v>Obi Toppin</v>
      </c>
      <c r="B263" s="271" t="str">
        <f aca="false">IFERROR(__xludf.dummyfunction("""COMPUTED_VALUE"""),"Indiana Pacers")</f>
        <v>Indiana Pacers</v>
      </c>
      <c r="C263" s="272" t="n">
        <f aca="false">IFERROR(__xludf.dummyfunction("""COMPUTED_VALUE"""),12975000)</f>
        <v>12975000</v>
      </c>
      <c r="D263" s="193"/>
      <c r="E263" s="272" t="n">
        <f aca="false">IFERROR(__xludf.dummyfunction("""COMPUTED_VALUE"""),14000000)</f>
        <v>14000000</v>
      </c>
      <c r="F263" s="193"/>
      <c r="G263" s="272" t="n">
        <f aca="false">IFERROR(__xludf.dummyfunction("""COMPUTED_VALUE"""),15000000)</f>
        <v>15000000</v>
      </c>
      <c r="H263" s="193"/>
      <c r="I263" s="272" t="n">
        <f aca="false">IFERROR(__xludf.dummyfunction("""COMPUTED_VALUE"""),16025000)</f>
        <v>16025000</v>
      </c>
      <c r="J263" s="193"/>
      <c r="K263" s="272" t="n">
        <f aca="false">IFERROR(__xludf.dummyfunction("""COMPUTED_VALUE"""),24697500)</f>
        <v>24697500</v>
      </c>
      <c r="L263" s="271" t="str">
        <f aca="false">IFERROR(__xludf.dummyfunction("""COMPUTED_VALUE"""),"UFA - Bird")</f>
        <v>UFA - Bird</v>
      </c>
      <c r="M263" s="273"/>
      <c r="N263" s="193"/>
      <c r="O263" s="193" t="n">
        <f aca="false">IFERROR(__xludf.dummyfunction("""COMPUTED_VALUE"""),1)</f>
        <v>1</v>
      </c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</row>
    <row r="264" customFormat="false" ht="15.75" hidden="false" customHeight="false" outlineLevel="0" collapsed="false">
      <c r="A264" s="193" t="str">
        <f aca="false">IFERROR(__xludf.dummyfunction("""COMPUTED_VALUE"""),"Isaiah Jackson")</f>
        <v>Isaiah Jackson</v>
      </c>
      <c r="B264" s="271" t="str">
        <f aca="false">IFERROR(__xludf.dummyfunction("""COMPUTED_VALUE"""),"Indiana Pacers")</f>
        <v>Indiana Pacers</v>
      </c>
      <c r="C264" s="272" t="n">
        <f aca="false">IFERROR(__xludf.dummyfunction("""COMPUTED_VALUE"""),4435381)</f>
        <v>4435381</v>
      </c>
      <c r="D264" s="193"/>
      <c r="E264" s="272" t="n">
        <f aca="false">IFERROR(__xludf.dummyfunction("""COMPUTED_VALUE"""),13306143)</f>
        <v>13306143</v>
      </c>
      <c r="F264" s="271" t="str">
        <f aca="false">IFERROR(__xludf.dummyfunction("""COMPUTED_VALUE"""),"UFA - Bird")</f>
        <v>UFA - Bird</v>
      </c>
      <c r="G264" s="272" t="str">
        <f aca="false">IFERROR(__xludf.dummyfunction("""COMPUTED_VALUE"""),"")</f>
        <v/>
      </c>
      <c r="H264" s="193"/>
      <c r="I264" s="272" t="str">
        <f aca="false">IFERROR(__xludf.dummyfunction("""COMPUTED_VALUE"""),"")</f>
        <v/>
      </c>
      <c r="J264" s="193"/>
      <c r="K264" s="273"/>
      <c r="L264" s="193"/>
      <c r="M264" s="273"/>
      <c r="N264" s="193"/>
      <c r="O264" s="193" t="n">
        <f aca="false">IFERROR(__xludf.dummyfunction("""COMPUTED_VALUE"""),1)</f>
        <v>1</v>
      </c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</row>
    <row r="265" customFormat="false" ht="15.75" hidden="false" customHeight="false" outlineLevel="0" collapsed="false">
      <c r="A265" s="193" t="str">
        <f aca="false">IFERROR(__xludf.dummyfunction("""COMPUTED_VALUE"""),"Aaron Nesmith")</f>
        <v>Aaron Nesmith</v>
      </c>
      <c r="B265" s="271" t="str">
        <f aca="false">IFERROR(__xludf.dummyfunction("""COMPUTED_VALUE"""),"Indiana Pacers")</f>
        <v>Indiana Pacers</v>
      </c>
      <c r="C265" s="272" t="n">
        <f aca="false">IFERROR(__xludf.dummyfunction("""COMPUTED_VALUE"""),11000000)</f>
        <v>11000000</v>
      </c>
      <c r="D265" s="193"/>
      <c r="E265" s="272" t="n">
        <f aca="false">IFERROR(__xludf.dummyfunction("""COMPUTED_VALUE"""),11000000)</f>
        <v>11000000</v>
      </c>
      <c r="F265" s="193"/>
      <c r="G265" s="272" t="n">
        <f aca="false">IFERROR(__xludf.dummyfunction("""COMPUTED_VALUE"""),11000000)</f>
        <v>11000000</v>
      </c>
      <c r="H265" s="193"/>
      <c r="I265" s="272" t="n">
        <f aca="false">IFERROR(__xludf.dummyfunction("""COMPUTED_VALUE"""),20900000)</f>
        <v>20900000</v>
      </c>
      <c r="J265" s="271" t="str">
        <f aca="false">IFERROR(__xludf.dummyfunction("""COMPUTED_VALUE"""),"UFA - Bird")</f>
        <v>UFA - Bird</v>
      </c>
      <c r="K265" s="273"/>
      <c r="L265" s="193"/>
      <c r="M265" s="273"/>
      <c r="N265" s="193"/>
      <c r="O265" s="193" t="n">
        <f aca="false">IFERROR(__xludf.dummyfunction("""COMPUTED_VALUE"""),1)</f>
        <v>1</v>
      </c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</row>
    <row r="266" customFormat="false" ht="15.75" hidden="false" customHeight="false" outlineLevel="0" collapsed="false">
      <c r="A266" s="193" t="str">
        <f aca="false">IFERROR(__xludf.dummyfunction("""COMPUTED_VALUE"""),"T.J. McConnell")</f>
        <v>T.J. McConnell</v>
      </c>
      <c r="B266" s="271" t="str">
        <f aca="false">IFERROR(__xludf.dummyfunction("""COMPUTED_VALUE"""),"Indiana Pacers")</f>
        <v>Indiana Pacers</v>
      </c>
      <c r="C266" s="272" t="n">
        <f aca="false">IFERROR(__xludf.dummyfunction("""COMPUTED_VALUE"""),9300000)</f>
        <v>9300000</v>
      </c>
      <c r="D266" s="193"/>
      <c r="E266" s="272" t="n">
        <f aca="false">IFERROR(__xludf.dummyfunction("""COMPUTED_VALUE"""),10200000)</f>
        <v>10200000</v>
      </c>
      <c r="F266" s="193"/>
      <c r="G266" s="272" t="n">
        <f aca="false">IFERROR(__xludf.dummyfunction("""COMPUTED_VALUE"""),11000000)</f>
        <v>11000000</v>
      </c>
      <c r="H266" s="193"/>
      <c r="I266" s="272" t="n">
        <f aca="false">IFERROR(__xludf.dummyfunction("""COMPUTED_VALUE"""),11800000)</f>
        <v>11800000</v>
      </c>
      <c r="J266" s="271" t="str">
        <f aca="false">IFERROR(__xludf.dummyfunction("""COMPUTED_VALUE"""),"5 mil Guaranteed")</f>
        <v>5 mil Guaranteed</v>
      </c>
      <c r="K266" s="272" t="n">
        <f aca="false">IFERROR(__xludf.dummyfunction("""COMPUTED_VALUE"""),11800000)</f>
        <v>11800000</v>
      </c>
      <c r="L266" s="271" t="str">
        <f aca="false">IFERROR(__xludf.dummyfunction("""COMPUTED_VALUE"""),"Club Option")</f>
        <v>Club Option</v>
      </c>
      <c r="M266" s="272" t="n">
        <f aca="false">IFERROR(__xludf.dummyfunction("""COMPUTED_VALUE"""),22420000)</f>
        <v>22420000</v>
      </c>
      <c r="N266" s="271" t="str">
        <f aca="false">IFERROR(__xludf.dummyfunction("""COMPUTED_VALUE"""),"UFA - Bird")</f>
        <v>UFA - Bird</v>
      </c>
      <c r="O266" s="193" t="n">
        <f aca="false">IFERROR(__xludf.dummyfunction("""COMPUTED_VALUE"""),1)</f>
        <v>1</v>
      </c>
      <c r="P266" s="193"/>
      <c r="Q266" s="193"/>
      <c r="R266" s="193"/>
      <c r="S266" s="193"/>
      <c r="T266" s="193"/>
      <c r="U266" s="193"/>
      <c r="V266" s="193"/>
      <c r="W266" s="193"/>
      <c r="X266" s="193"/>
      <c r="Y266" s="193"/>
      <c r="Z266" s="193"/>
    </row>
    <row r="267" customFormat="false" ht="15.75" hidden="false" customHeight="false" outlineLevel="0" collapsed="false">
      <c r="A267" s="193" t="str">
        <f aca="false">IFERROR(__xludf.dummyfunction("""COMPUTED_VALUE"""),"Bennedict Mathurin")</f>
        <v>Bennedict Mathurin</v>
      </c>
      <c r="B267" s="271" t="str">
        <f aca="false">IFERROR(__xludf.dummyfunction("""COMPUTED_VALUE"""),"Indiana Pacers")</f>
        <v>Indiana Pacers</v>
      </c>
      <c r="C267" s="272" t="n">
        <f aca="false">IFERROR(__xludf.dummyfunction("""COMPUTED_VALUE"""),7245720)</f>
        <v>7245720</v>
      </c>
      <c r="D267" s="193"/>
      <c r="E267" s="272" t="n">
        <f aca="false">IFERROR(__xludf.dummyfunction("""COMPUTED_VALUE"""),9187573)</f>
        <v>9187573</v>
      </c>
      <c r="F267" s="193"/>
      <c r="G267" s="272" t="n">
        <f aca="false">IFERROR(__xludf.dummyfunction("""COMPUTED_VALUE"""),27562719)</f>
        <v>27562719</v>
      </c>
      <c r="H267" s="193" t="str">
        <f aca="false">IFERROR(__xludf.dummyfunction("""COMPUTED_VALUE"""),"RFA - Bird")</f>
        <v>RFA - Bird</v>
      </c>
      <c r="I267" s="272" t="str">
        <f aca="false">IFERROR(__xludf.dummyfunction("""COMPUTED_VALUE"""),"")</f>
        <v/>
      </c>
      <c r="J267" s="193"/>
      <c r="K267" s="273"/>
      <c r="L267" s="193"/>
      <c r="M267" s="273"/>
      <c r="N267" s="193"/>
      <c r="O267" s="193" t="n">
        <f aca="false">IFERROR(__xludf.dummyfunction("""COMPUTED_VALUE"""),1)</f>
        <v>1</v>
      </c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</row>
    <row r="268" customFormat="false" ht="15.75" hidden="false" customHeight="false" outlineLevel="0" collapsed="false">
      <c r="A268" s="193" t="str">
        <f aca="false">IFERROR(__xludf.dummyfunction("""COMPUTED_VALUE"""),"Jarace Walker")</f>
        <v>Jarace Walker</v>
      </c>
      <c r="B268" s="271" t="str">
        <f aca="false">IFERROR(__xludf.dummyfunction("""COMPUTED_VALUE"""),"Indiana Pacers")</f>
        <v>Indiana Pacers</v>
      </c>
      <c r="C268" s="272" t="n">
        <f aca="false">IFERROR(__xludf.dummyfunction("""COMPUTED_VALUE"""),6362520)</f>
        <v>6362520</v>
      </c>
      <c r="D268" s="193"/>
      <c r="E268" s="272" t="n">
        <f aca="false">IFERROR(__xludf.dummyfunction("""COMPUTED_VALUE"""),6665520)</f>
        <v>6665520</v>
      </c>
      <c r="F268" s="193"/>
      <c r="G268" s="272" t="n">
        <f aca="false">IFERROR(__xludf.dummyfunction("""COMPUTED_VALUE"""),8478542)</f>
        <v>8478542</v>
      </c>
      <c r="H268" s="271" t="str">
        <f aca="false">IFERROR(__xludf.dummyfunction("""COMPUTED_VALUE"""),"Club Option")</f>
        <v>Club Option</v>
      </c>
      <c r="I268" s="272" t="n">
        <f aca="false">IFERROR(__xludf.dummyfunction("""COMPUTED_VALUE"""),25435626)</f>
        <v>25435626</v>
      </c>
      <c r="J268" s="193" t="str">
        <f aca="false">IFERROR(__xludf.dummyfunction("""COMPUTED_VALUE"""),"RFA - Bird")</f>
        <v>RFA - Bird</v>
      </c>
      <c r="K268" s="273"/>
      <c r="L268" s="193"/>
      <c r="M268" s="273"/>
      <c r="N268" s="193"/>
      <c r="O268" s="193" t="n">
        <f aca="false">IFERROR(__xludf.dummyfunction("""COMPUTED_VALUE"""),1)</f>
        <v>1</v>
      </c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</row>
    <row r="269" customFormat="false" ht="15.75" hidden="false" customHeight="false" outlineLevel="0" collapsed="false">
      <c r="A269" s="193" t="str">
        <f aca="false">IFERROR(__xludf.dummyfunction("""COMPUTED_VALUE"""),"Kevon Looney")</f>
        <v>Kevon Looney</v>
      </c>
      <c r="B269" s="271" t="str">
        <f aca="false">IFERROR(__xludf.dummyfunction("""COMPUTED_VALUE"""),"Indiana Pacers")</f>
        <v>Indiana Pacers</v>
      </c>
      <c r="C269" s="272" t="n">
        <f aca="false">IFERROR(__xludf.dummyfunction("""COMPUTED_VALUE"""),8000000)</f>
        <v>8000000</v>
      </c>
      <c r="D269" s="193"/>
      <c r="E269" s="272" t="n">
        <f aca="false">IFERROR(__xludf.dummyfunction("""COMPUTED_VALUE"""),5684666)</f>
        <v>5684666</v>
      </c>
      <c r="F269" s="193"/>
      <c r="G269" s="272" t="n">
        <f aca="false">IFERROR(__xludf.dummyfunction("""COMPUTED_VALUE"""),5684666)</f>
        <v>5684666</v>
      </c>
      <c r="H269" s="271" t="str">
        <f aca="false">IFERROR(__xludf.dummyfunction("""COMPUTED_VALUE"""),"Club Option")</f>
        <v>Club Option</v>
      </c>
      <c r="I269" s="272" t="n">
        <f aca="false">IFERROR(__xludf.dummyfunction("""COMPUTED_VALUE"""),10800865.4)</f>
        <v>10800865.4</v>
      </c>
      <c r="J269" s="271" t="str">
        <f aca="false">IFERROR(__xludf.dummyfunction("""COMPUTED_VALUE"""),"UFA - Early Bird")</f>
        <v>UFA - Early Bird</v>
      </c>
      <c r="K269" s="273"/>
      <c r="L269" s="193"/>
      <c r="M269" s="273"/>
      <c r="N269" s="193"/>
      <c r="O269" s="193" t="n">
        <f aca="false">IFERROR(__xludf.dummyfunction("""COMPUTED_VALUE"""),1)</f>
        <v>1</v>
      </c>
      <c r="P269" s="193"/>
      <c r="Q269" s="193"/>
      <c r="R269" s="193"/>
      <c r="S269" s="193"/>
      <c r="T269" s="193"/>
      <c r="U269" s="193"/>
      <c r="V269" s="193"/>
      <c r="W269" s="193"/>
      <c r="X269" s="193"/>
      <c r="Y269" s="193"/>
      <c r="Z269" s="193"/>
    </row>
    <row r="270" customFormat="false" ht="15.75" hidden="false" customHeight="false" outlineLevel="0" collapsed="false">
      <c r="A270" s="193" t="str">
        <f aca="false">IFERROR(__xludf.dummyfunction("""COMPUTED_VALUE"""),"Noa Essengue (R)")</f>
        <v>Noa Essengue (R)</v>
      </c>
      <c r="B270" s="271" t="str">
        <f aca="false">IFERROR(__xludf.dummyfunction("""COMPUTED_VALUE"""),"Indiana Pacers")</f>
        <v>Indiana Pacers</v>
      </c>
      <c r="C270" s="273"/>
      <c r="D270" s="193"/>
      <c r="E270" s="272" t="n">
        <f aca="false">IFERROR(__xludf.dummyfunction("""COMPUTED_VALUE"""),3237480)</f>
        <v>3237480</v>
      </c>
      <c r="F270" s="193"/>
      <c r="G270" s="272" t="n">
        <f aca="false">IFERROR(__xludf.dummyfunction("""COMPUTED_VALUE"""),3399480)</f>
        <v>3399480</v>
      </c>
      <c r="H270" s="193"/>
      <c r="I270" s="272" t="n">
        <f aca="false">IFERROR(__xludf.dummyfunction("""COMPUTED_VALUE"""),3560880)</f>
        <v>3560880</v>
      </c>
      <c r="J270" s="271" t="str">
        <f aca="false">IFERROR(__xludf.dummyfunction("""COMPUTED_VALUE"""),"Club Option")</f>
        <v>Club Option</v>
      </c>
      <c r="K270" s="272" t="n">
        <f aca="false">IFERROR(__xludf.dummyfunction("""COMPUTED_VALUE"""),6042813.36)</f>
        <v>6042813.36</v>
      </c>
      <c r="L270" s="271" t="str">
        <f aca="false">IFERROR(__xludf.dummyfunction("""COMPUTED_VALUE"""),"Club Option")</f>
        <v>Club Option</v>
      </c>
      <c r="M270" s="272" t="n">
        <f aca="false">IFERROR(__xludf.dummyfunction("""COMPUTED_VALUE"""),18128440.08)</f>
        <v>18128440.08</v>
      </c>
      <c r="N270" s="271" t="str">
        <f aca="false">IFERROR(__xludf.dummyfunction("""COMPUTED_VALUE"""),"RFA - Bird")</f>
        <v>RFA - Bird</v>
      </c>
      <c r="O270" s="193" t="n">
        <f aca="false">IFERROR(__xludf.dummyfunction("""COMPUTED_VALUE"""),1)</f>
        <v>1</v>
      </c>
      <c r="P270" s="193"/>
      <c r="Q270" s="193"/>
      <c r="R270" s="193"/>
      <c r="S270" s="193"/>
      <c r="T270" s="193"/>
      <c r="U270" s="193"/>
      <c r="V270" s="193"/>
      <c r="W270" s="193"/>
      <c r="X270" s="193"/>
      <c r="Y270" s="193"/>
      <c r="Z270" s="193"/>
    </row>
    <row r="271" customFormat="false" ht="15.75" hidden="false" customHeight="false" outlineLevel="0" collapsed="false">
      <c r="A271" s="193" t="str">
        <f aca="false">IFERROR(__xludf.dummyfunction("""COMPUTED_VALUE"""),"Tony Bradley")</f>
        <v>Tony Bradley</v>
      </c>
      <c r="B271" s="271" t="str">
        <f aca="false">IFERROR(__xludf.dummyfunction("""COMPUTED_VALUE"""),"Indiana Pacers")</f>
        <v>Indiana Pacers</v>
      </c>
      <c r="C271" s="272" t="n">
        <f aca="false">IFERROR(__xludf.dummyfunction("""COMPUTED_VALUE"""),330394)</f>
        <v>330394</v>
      </c>
      <c r="D271" s="193"/>
      <c r="E271" s="272" t="n">
        <f aca="false">IFERROR(__xludf.dummyfunction("""COMPUTED_VALUE"""),2940876)</f>
        <v>2940876</v>
      </c>
      <c r="F271" s="271" t="str">
        <f aca="false">IFERROR(__xludf.dummyfunction("""COMPUTED_VALUE"""),"UFA - Non-Bird")</f>
        <v>UFA - Non-Bird</v>
      </c>
      <c r="G271" s="273"/>
      <c r="H271" s="193"/>
      <c r="I271" s="272" t="str">
        <f aca="false">IFERROR(__xludf.dummyfunction("""COMPUTED_VALUE"""),"")</f>
        <v/>
      </c>
      <c r="J271" s="193"/>
      <c r="K271" s="273"/>
      <c r="L271" s="193"/>
      <c r="M271" s="273"/>
      <c r="N271" s="193"/>
      <c r="O271" s="193" t="n">
        <f aca="false">IFERROR(__xludf.dummyfunction("""COMPUTED_VALUE"""),1)</f>
        <v>1</v>
      </c>
      <c r="P271" s="193"/>
      <c r="Q271" s="193"/>
      <c r="R271" s="193"/>
      <c r="S271" s="193"/>
      <c r="T271" s="193"/>
      <c r="U271" s="193"/>
      <c r="V271" s="193"/>
      <c r="W271" s="193"/>
      <c r="X271" s="193"/>
      <c r="Y271" s="193"/>
      <c r="Z271" s="193"/>
    </row>
    <row r="272" customFormat="false" ht="15.75" hidden="false" customHeight="false" outlineLevel="0" collapsed="false">
      <c r="A272" s="193" t="str">
        <f aca="false">IFERROR(__xludf.dummyfunction("""COMPUTED_VALUE"""),"Ben Sheppard")</f>
        <v>Ben Sheppard</v>
      </c>
      <c r="B272" s="271" t="str">
        <f aca="false">IFERROR(__xludf.dummyfunction("""COMPUTED_VALUE"""),"Indiana Pacers")</f>
        <v>Indiana Pacers</v>
      </c>
      <c r="C272" s="272" t="n">
        <f aca="false">IFERROR(__xludf.dummyfunction("""COMPUTED_VALUE"""),2663880)</f>
        <v>2663880</v>
      </c>
      <c r="D272" s="193"/>
      <c r="E272" s="272" t="n">
        <f aca="false">IFERROR(__xludf.dummyfunction("""COMPUTED_VALUE"""),2790720)</f>
        <v>2790720</v>
      </c>
      <c r="F272" s="193"/>
      <c r="G272" s="272" t="n">
        <f aca="false">IFERROR(__xludf.dummyfunction("""COMPUTED_VALUE"""),5031669)</f>
        <v>5031669</v>
      </c>
      <c r="H272" s="271" t="str">
        <f aca="false">IFERROR(__xludf.dummyfunction("""COMPUTED_VALUE"""),"Club Option")</f>
        <v>Club Option</v>
      </c>
      <c r="I272" s="272" t="n">
        <f aca="false">IFERROR(__xludf.dummyfunction("""COMPUTED_VALUE"""),15095007)</f>
        <v>15095007</v>
      </c>
      <c r="J272" s="193" t="str">
        <f aca="false">IFERROR(__xludf.dummyfunction("""COMPUTED_VALUE"""),"RFA - Bird")</f>
        <v>RFA - Bird</v>
      </c>
      <c r="K272" s="273"/>
      <c r="L272" s="193"/>
      <c r="M272" s="273"/>
      <c r="N272" s="193"/>
      <c r="O272" s="193" t="n">
        <f aca="false">IFERROR(__xludf.dummyfunction("""COMPUTED_VALUE"""),1)</f>
        <v>1</v>
      </c>
      <c r="P272" s="193"/>
      <c r="Q272" s="193"/>
      <c r="R272" s="193"/>
      <c r="S272" s="193"/>
      <c r="T272" s="193"/>
      <c r="U272" s="193"/>
      <c r="V272" s="193"/>
      <c r="W272" s="193"/>
      <c r="X272" s="193"/>
      <c r="Y272" s="193"/>
      <c r="Z272" s="193"/>
    </row>
    <row r="273" customFormat="false" ht="15.75" hidden="false" customHeight="false" outlineLevel="0" collapsed="false">
      <c r="A273" s="193" t="str">
        <f aca="false">IFERROR(__xludf.dummyfunction("""COMPUTED_VALUE"""),"James Johnson")</f>
        <v>James Johnson</v>
      </c>
      <c r="B273" s="271" t="str">
        <f aca="false">IFERROR(__xludf.dummyfunction("""COMPUTED_VALUE"""),"Indiana Pacers")</f>
        <v>Indiana Pacers</v>
      </c>
      <c r="C273" s="272" t="n">
        <f aca="false">IFERROR(__xludf.dummyfunction("""COMPUTED_VALUE"""),2087519)</f>
        <v>2087519</v>
      </c>
      <c r="D273" s="193"/>
      <c r="E273" s="272" t="n">
        <f aca="false">IFERROR(__xludf.dummyfunction("""COMPUTED_VALUE"""),2296274)</f>
        <v>2296274</v>
      </c>
      <c r="F273" s="271" t="str">
        <f aca="false">IFERROR(__xludf.dummyfunction("""COMPUTED_VALUE"""),"UFA - Bird")</f>
        <v>UFA - Bird</v>
      </c>
      <c r="G273" s="272" t="str">
        <f aca="false">IFERROR(__xludf.dummyfunction("""COMPUTED_VALUE"""),"")</f>
        <v/>
      </c>
      <c r="H273" s="193"/>
      <c r="I273" s="272" t="str">
        <f aca="false">IFERROR(__xludf.dummyfunction("""COMPUTED_VALUE"""),"")</f>
        <v/>
      </c>
      <c r="J273" s="193"/>
      <c r="K273" s="273"/>
      <c r="L273" s="193"/>
      <c r="M273" s="273"/>
      <c r="N273" s="193"/>
      <c r="O273" s="193" t="n">
        <f aca="false">IFERROR(__xludf.dummyfunction("""COMPUTED_VALUE"""),1)</f>
        <v>1</v>
      </c>
      <c r="P273" s="193"/>
      <c r="Q273" s="193"/>
      <c r="R273" s="193"/>
      <c r="S273" s="193"/>
      <c r="T273" s="193"/>
      <c r="U273" s="193"/>
      <c r="V273" s="193"/>
      <c r="W273" s="193"/>
      <c r="X273" s="193"/>
      <c r="Y273" s="193"/>
      <c r="Z273" s="193"/>
    </row>
    <row r="274" customFormat="false" ht="15.75" hidden="false" customHeight="false" outlineLevel="0" collapsed="false">
      <c r="A274" s="193" t="str">
        <f aca="false">IFERROR(__xludf.dummyfunction("""COMPUTED_VALUE"""),"Mason Plumlee")</f>
        <v>Mason Plumlee</v>
      </c>
      <c r="B274" s="271" t="str">
        <f aca="false">IFERROR(__xludf.dummyfunction("""COMPUTED_VALUE"""),"Indiana Pacers")</f>
        <v>Indiana Pacers</v>
      </c>
      <c r="C274" s="272" t="n">
        <f aca="false">IFERROR(__xludf.dummyfunction("""COMPUTED_VALUE"""),2087519)</f>
        <v>2087519</v>
      </c>
      <c r="D274" s="193"/>
      <c r="E274" s="272" t="n">
        <f aca="false">IFERROR(__xludf.dummyfunction("""COMPUTED_VALUE"""),2296271)</f>
        <v>2296271</v>
      </c>
      <c r="F274" s="193"/>
      <c r="G274" s="272" t="n">
        <f aca="false">IFERROR(__xludf.dummyfunction("""COMPUTED_VALUE"""),2525898.1)</f>
        <v>2525898.1</v>
      </c>
      <c r="H274" s="193" t="str">
        <f aca="false">IFERROR(__xludf.dummyfunction("""COMPUTED_VALUE"""),"UFA - Non-Bird")</f>
        <v>UFA - Non-Bird</v>
      </c>
      <c r="I274" s="273"/>
      <c r="J274" s="193"/>
      <c r="K274" s="273"/>
      <c r="L274" s="193"/>
      <c r="M274" s="273"/>
      <c r="N274" s="193"/>
      <c r="O274" s="193" t="n">
        <f aca="false">IFERROR(__xludf.dummyfunction("""COMPUTED_VALUE"""),1)</f>
        <v>1</v>
      </c>
      <c r="P274" s="193"/>
      <c r="Q274" s="193"/>
      <c r="R274" s="193"/>
      <c r="S274" s="193"/>
      <c r="T274" s="193"/>
      <c r="U274" s="193"/>
      <c r="V274" s="193"/>
      <c r="W274" s="193"/>
      <c r="X274" s="193"/>
      <c r="Y274" s="193"/>
      <c r="Z274" s="193"/>
    </row>
    <row r="275" customFormat="false" ht="15.75" hidden="false" customHeight="false" outlineLevel="0" collapsed="false">
      <c r="A275" s="193" t="str">
        <f aca="false">IFERROR(__xludf.dummyfunction("""COMPUTED_VALUE"""),"Enrique Freeman")</f>
        <v>Enrique Freeman</v>
      </c>
      <c r="B275" s="271" t="str">
        <f aca="false">IFERROR(__xludf.dummyfunction("""COMPUTED_VALUE"""),"Indiana Pacers")</f>
        <v>Indiana Pacers</v>
      </c>
      <c r="C275" s="272" t="str">
        <f aca="false">IFERROR(__xludf.dummyfunction("""COMPUTED_VALUE"""),"Two-way")</f>
        <v>Two-way</v>
      </c>
      <c r="D275" s="271" t="str">
        <f aca="false">IFERROR(__xludf.dummyfunction("""COMPUTED_VALUE"""),"Two-way")</f>
        <v>Two-way</v>
      </c>
      <c r="E275" s="272" t="n">
        <f aca="false">IFERROR(__xludf.dummyfunction("""COMPUTED_VALUE"""),2048491)</f>
        <v>2048491</v>
      </c>
      <c r="F275" s="271" t="str">
        <f aca="false">IFERROR(__xludf.dummyfunction("""COMPUTED_VALUE"""),"UFA - Two-way")</f>
        <v>UFA - Two-way</v>
      </c>
      <c r="G275" s="273"/>
      <c r="H275" s="193"/>
      <c r="I275" s="273"/>
      <c r="J275" s="193"/>
      <c r="K275" s="273"/>
      <c r="L275" s="193"/>
      <c r="M275" s="273"/>
      <c r="N275" s="193"/>
      <c r="O275" s="193" t="n">
        <f aca="false">IFERROR(__xludf.dummyfunction("""COMPUTED_VALUE"""),1)</f>
        <v>1</v>
      </c>
      <c r="P275" s="193"/>
      <c r="Q275" s="193"/>
      <c r="R275" s="193"/>
      <c r="S275" s="193"/>
      <c r="T275" s="193"/>
      <c r="U275" s="193"/>
      <c r="V275" s="193"/>
      <c r="W275" s="193"/>
      <c r="X275" s="193"/>
      <c r="Y275" s="193"/>
      <c r="Z275" s="193"/>
    </row>
    <row r="276" customFormat="false" ht="15.75" hidden="false" customHeight="false" outlineLevel="0" collapsed="false">
      <c r="A276" s="193" t="str">
        <f aca="false">IFERROR(__xludf.dummyfunction("""COMPUTED_VALUE"""),"Gabe York")</f>
        <v>Gabe York</v>
      </c>
      <c r="B276" s="271" t="str">
        <f aca="false">IFERROR(__xludf.dummyfunction("""COMPUTED_VALUE"""),"Indiana Pacers")</f>
        <v>Indiana Pacers</v>
      </c>
      <c r="C276" s="272" t="n">
        <f aca="false">IFERROR(__xludf.dummyfunction("""COMPUTED_VALUE"""),1862265)</f>
        <v>1862265</v>
      </c>
      <c r="D276" s="271" t="str">
        <f aca="false">IFERROR(__xludf.dummyfunction("""COMPUTED_VALUE"""),"UFA - Two-way")</f>
        <v>UFA - Two-way</v>
      </c>
      <c r="E276" s="272" t="n">
        <f aca="false">IFERROR(__xludf.dummyfunction("""COMPUTED_VALUE"""),2048491)</f>
        <v>2048491</v>
      </c>
      <c r="F276" s="271" t="str">
        <f aca="false">IFERROR(__xludf.dummyfunction("""COMPUTED_VALUE"""),"UFA - Two-way")</f>
        <v>UFA - Two-way</v>
      </c>
      <c r="G276" s="273"/>
      <c r="H276" s="193"/>
      <c r="I276" s="273"/>
      <c r="J276" s="193"/>
      <c r="K276" s="273"/>
      <c r="L276" s="193"/>
      <c r="M276" s="273"/>
      <c r="N276" s="193"/>
      <c r="O276" s="193" t="n">
        <f aca="false">IFERROR(__xludf.dummyfunction("""COMPUTED_VALUE"""),1)</f>
        <v>1</v>
      </c>
      <c r="P276" s="193"/>
      <c r="Q276" s="193"/>
      <c r="R276" s="193"/>
      <c r="S276" s="193"/>
      <c r="T276" s="193"/>
      <c r="U276" s="193"/>
      <c r="V276" s="193"/>
      <c r="W276" s="193"/>
      <c r="X276" s="193"/>
      <c r="Y276" s="193"/>
      <c r="Z276" s="193"/>
    </row>
    <row r="277" customFormat="false" ht="15.75" hidden="false" customHeight="false" outlineLevel="0" collapsed="false">
      <c r="A277" s="193" t="str">
        <f aca="false">IFERROR(__xludf.dummyfunction("""COMPUTED_VALUE"""),"Quenton Jackson")</f>
        <v>Quenton Jackson</v>
      </c>
      <c r="B277" s="271" t="str">
        <f aca="false">IFERROR(__xludf.dummyfunction("""COMPUTED_VALUE"""),"Indiana Pacers")</f>
        <v>Indiana Pacers</v>
      </c>
      <c r="C277" s="272" t="str">
        <f aca="false">IFERROR(__xludf.dummyfunction("""COMPUTED_VALUE"""),"Two-way")</f>
        <v>Two-way</v>
      </c>
      <c r="D277" s="271" t="str">
        <f aca="false">IFERROR(__xludf.dummyfunction("""COMPUTED_VALUE"""),"Two-way")</f>
        <v>Two-way</v>
      </c>
      <c r="E277" s="272" t="n">
        <f aca="false">IFERROR(__xludf.dummyfunction("""COMPUTED_VALUE"""),2048491)</f>
        <v>2048491</v>
      </c>
      <c r="F277" s="271" t="str">
        <f aca="false">IFERROR(__xludf.dummyfunction("""COMPUTED_VALUE"""),"UFA - Two-way")</f>
        <v>UFA - Two-way</v>
      </c>
      <c r="G277" s="273"/>
      <c r="H277" s="193"/>
      <c r="I277" s="273"/>
      <c r="J277" s="193"/>
      <c r="K277" s="273"/>
      <c r="L277" s="193"/>
      <c r="M277" s="273"/>
      <c r="N277" s="193"/>
      <c r="O277" s="193" t="n">
        <f aca="false">IFERROR(__xludf.dummyfunction("""COMPUTED_VALUE"""),1)</f>
        <v>1</v>
      </c>
      <c r="P277" s="193"/>
      <c r="Q277" s="193"/>
      <c r="R277" s="193"/>
      <c r="S277" s="193"/>
      <c r="T277" s="193"/>
      <c r="U277" s="193"/>
      <c r="V277" s="193"/>
      <c r="W277" s="193"/>
      <c r="X277" s="193"/>
      <c r="Y277" s="193"/>
      <c r="Z277" s="193"/>
    </row>
    <row r="278" customFormat="false" ht="15.75" hidden="false" customHeight="false" outlineLevel="0" collapsed="false">
      <c r="A278" s="193" t="str">
        <f aca="false">IFERROR(__xludf.dummyfunction("""COMPUTED_VALUE"""),"Johnny Furphy")</f>
        <v>Johnny Furphy</v>
      </c>
      <c r="B278" s="271" t="str">
        <f aca="false">IFERROR(__xludf.dummyfunction("""COMPUTED_VALUE"""),"Indiana Pacers")</f>
        <v>Indiana Pacers</v>
      </c>
      <c r="C278" s="272" t="n">
        <f aca="false">IFERROR(__xludf.dummyfunction("""COMPUTED_VALUE"""),1850842)</f>
        <v>1850842</v>
      </c>
      <c r="D278" s="193"/>
      <c r="E278" s="272" t="n">
        <f aca="false">IFERROR(__xludf.dummyfunction("""COMPUTED_VALUE"""),1955377)</f>
        <v>1955377</v>
      </c>
      <c r="F278" s="193"/>
      <c r="G278" s="272" t="n">
        <f aca="false">IFERROR(__xludf.dummyfunction("""COMPUTED_VALUE"""),2296271)</f>
        <v>2296271</v>
      </c>
      <c r="H278" s="193"/>
      <c r="I278" s="272" t="n">
        <f aca="false">IFERROR(__xludf.dummyfunction("""COMPUTED_VALUE"""),2486995)</f>
        <v>2486995</v>
      </c>
      <c r="J278" s="271" t="str">
        <f aca="false">IFERROR(__xludf.dummyfunction("""COMPUTED_VALUE"""),"Club Option")</f>
        <v>Club Option</v>
      </c>
      <c r="K278" s="272" t="n">
        <f aca="false">IFERROR(__xludf.dummyfunction("""COMPUTED_VALUE"""),3056337)</f>
        <v>3056337</v>
      </c>
      <c r="L278" s="271" t="str">
        <f aca="false">IFERROR(__xludf.dummyfunction("""COMPUTED_VALUE"""),"Non Guaranteed")</f>
        <v>Non Guaranteed</v>
      </c>
      <c r="M278" s="273"/>
      <c r="N278" s="193"/>
      <c r="O278" s="193" t="n">
        <f aca="false">IFERROR(__xludf.dummyfunction("""COMPUTED_VALUE"""),1)</f>
        <v>1</v>
      </c>
      <c r="P278" s="193"/>
      <c r="Q278" s="193"/>
      <c r="R278" s="193"/>
      <c r="S278" s="193"/>
      <c r="T278" s="193"/>
      <c r="U278" s="193"/>
      <c r="V278" s="193"/>
      <c r="W278" s="193"/>
      <c r="X278" s="193"/>
      <c r="Y278" s="193"/>
      <c r="Z278" s="193"/>
    </row>
    <row r="279" customFormat="false" ht="15.75" hidden="false" customHeight="false" outlineLevel="0" collapsed="false">
      <c r="A279" s="193" t="str">
        <f aca="false">IFERROR(__xludf.dummyfunction("""COMPUTED_VALUE"""),"Patrick Baldwin Jr")</f>
        <v>Patrick Baldwin Jr</v>
      </c>
      <c r="B279" s="271" t="str">
        <f aca="false">IFERROR(__xludf.dummyfunction("""COMPUTED_VALUE"""),"Los Angeles Clippers")</f>
        <v>Los Angeles Clippers</v>
      </c>
      <c r="C279" s="272" t="str">
        <f aca="false">IFERROR(__xludf.dummyfunction("""COMPUTED_VALUE"""),"Two-way")</f>
        <v>Two-way</v>
      </c>
      <c r="D279" s="271" t="str">
        <f aca="false">IFERROR(__xludf.dummyfunction("""COMPUTED_VALUE"""),"Two-way")</f>
        <v>Two-way</v>
      </c>
      <c r="E279" s="272" t="str">
        <f aca="false">IFERROR(__xludf.dummyfunction("""COMPUTED_VALUE"""),"Two-way")</f>
        <v>Two-way</v>
      </c>
      <c r="F279" s="271" t="str">
        <f aca="false">IFERROR(__xludf.dummyfunction("""COMPUTED_VALUE"""),"Two-way")</f>
        <v>Two-way</v>
      </c>
      <c r="G279" s="272" t="n">
        <f aca="false">IFERROR(__xludf.dummyfunction("""COMPUTED_VALUE"""),2253346)</f>
        <v>2253346</v>
      </c>
      <c r="H279" s="271" t="str">
        <f aca="false">IFERROR(__xludf.dummyfunction("""COMPUTED_VALUE"""),"UFA - Two-way")</f>
        <v>UFA - Two-way</v>
      </c>
      <c r="I279" s="273"/>
      <c r="J279" s="193"/>
      <c r="K279" s="273"/>
      <c r="L279" s="193"/>
      <c r="M279" s="273"/>
      <c r="N279" s="193"/>
      <c r="O279" s="193" t="n">
        <f aca="false">IFERROR(__xludf.dummyfunction("""COMPUTED_VALUE"""),1)</f>
        <v>1</v>
      </c>
      <c r="P279" s="193"/>
      <c r="Q279" s="193"/>
      <c r="R279" s="193"/>
      <c r="S279" s="193"/>
      <c r="T279" s="193"/>
      <c r="U279" s="193"/>
      <c r="V279" s="193"/>
      <c r="W279" s="193"/>
      <c r="X279" s="193"/>
      <c r="Y279" s="193"/>
      <c r="Z279" s="193"/>
    </row>
    <row r="280" customFormat="false" ht="15.75" hidden="false" customHeight="false" outlineLevel="0" collapsed="false">
      <c r="A280" s="193" t="str">
        <f aca="false">IFERROR(__xludf.dummyfunction("""COMPUTED_VALUE"""),"Seth Lundy")</f>
        <v>Seth Lundy</v>
      </c>
      <c r="B280" s="271" t="str">
        <f aca="false">IFERROR(__xludf.dummyfunction("""COMPUTED_VALUE"""),"Los Angeles Clippers")</f>
        <v>Los Angeles Clippers</v>
      </c>
      <c r="C280" s="272" t="str">
        <f aca="false">IFERROR(__xludf.dummyfunction("""COMPUTED_VALUE"""),"Two-way")</f>
        <v>Two-way</v>
      </c>
      <c r="D280" s="271" t="str">
        <f aca="false">IFERROR(__xludf.dummyfunction("""COMPUTED_VALUE"""),"Two-way")</f>
        <v>Two-way</v>
      </c>
      <c r="E280" s="272" t="str">
        <f aca="false">IFERROR(__xludf.dummyfunction("""COMPUTED_VALUE"""),"Two-way")</f>
        <v>Two-way</v>
      </c>
      <c r="F280" s="271" t="str">
        <f aca="false">IFERROR(__xludf.dummyfunction("""COMPUTED_VALUE"""),"Two-way")</f>
        <v>Two-way</v>
      </c>
      <c r="G280" s="272" t="n">
        <f aca="false">IFERROR(__xludf.dummyfunction("""COMPUTED_VALUE"""),2253346)</f>
        <v>2253346</v>
      </c>
      <c r="H280" s="271" t="str">
        <f aca="false">IFERROR(__xludf.dummyfunction("""COMPUTED_VALUE"""),"UFA - Two-way")</f>
        <v>UFA - Two-way</v>
      </c>
      <c r="I280" s="273"/>
      <c r="J280" s="193"/>
      <c r="K280" s="273"/>
      <c r="L280" s="193"/>
      <c r="M280" s="273"/>
      <c r="N280" s="193"/>
      <c r="O280" s="193" t="n">
        <f aca="false">IFERROR(__xludf.dummyfunction("""COMPUTED_VALUE"""),1)</f>
        <v>1</v>
      </c>
      <c r="P280" s="193"/>
      <c r="Q280" s="193"/>
      <c r="R280" s="193"/>
      <c r="S280" s="193"/>
      <c r="T280" s="193"/>
      <c r="U280" s="193"/>
      <c r="V280" s="193"/>
      <c r="W280" s="193"/>
      <c r="X280" s="193"/>
      <c r="Y280" s="193"/>
      <c r="Z280" s="193"/>
    </row>
    <row r="281" customFormat="false" ht="15.75" hidden="false" customHeight="false" outlineLevel="0" collapsed="false">
      <c r="A281" s="193" t="str">
        <f aca="false">IFERROR(__xludf.dummyfunction("""COMPUTED_VALUE"""),"Kawhi Leonard")</f>
        <v>Kawhi Leonard</v>
      </c>
      <c r="B281" s="271" t="str">
        <f aca="false">IFERROR(__xludf.dummyfunction("""COMPUTED_VALUE"""),"Los Angeles Clippers")</f>
        <v>Los Angeles Clippers</v>
      </c>
      <c r="C281" s="272" t="n">
        <f aca="false">IFERROR(__xludf.dummyfunction("""COMPUTED_VALUE"""),49205800)</f>
        <v>49205800</v>
      </c>
      <c r="D281" s="193"/>
      <c r="E281" s="272" t="n">
        <f aca="false">IFERROR(__xludf.dummyfunction("""COMPUTED_VALUE"""),50000000)</f>
        <v>50000000</v>
      </c>
      <c r="F281" s="193"/>
      <c r="G281" s="272" t="n">
        <f aca="false">IFERROR(__xludf.dummyfunction("""COMPUTED_VALUE"""),50300000)</f>
        <v>50300000</v>
      </c>
      <c r="H281" s="193"/>
      <c r="I281" s="272" t="n">
        <f aca="false">IFERROR(__xludf.dummyfunction("""COMPUTED_VALUE"""),66150700)</f>
        <v>66150700</v>
      </c>
      <c r="J281" s="271" t="str">
        <f aca="false">IFERROR(__xludf.dummyfunction("""COMPUTED_VALUE"""),"UFA - Bird")</f>
        <v>UFA - Bird</v>
      </c>
      <c r="K281" s="273"/>
      <c r="L281" s="193"/>
      <c r="M281" s="273"/>
      <c r="N281" s="193"/>
      <c r="O281" s="193" t="n">
        <f aca="false">IFERROR(__xludf.dummyfunction("""COMPUTED_VALUE"""),1)</f>
        <v>1</v>
      </c>
      <c r="P281" s="193"/>
      <c r="Q281" s="193"/>
      <c r="R281" s="193"/>
      <c r="S281" s="193"/>
      <c r="T281" s="193"/>
      <c r="U281" s="193"/>
      <c r="V281" s="193"/>
      <c r="W281" s="193"/>
      <c r="X281" s="193"/>
      <c r="Y281" s="193"/>
      <c r="Z281" s="193"/>
    </row>
    <row r="282" customFormat="false" ht="15.75" hidden="false" customHeight="false" outlineLevel="0" collapsed="false">
      <c r="A282" s="193" t="str">
        <f aca="false">IFERROR(__xludf.dummyfunction("""COMPUTED_VALUE"""),"James Harden")</f>
        <v>James Harden</v>
      </c>
      <c r="B282" s="271" t="str">
        <f aca="false">IFERROR(__xludf.dummyfunction("""COMPUTED_VALUE"""),"Los Angeles Clippers")</f>
        <v>Los Angeles Clippers</v>
      </c>
      <c r="C282" s="272" t="n">
        <f aca="false">IFERROR(__xludf.dummyfunction("""COMPUTED_VALUE"""),33653846)</f>
        <v>33653846</v>
      </c>
      <c r="D282" s="193"/>
      <c r="E282" s="272" t="n">
        <f aca="false">IFERROR(__xludf.dummyfunction("""COMPUTED_VALUE"""),31250000)</f>
        <v>31250000</v>
      </c>
      <c r="F282" s="193"/>
      <c r="G282" s="272" t="n">
        <f aca="false">IFERROR(__xludf.dummyfunction("""COMPUTED_VALUE"""),33750000)</f>
        <v>33750000</v>
      </c>
      <c r="H282" s="193"/>
      <c r="I282" s="272" t="n">
        <f aca="false">IFERROR(__xludf.dummyfunction("""COMPUTED_VALUE"""),36250000)</f>
        <v>36250000</v>
      </c>
      <c r="J282" s="193"/>
      <c r="K282" s="272" t="n">
        <f aca="false">IFERROR(__xludf.dummyfunction("""COMPUTED_VALUE"""),38750000)</f>
        <v>38750000</v>
      </c>
      <c r="L282" s="193"/>
      <c r="M282" s="272" t="n">
        <f aca="false">IFERROR(__xludf.dummyfunction("""COMPUTED_VALUE"""),58125000)</f>
        <v>58125000</v>
      </c>
      <c r="N282" s="271" t="str">
        <f aca="false">IFERROR(__xludf.dummyfunction("""COMPUTED_VALUE"""),"UFA - Bird")</f>
        <v>UFA - Bird</v>
      </c>
      <c r="O282" s="193" t="n">
        <f aca="false">IFERROR(__xludf.dummyfunction("""COMPUTED_VALUE"""),1)</f>
        <v>1</v>
      </c>
      <c r="P282" s="193"/>
      <c r="Q282" s="193"/>
      <c r="R282" s="193"/>
      <c r="S282" s="193"/>
      <c r="T282" s="193"/>
      <c r="U282" s="193"/>
      <c r="V282" s="193"/>
      <c r="W282" s="193"/>
      <c r="X282" s="193"/>
      <c r="Y282" s="193"/>
      <c r="Z282" s="193"/>
    </row>
    <row r="283" customFormat="false" ht="15.75" hidden="false" customHeight="false" outlineLevel="0" collapsed="false">
      <c r="A283" s="193" t="str">
        <f aca="false">IFERROR(__xludf.dummyfunction("""COMPUTED_VALUE"""),"Norman Powell")</f>
        <v>Norman Powell</v>
      </c>
      <c r="B283" s="271" t="str">
        <f aca="false">IFERROR(__xludf.dummyfunction("""COMPUTED_VALUE"""),"Los Angeles Clippers")</f>
        <v>Los Angeles Clippers</v>
      </c>
      <c r="C283" s="272" t="n">
        <f aca="false">IFERROR(__xludf.dummyfunction("""COMPUTED_VALUE"""),19241379)</f>
        <v>19241379</v>
      </c>
      <c r="D283" s="193"/>
      <c r="E283" s="272" t="n">
        <f aca="false">IFERROR(__xludf.dummyfunction("""COMPUTED_VALUE"""),20482758)</f>
        <v>20482758</v>
      </c>
      <c r="F283" s="193"/>
      <c r="G283" s="272" t="n">
        <f aca="false">IFERROR(__xludf.dummyfunction("""COMPUTED_VALUE"""),30724137)</f>
        <v>30724137</v>
      </c>
      <c r="H283" s="271" t="str">
        <f aca="false">IFERROR(__xludf.dummyfunction("""COMPUTED_VALUE"""),"UFA - Bird")</f>
        <v>UFA - Bird</v>
      </c>
      <c r="I283" s="272" t="str">
        <f aca="false">IFERROR(__xludf.dummyfunction("""COMPUTED_VALUE"""),"")</f>
        <v/>
      </c>
      <c r="J283" s="193"/>
      <c r="K283" s="273"/>
      <c r="L283" s="193"/>
      <c r="M283" s="273"/>
      <c r="N283" s="193"/>
      <c r="O283" s="193" t="n">
        <f aca="false">IFERROR(__xludf.dummyfunction("""COMPUTED_VALUE"""),1)</f>
        <v>1</v>
      </c>
      <c r="P283" s="193"/>
      <c r="Q283" s="193"/>
      <c r="R283" s="193"/>
      <c r="S283" s="193"/>
      <c r="T283" s="193"/>
      <c r="U283" s="193"/>
      <c r="V283" s="193"/>
      <c r="W283" s="193"/>
      <c r="X283" s="193"/>
      <c r="Y283" s="193"/>
      <c r="Z283" s="193"/>
    </row>
    <row r="284" customFormat="false" ht="15.75" hidden="false" customHeight="false" outlineLevel="0" collapsed="false">
      <c r="A284" s="193" t="str">
        <f aca="false">IFERROR(__xludf.dummyfunction("""COMPUTED_VALUE"""),"Ivica Zubac")</f>
        <v>Ivica Zubac</v>
      </c>
      <c r="B284" s="271" t="str">
        <f aca="false">IFERROR(__xludf.dummyfunction("""COMPUTED_VALUE"""),"Los Angeles Clippers")</f>
        <v>Los Angeles Clippers</v>
      </c>
      <c r="C284" s="272" t="n">
        <f aca="false">IFERROR(__xludf.dummyfunction("""COMPUTED_VALUE"""),11743210)</f>
        <v>11743210</v>
      </c>
      <c r="D284" s="193"/>
      <c r="E284" s="272" t="n">
        <f aca="false">IFERROR(__xludf.dummyfunction("""COMPUTED_VALUE"""),18102000)</f>
        <v>18102000</v>
      </c>
      <c r="F284" s="193"/>
      <c r="G284" s="272" t="n">
        <f aca="false">IFERROR(__xludf.dummyfunction("""COMPUTED_VALUE"""),19550160)</f>
        <v>19550160</v>
      </c>
      <c r="H284" s="193"/>
      <c r="I284" s="272" t="n">
        <f aca="false">IFERROR(__xludf.dummyfunction("""COMPUTED_VALUE"""),20998320)</f>
        <v>20998320</v>
      </c>
      <c r="J284" s="193"/>
      <c r="K284" s="272" t="n">
        <f aca="false">IFERROR(__xludf.dummyfunction("""COMPUTED_VALUE"""),31497480)</f>
        <v>31497480</v>
      </c>
      <c r="L284" s="271" t="str">
        <f aca="false">IFERROR(__xludf.dummyfunction("""COMPUTED_VALUE"""),"UFA - Bird")</f>
        <v>UFA - Bird</v>
      </c>
      <c r="M284" s="273"/>
      <c r="N284" s="193"/>
      <c r="O284" s="193" t="n">
        <f aca="false">IFERROR(__xludf.dummyfunction("""COMPUTED_VALUE"""),1)</f>
        <v>1</v>
      </c>
      <c r="P284" s="193"/>
      <c r="Q284" s="193"/>
      <c r="R284" s="193"/>
      <c r="S284" s="193"/>
      <c r="T284" s="193"/>
      <c r="U284" s="193"/>
      <c r="V284" s="193"/>
      <c r="W284" s="193"/>
      <c r="X284" s="193"/>
      <c r="Y284" s="193"/>
      <c r="Z284" s="193"/>
    </row>
    <row r="285" customFormat="false" ht="15.75" hidden="false" customHeight="false" outlineLevel="0" collapsed="false">
      <c r="A285" s="193" t="str">
        <f aca="false">IFERROR(__xludf.dummyfunction("""COMPUTED_VALUE"""),"PJ Washington")</f>
        <v>PJ Washington</v>
      </c>
      <c r="B285" s="271" t="str">
        <f aca="false">IFERROR(__xludf.dummyfunction("""COMPUTED_VALUE"""),"Los Angeles Clippers")</f>
        <v>Los Angeles Clippers</v>
      </c>
      <c r="C285" s="272" t="n">
        <f aca="false">IFERROR(__xludf.dummyfunction("""COMPUTED_VALUE"""),15500000)</f>
        <v>15500000</v>
      </c>
      <c r="D285" s="193"/>
      <c r="E285" s="272" t="n">
        <f aca="false">IFERROR(__xludf.dummyfunction("""COMPUTED_VALUE"""),14152174)</f>
        <v>14152174</v>
      </c>
      <c r="F285" s="193"/>
      <c r="G285" s="272" t="n">
        <f aca="false">IFERROR(__xludf.dummyfunction("""COMPUTED_VALUE"""),21228261)</f>
        <v>21228261</v>
      </c>
      <c r="H285" s="193" t="str">
        <f aca="false">IFERROR(__xludf.dummyfunction("""COMPUTED_VALUE"""),"UFA - Bird")</f>
        <v>UFA - Bird</v>
      </c>
      <c r="I285" s="272" t="str">
        <f aca="false">IFERROR(__xludf.dummyfunction("""COMPUTED_VALUE"""),"")</f>
        <v/>
      </c>
      <c r="J285" s="193"/>
      <c r="K285" s="273"/>
      <c r="L285" s="193"/>
      <c r="M285" s="273"/>
      <c r="N285" s="193"/>
      <c r="O285" s="193" t="n">
        <f aca="false">IFERROR(__xludf.dummyfunction("""COMPUTED_VALUE"""),1)</f>
        <v>1</v>
      </c>
      <c r="P285" s="193"/>
      <c r="Q285" s="193"/>
      <c r="R285" s="193"/>
      <c r="S285" s="193"/>
      <c r="T285" s="193"/>
      <c r="U285" s="193"/>
      <c r="V285" s="193"/>
      <c r="W285" s="193"/>
      <c r="X285" s="193"/>
      <c r="Y285" s="193"/>
      <c r="Z285" s="193"/>
    </row>
    <row r="286" customFormat="false" ht="15.75" hidden="false" customHeight="false" outlineLevel="0" collapsed="false">
      <c r="A286" s="193" t="str">
        <f aca="false">IFERROR(__xludf.dummyfunction("""COMPUTED_VALUE"""),"Donte DiVincenzo")</f>
        <v>Donte DiVincenzo</v>
      </c>
      <c r="B286" s="271" t="str">
        <f aca="false">IFERROR(__xludf.dummyfunction("""COMPUTED_VALUE"""),"Los Angeles Clippers")</f>
        <v>Los Angeles Clippers</v>
      </c>
      <c r="C286" s="273"/>
      <c r="D286" s="193"/>
      <c r="E286" s="272" t="n">
        <f aca="false">IFERROR(__xludf.dummyfunction("""COMPUTED_VALUE"""),11990000)</f>
        <v>11990000</v>
      </c>
      <c r="F286" s="193"/>
      <c r="G286" s="272" t="n">
        <f aca="false">IFERROR(__xludf.dummyfunction("""COMPUTED_VALUE"""),12535000)</f>
        <v>12535000</v>
      </c>
      <c r="H286" s="193"/>
      <c r="I286" s="272" t="n">
        <f aca="false">IFERROR(__xludf.dummyfunction("""COMPUTED_VALUE"""),23816500)</f>
        <v>23816500</v>
      </c>
      <c r="J286" s="271" t="str">
        <f aca="false">IFERROR(__xludf.dummyfunction("""COMPUTED_VALUE"""),"UFA - Bird")</f>
        <v>UFA - Bird</v>
      </c>
      <c r="K286" s="273"/>
      <c r="L286" s="193"/>
      <c r="M286" s="273"/>
      <c r="N286" s="193"/>
      <c r="O286" s="193" t="n">
        <f aca="false">IFERROR(__xludf.dummyfunction("""COMPUTED_VALUE"""),1)</f>
        <v>1</v>
      </c>
      <c r="P286" s="193"/>
      <c r="Q286" s="193"/>
      <c r="R286" s="193"/>
      <c r="S286" s="193"/>
      <c r="T286" s="193"/>
      <c r="U286" s="193"/>
      <c r="V286" s="193"/>
      <c r="W286" s="193"/>
      <c r="X286" s="193"/>
      <c r="Y286" s="193"/>
      <c r="Z286" s="193"/>
    </row>
    <row r="287" customFormat="false" ht="15.75" hidden="false" customHeight="false" outlineLevel="0" collapsed="false">
      <c r="A287" s="193" t="str">
        <f aca="false">IFERROR(__xludf.dummyfunction("""COMPUTED_VALUE"""),"Caleb Martin")</f>
        <v>Caleb Martin</v>
      </c>
      <c r="B287" s="271" t="str">
        <f aca="false">IFERROR(__xludf.dummyfunction("""COMPUTED_VALUE"""),"Los Angeles Clippers")</f>
        <v>Los Angeles Clippers</v>
      </c>
      <c r="C287" s="272" t="n">
        <f aca="false">IFERROR(__xludf.dummyfunction("""COMPUTED_VALUE"""),9186594)</f>
        <v>9186594</v>
      </c>
      <c r="D287" s="193"/>
      <c r="E287" s="272" t="n">
        <f aca="false">IFERROR(__xludf.dummyfunction("""COMPUTED_VALUE"""),9594044)</f>
        <v>9594044</v>
      </c>
      <c r="F287" s="193"/>
      <c r="G287" s="272" t="n">
        <f aca="false">IFERROR(__xludf.dummyfunction("""COMPUTED_VALUE"""),10001494)</f>
        <v>10001494</v>
      </c>
      <c r="H287" s="193"/>
      <c r="I287" s="272" t="n">
        <f aca="false">IFERROR(__xludf.dummyfunction("""COMPUTED_VALUE"""),9371351)</f>
        <v>9371351</v>
      </c>
      <c r="J287" s="193" t="str">
        <f aca="false">IFERROR(__xludf.dummyfunction("""COMPUTED_VALUE"""),"Player Option")</f>
        <v>Player Option</v>
      </c>
      <c r="K287" s="272" t="n">
        <f aca="false">IFERROR(__xludf.dummyfunction("""COMPUTED_VALUE"""),20476403)</f>
        <v>20476403</v>
      </c>
      <c r="L287" s="193" t="str">
        <f aca="false">IFERROR(__xludf.dummyfunction("""COMPUTED_VALUE"""),"UFA - Bird")</f>
        <v>UFA - Bird</v>
      </c>
      <c r="M287" s="273"/>
      <c r="N287" s="193"/>
      <c r="O287" s="193" t="n">
        <f aca="false">IFERROR(__xludf.dummyfunction("""COMPUTED_VALUE"""),1)</f>
        <v>1</v>
      </c>
      <c r="P287" s="193"/>
      <c r="Q287" s="193"/>
      <c r="R287" s="193"/>
      <c r="S287" s="193"/>
      <c r="T287" s="193"/>
      <c r="U287" s="193"/>
      <c r="V287" s="193"/>
      <c r="W287" s="193"/>
      <c r="X287" s="193"/>
      <c r="Y287" s="193"/>
      <c r="Z287" s="193"/>
    </row>
    <row r="288" customFormat="false" ht="15.75" hidden="false" customHeight="false" outlineLevel="0" collapsed="false">
      <c r="A288" s="193" t="str">
        <f aca="false">IFERROR(__xludf.dummyfunction("""COMPUTED_VALUE"""),"Georges Niang")</f>
        <v>Georges Niang</v>
      </c>
      <c r="B288" s="271" t="str">
        <f aca="false">IFERROR(__xludf.dummyfunction("""COMPUTED_VALUE"""),"Los Angeles Clippers")</f>
        <v>Los Angeles Clippers</v>
      </c>
      <c r="C288" s="272" t="n">
        <f aca="false">IFERROR(__xludf.dummyfunction("""COMPUTED_VALUE"""),8500000)</f>
        <v>8500000</v>
      </c>
      <c r="D288" s="193"/>
      <c r="E288" s="272" t="n">
        <f aca="false">IFERROR(__xludf.dummyfunction("""COMPUTED_VALUE"""),8200000)</f>
        <v>8200000</v>
      </c>
      <c r="F288" s="193"/>
      <c r="G288" s="272" t="n">
        <f aca="false">IFERROR(__xludf.dummyfunction("""COMPUTED_VALUE"""),15580000)</f>
        <v>15580000</v>
      </c>
      <c r="H288" s="193" t="str">
        <f aca="false">IFERROR(__xludf.dummyfunction("""COMPUTED_VALUE"""),"UFA - Bird")</f>
        <v>UFA - Bird</v>
      </c>
      <c r="I288" s="272" t="str">
        <f aca="false">IFERROR(__xludf.dummyfunction("""COMPUTED_VALUE"""),"")</f>
        <v/>
      </c>
      <c r="J288" s="193"/>
      <c r="K288" s="273"/>
      <c r="L288" s="193"/>
      <c r="M288" s="273"/>
      <c r="N288" s="193"/>
      <c r="O288" s="193" t="n">
        <f aca="false">IFERROR(__xludf.dummyfunction("""COMPUTED_VALUE"""),1)</f>
        <v>1</v>
      </c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</row>
    <row r="289" customFormat="false" ht="15.75" hidden="false" customHeight="false" outlineLevel="0" collapsed="false">
      <c r="A289" s="193" t="str">
        <f aca="false">IFERROR(__xludf.dummyfunction("""COMPUTED_VALUE"""),"Kenrich Williams")</f>
        <v>Kenrich Williams</v>
      </c>
      <c r="B289" s="271" t="str">
        <f aca="false">IFERROR(__xludf.dummyfunction("""COMPUTED_VALUE"""),"Los Angeles Clippers")</f>
        <v>Los Angeles Clippers</v>
      </c>
      <c r="C289" s="272" t="n">
        <f aca="false">IFERROR(__xludf.dummyfunction("""COMPUTED_VALUE"""),6669000)</f>
        <v>6669000</v>
      </c>
      <c r="D289" s="193"/>
      <c r="E289" s="272" t="n">
        <f aca="false">IFERROR(__xludf.dummyfunction("""COMPUTED_VALUE"""),7163000)</f>
        <v>7163000</v>
      </c>
      <c r="F289" s="193"/>
      <c r="G289" s="272" t="n">
        <f aca="false">IFERROR(__xludf.dummyfunction("""COMPUTED_VALUE"""),7163000)</f>
        <v>7163000</v>
      </c>
      <c r="H289" s="193" t="str">
        <f aca="false">IFERROR(__xludf.dummyfunction("""COMPUTED_VALUE"""),"Club Option")</f>
        <v>Club Option</v>
      </c>
      <c r="I289" s="272" t="n">
        <f aca="false">IFERROR(__xludf.dummyfunction("""COMPUTED_VALUE"""),13609700)</f>
        <v>13609700</v>
      </c>
      <c r="J289" s="193" t="str">
        <f aca="false">IFERROR(__xludf.dummyfunction("""COMPUTED_VALUE"""),"UFA - Bird")</f>
        <v>UFA - Bird</v>
      </c>
      <c r="K289" s="273"/>
      <c r="L289" s="193"/>
      <c r="M289" s="273"/>
      <c r="N289" s="193"/>
      <c r="O289" s="193" t="n">
        <f aca="false">IFERROR(__xludf.dummyfunction("""COMPUTED_VALUE"""),1)</f>
        <v>1</v>
      </c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</row>
    <row r="290" customFormat="false" ht="15.75" hidden="false" customHeight="false" outlineLevel="0" collapsed="false">
      <c r="A290" s="193" t="str">
        <f aca="false">IFERROR(__xludf.dummyfunction("""COMPUTED_VALUE"""),"Nick Richards")</f>
        <v>Nick Richards</v>
      </c>
      <c r="B290" s="271" t="str">
        <f aca="false">IFERROR(__xludf.dummyfunction("""COMPUTED_VALUE"""),"Los Angeles Clippers")</f>
        <v>Los Angeles Clippers</v>
      </c>
      <c r="C290" s="272" t="n">
        <f aca="false">IFERROR(__xludf.dummyfunction("""COMPUTED_VALUE"""),5000000)</f>
        <v>5000000</v>
      </c>
      <c r="D290" s="193"/>
      <c r="E290" s="272" t="n">
        <f aca="false">IFERROR(__xludf.dummyfunction("""COMPUTED_VALUE"""),6000000)</f>
        <v>6000000</v>
      </c>
      <c r="F290" s="193"/>
      <c r="G290" s="272" t="n">
        <f aca="false">IFERROR(__xludf.dummyfunction("""COMPUTED_VALUE"""),7200000)</f>
        <v>7200000</v>
      </c>
      <c r="H290" s="271" t="str">
        <f aca="false">IFERROR(__xludf.dummyfunction("""COMPUTED_VALUE"""),"UFA - Non-Bird")</f>
        <v>UFA - Non-Bird</v>
      </c>
      <c r="I290" s="273"/>
      <c r="J290" s="193"/>
      <c r="K290" s="273"/>
      <c r="L290" s="193"/>
      <c r="M290" s="273"/>
      <c r="N290" s="193"/>
      <c r="O290" s="193" t="n">
        <f aca="false">IFERROR(__xludf.dummyfunction("""COMPUTED_VALUE"""),1)</f>
        <v>1</v>
      </c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</row>
    <row r="291" customFormat="false" ht="15.75" hidden="false" customHeight="false" outlineLevel="0" collapsed="false">
      <c r="A291" s="193" t="str">
        <f aca="false">IFERROR(__xludf.dummyfunction("""COMPUTED_VALUE"""),"Nicolas Batum")</f>
        <v>Nicolas Batum</v>
      </c>
      <c r="B291" s="271" t="str">
        <f aca="false">IFERROR(__xludf.dummyfunction("""COMPUTED_VALUE"""),"Los Angeles Clippers")</f>
        <v>Los Angeles Clippers</v>
      </c>
      <c r="C291" s="272" t="n">
        <f aca="false">IFERROR(__xludf.dummyfunction("""COMPUTED_VALUE"""),4668000)</f>
        <v>4668000</v>
      </c>
      <c r="D291" s="193"/>
      <c r="E291" s="272" t="n">
        <f aca="false">IFERROR(__xludf.dummyfunction("""COMPUTED_VALUE"""),4901400)</f>
        <v>4901400</v>
      </c>
      <c r="F291" s="193"/>
      <c r="G291" s="272" t="n">
        <f aca="false">IFERROR(__xludf.dummyfunction("""COMPUTED_VALUE"""),6372820)</f>
        <v>6372820</v>
      </c>
      <c r="H291" s="271" t="str">
        <f aca="false">IFERROR(__xludf.dummyfunction("""COMPUTED_VALUE"""),"UFA - Early Bird")</f>
        <v>UFA - Early Bird</v>
      </c>
      <c r="I291" s="272" t="str">
        <f aca="false">IFERROR(__xludf.dummyfunction("""COMPUTED_VALUE"""),"")</f>
        <v/>
      </c>
      <c r="J291" s="193"/>
      <c r="K291" s="273"/>
      <c r="L291" s="193"/>
      <c r="M291" s="273"/>
      <c r="N291" s="193"/>
      <c r="O291" s="193" t="n">
        <f aca="false">IFERROR(__xludf.dummyfunction("""COMPUTED_VALUE"""),1)</f>
        <v>1</v>
      </c>
      <c r="P291" s="193"/>
      <c r="Q291" s="193"/>
      <c r="R291" s="193"/>
      <c r="S291" s="193"/>
      <c r="T291" s="193"/>
      <c r="U291" s="193"/>
      <c r="V291" s="193"/>
      <c r="W291" s="193"/>
      <c r="X291" s="193"/>
      <c r="Y291" s="193"/>
      <c r="Z291" s="193"/>
    </row>
    <row r="292" customFormat="false" ht="15.75" hidden="false" customHeight="false" outlineLevel="0" collapsed="false">
      <c r="A292" s="193" t="str">
        <f aca="false">IFERROR(__xludf.dummyfunction("""COMPUTED_VALUE"""),"Patty Mills")</f>
        <v>Patty Mills</v>
      </c>
      <c r="B292" s="271" t="str">
        <f aca="false">IFERROR(__xludf.dummyfunction("""COMPUTED_VALUE"""),"Los Angeles Clippers")</f>
        <v>Los Angeles Clippers</v>
      </c>
      <c r="C292" s="272" t="n">
        <f aca="false">IFERROR(__xludf.dummyfunction("""COMPUTED_VALUE"""),2087519)</f>
        <v>2087519</v>
      </c>
      <c r="D292" s="193"/>
      <c r="E292" s="272" t="n">
        <f aca="false">IFERROR(__xludf.dummyfunction("""COMPUTED_VALUE"""),2296274)</f>
        <v>2296274</v>
      </c>
      <c r="F292" s="271" t="str">
        <f aca="false">IFERROR(__xludf.dummyfunction("""COMPUTED_VALUE"""),"UFA - Non-Bird")</f>
        <v>UFA - Non-Bird</v>
      </c>
      <c r="G292" s="273"/>
      <c r="H292" s="193"/>
      <c r="I292" s="272" t="str">
        <f aca="false">IFERROR(__xludf.dummyfunction("""COMPUTED_VALUE"""),"")</f>
        <v/>
      </c>
      <c r="J292" s="193"/>
      <c r="K292" s="273"/>
      <c r="L292" s="193"/>
      <c r="M292" s="273"/>
      <c r="N292" s="193"/>
      <c r="O292" s="193" t="n">
        <f aca="false">IFERROR(__xludf.dummyfunction("""COMPUTED_VALUE"""),1)</f>
        <v>1</v>
      </c>
      <c r="P292" s="193"/>
      <c r="Q292" s="193"/>
      <c r="R292" s="193"/>
      <c r="S292" s="193"/>
      <c r="T292" s="193"/>
      <c r="U292" s="193"/>
      <c r="V292" s="193"/>
      <c r="W292" s="193"/>
      <c r="X292" s="193"/>
      <c r="Y292" s="193"/>
      <c r="Z292" s="193"/>
    </row>
    <row r="293" customFormat="false" ht="15.75" hidden="false" customHeight="false" outlineLevel="0" collapsed="false">
      <c r="A293" s="193" t="str">
        <f aca="false">IFERROR(__xludf.dummyfunction("""COMPUTED_VALUE"""),"Rodney Hood")</f>
        <v>Rodney Hood</v>
      </c>
      <c r="B293" s="271" t="str">
        <f aca="false">IFERROR(__xludf.dummyfunction("""COMPUTED_VALUE"""),"Los Angeles Clippers")</f>
        <v>Los Angeles Clippers</v>
      </c>
      <c r="C293" s="272" t="n">
        <f aca="false">IFERROR(__xludf.dummyfunction("""COMPUTED_VALUE"""),2087519)</f>
        <v>2087519</v>
      </c>
      <c r="D293" s="271" t="str">
        <f aca="false">IFERROR(__xludf.dummyfunction("""COMPUTED_VALUE"""),"UFA - Non-Bird")</f>
        <v>UFA - Non-Bird</v>
      </c>
      <c r="E293" s="272" t="n">
        <f aca="false">IFERROR(__xludf.dummyfunction("""COMPUTED_VALUE"""),2296274)</f>
        <v>2296274</v>
      </c>
      <c r="F293" s="271" t="str">
        <f aca="false">IFERROR(__xludf.dummyfunction("""COMPUTED_VALUE"""),"UFA - Non-Bird")</f>
        <v>UFA - Non-Bird</v>
      </c>
      <c r="G293" s="273"/>
      <c r="H293" s="193"/>
      <c r="I293" s="273"/>
      <c r="J293" s="193"/>
      <c r="K293" s="273"/>
      <c r="L293" s="193"/>
      <c r="M293" s="273"/>
      <c r="N293" s="193"/>
      <c r="O293" s="193" t="n">
        <f aca="false">IFERROR(__xludf.dummyfunction("""COMPUTED_VALUE"""),1)</f>
        <v>1</v>
      </c>
      <c r="P293" s="193"/>
      <c r="Q293" s="193"/>
      <c r="R293" s="193"/>
      <c r="S293" s="193"/>
      <c r="T293" s="193"/>
      <c r="U293" s="193"/>
      <c r="V293" s="193"/>
      <c r="W293" s="193"/>
      <c r="X293" s="193"/>
      <c r="Y293" s="193"/>
      <c r="Z293" s="193"/>
    </row>
    <row r="294" customFormat="false" ht="15.75" hidden="false" customHeight="false" outlineLevel="0" collapsed="false">
      <c r="A294" s="193" t="str">
        <f aca="false">IFERROR(__xludf.dummyfunction("""COMPUTED_VALUE"""),"Dennis Smith Jr.")</f>
        <v>Dennis Smith Jr.</v>
      </c>
      <c r="B294" s="271" t="str">
        <f aca="false">IFERROR(__xludf.dummyfunction("""COMPUTED_VALUE"""),"Los Angeles Clippers")</f>
        <v>Los Angeles Clippers</v>
      </c>
      <c r="C294" s="272" t="n">
        <f aca="false">IFERROR(__xludf.dummyfunction("""COMPUTED_VALUE"""),2087519)</f>
        <v>2087519</v>
      </c>
      <c r="D294" s="193"/>
      <c r="E294" s="272" t="n">
        <f aca="false">IFERROR(__xludf.dummyfunction("""COMPUTED_VALUE"""),2296271)</f>
        <v>2296271</v>
      </c>
      <c r="F294" s="193"/>
      <c r="G294" s="272" t="n">
        <f aca="false">IFERROR(__xludf.dummyfunction("""COMPUTED_VALUE"""),2525898.1)</f>
        <v>2525898.1</v>
      </c>
      <c r="H294" s="271" t="str">
        <f aca="false">IFERROR(__xludf.dummyfunction("""COMPUTED_VALUE"""),"UFA - Non-Bird")</f>
        <v>UFA - Non-Bird</v>
      </c>
      <c r="I294" s="273"/>
      <c r="J294" s="193"/>
      <c r="K294" s="273"/>
      <c r="L294" s="193"/>
      <c r="M294" s="273"/>
      <c r="N294" s="193"/>
      <c r="O294" s="193" t="n">
        <f aca="false">IFERROR(__xludf.dummyfunction("""COMPUTED_VALUE"""),1)</f>
        <v>1</v>
      </c>
      <c r="P294" s="193"/>
      <c r="Q294" s="193"/>
      <c r="R294" s="193"/>
      <c r="S294" s="193"/>
      <c r="T294" s="193"/>
      <c r="U294" s="193"/>
      <c r="V294" s="193"/>
      <c r="W294" s="193"/>
      <c r="X294" s="193"/>
      <c r="Y294" s="193"/>
      <c r="Z294" s="193"/>
    </row>
    <row r="295" customFormat="false" ht="15.75" hidden="false" customHeight="false" outlineLevel="0" collapsed="false">
      <c r="A295" s="193" t="str">
        <f aca="false">IFERROR(__xludf.dummyfunction("""COMPUTED_VALUE"""),"Leonard Miller")</f>
        <v>Leonard Miller</v>
      </c>
      <c r="B295" s="271" t="str">
        <f aca="false">IFERROR(__xludf.dummyfunction("""COMPUTED_VALUE"""),"Los Angeles Clippers")</f>
        <v>Los Angeles Clippers</v>
      </c>
      <c r="C295" s="273"/>
      <c r="D295" s="193"/>
      <c r="E295" s="272" t="n">
        <f aca="false">IFERROR(__xludf.dummyfunction("""COMPUTED_VALUE"""),2221677)</f>
        <v>2221677</v>
      </c>
      <c r="F295" s="193"/>
      <c r="G295" s="272" t="n">
        <f aca="false">IFERROR(__xludf.dummyfunction("""COMPUTED_VALUE"""),2406205)</f>
        <v>2406205</v>
      </c>
      <c r="H295" s="193" t="str">
        <f aca="false">IFERROR(__xludf.dummyfunction("""COMPUTED_VALUE"""),"Club Option")</f>
        <v>Club Option</v>
      </c>
      <c r="I295" s="272" t="n">
        <f aca="false">IFERROR(__xludf.dummyfunction("""COMPUTED_VALUE"""),2957063)</f>
        <v>2957063</v>
      </c>
      <c r="J295" s="271" t="str">
        <f aca="false">IFERROR(__xludf.dummyfunction("""COMPUTED_VALUE"""),"UFA - Bird")</f>
        <v>UFA - Bird</v>
      </c>
      <c r="K295" s="273"/>
      <c r="L295" s="193"/>
      <c r="M295" s="273"/>
      <c r="N295" s="193"/>
      <c r="O295" s="193" t="n">
        <f aca="false">IFERROR(__xludf.dummyfunction("""COMPUTED_VALUE"""),1)</f>
        <v>1</v>
      </c>
      <c r="P295" s="193"/>
      <c r="Q295" s="193"/>
      <c r="R295" s="193"/>
      <c r="S295" s="193"/>
      <c r="T295" s="193"/>
      <c r="U295" s="193"/>
      <c r="V295" s="193"/>
      <c r="W295" s="193"/>
      <c r="X295" s="193"/>
      <c r="Y295" s="193"/>
      <c r="Z295" s="193"/>
    </row>
    <row r="296" customFormat="false" ht="15.75" hidden="false" customHeight="false" outlineLevel="0" collapsed="false">
      <c r="A296" s="193" t="str">
        <f aca="false">IFERROR(__xludf.dummyfunction("""COMPUTED_VALUE"""),"Xavier Moon")</f>
        <v>Xavier Moon</v>
      </c>
      <c r="B296" s="271" t="str">
        <f aca="false">IFERROR(__xludf.dummyfunction("""COMPUTED_VALUE"""),"Los Angeles Clippers")</f>
        <v>Los Angeles Clippers</v>
      </c>
      <c r="C296" s="272" t="n">
        <f aca="false">IFERROR(__xludf.dummyfunction("""COMPUTED_VALUE"""),1862265)</f>
        <v>1862265</v>
      </c>
      <c r="D296" s="271" t="str">
        <f aca="false">IFERROR(__xludf.dummyfunction("""COMPUTED_VALUE"""),"UFA - Two-way")</f>
        <v>UFA - Two-way</v>
      </c>
      <c r="E296" s="272" t="n">
        <f aca="false">IFERROR(__xludf.dummyfunction("""COMPUTED_VALUE"""),2048491)</f>
        <v>2048491</v>
      </c>
      <c r="F296" s="271" t="str">
        <f aca="false">IFERROR(__xludf.dummyfunction("""COMPUTED_VALUE"""),"UFA - Two-way")</f>
        <v>UFA - Two-way</v>
      </c>
      <c r="G296" s="273"/>
      <c r="H296" s="193"/>
      <c r="I296" s="273"/>
      <c r="J296" s="193"/>
      <c r="K296" s="273"/>
      <c r="L296" s="193"/>
      <c r="M296" s="273"/>
      <c r="N296" s="193"/>
      <c r="O296" s="193" t="n">
        <f aca="false">IFERROR(__xludf.dummyfunction("""COMPUTED_VALUE"""),1)</f>
        <v>1</v>
      </c>
      <c r="P296" s="193"/>
      <c r="Q296" s="193"/>
      <c r="R296" s="193"/>
      <c r="S296" s="193"/>
      <c r="T296" s="193"/>
      <c r="U296" s="193"/>
      <c r="V296" s="193"/>
      <c r="W296" s="193"/>
      <c r="X296" s="193"/>
      <c r="Y296" s="193"/>
      <c r="Z296" s="193"/>
    </row>
    <row r="297" customFormat="false" ht="15.75" hidden="false" customHeight="false" outlineLevel="0" collapsed="false">
      <c r="A297" s="193" t="str">
        <f aca="false">IFERROR(__xludf.dummyfunction("""COMPUTED_VALUE"""),"Alex Toohey (R)")</f>
        <v>Alex Toohey (R)</v>
      </c>
      <c r="B297" s="271" t="str">
        <f aca="false">IFERROR(__xludf.dummyfunction("""COMPUTED_VALUE"""),"Los Angeles Clippers")</f>
        <v>Los Angeles Clippers</v>
      </c>
      <c r="C297" s="273"/>
      <c r="D297" s="193"/>
      <c r="E297" s="272" t="n">
        <f aca="false">IFERROR(__xludf.dummyfunction("""COMPUTED_VALUE"""),1272869)</f>
        <v>1272869</v>
      </c>
      <c r="F297" s="193"/>
      <c r="G297" s="272" t="n">
        <f aca="false">IFERROR(__xludf.dummyfunction("""COMPUTED_VALUE"""),2150915.55)</f>
        <v>2150915.55</v>
      </c>
      <c r="H297" s="271" t="str">
        <f aca="false">IFERROR(__xludf.dummyfunction("""COMPUTED_VALUE"""),"Non Guaranteed")</f>
        <v>Non Guaranteed</v>
      </c>
      <c r="I297" s="272" t="n">
        <f aca="false">IFERROR(__xludf.dummyfunction("""COMPUTED_VALUE"""),2525899)</f>
        <v>2525899</v>
      </c>
      <c r="J297" s="271" t="str">
        <f aca="false">IFERROR(__xludf.dummyfunction("""COMPUTED_VALUE"""),"Non Guaranteed")</f>
        <v>Non Guaranteed</v>
      </c>
      <c r="K297" s="272" t="n">
        <f aca="false">IFERROR(__xludf.dummyfunction("""COMPUTED_VALUE"""),2735801.21)</f>
        <v>2735801.21</v>
      </c>
      <c r="L297" s="271" t="str">
        <f aca="false">IFERROR(__xludf.dummyfunction("""COMPUTED_VALUE"""),"Club Option")</f>
        <v>Club Option</v>
      </c>
      <c r="M297" s="272" t="n">
        <f aca="false">IFERROR(__xludf.dummyfunction("""COMPUTED_VALUE"""),5197819.55)</f>
        <v>5197819.55</v>
      </c>
      <c r="N297" s="271" t="str">
        <f aca="false">IFERROR(__xludf.dummyfunction("""COMPUTED_VALUE"""),"UFA - Bird")</f>
        <v>UFA - Bird</v>
      </c>
      <c r="O297" s="193" t="n">
        <f aca="false">IFERROR(__xludf.dummyfunction("""COMPUTED_VALUE"""),1)</f>
        <v>1</v>
      </c>
      <c r="P297" s="193"/>
      <c r="Q297" s="193"/>
      <c r="R297" s="193"/>
      <c r="S297" s="193"/>
      <c r="T297" s="193"/>
      <c r="U297" s="193"/>
      <c r="V297" s="193"/>
      <c r="W297" s="193"/>
      <c r="X297" s="193"/>
      <c r="Y297" s="193"/>
      <c r="Z297" s="193"/>
    </row>
    <row r="298" customFormat="false" ht="15.75" hidden="false" customHeight="false" outlineLevel="0" collapsed="false">
      <c r="A298" s="193" t="str">
        <f aca="false">IFERROR(__xludf.dummyfunction("""COMPUTED_VALUE"""),"John Tonje (R)")</f>
        <v>John Tonje (R)</v>
      </c>
      <c r="B298" s="271" t="str">
        <f aca="false">IFERROR(__xludf.dummyfunction("""COMPUTED_VALUE"""),"Los Angeles Lakers")</f>
        <v>Los Angeles Lakers</v>
      </c>
      <c r="C298" s="272" t="str">
        <f aca="false">IFERROR(__xludf.dummyfunction("""COMPUTED_VALUE"""),"Two-Way")</f>
        <v>Two-Way</v>
      </c>
      <c r="D298" s="271" t="str">
        <f aca="false">IFERROR(__xludf.dummyfunction("""COMPUTED_VALUE"""),"Two-Way")</f>
        <v>Two-Way</v>
      </c>
      <c r="E298" s="272" t="str">
        <f aca="false">IFERROR(__xludf.dummyfunction("""COMPUTED_VALUE"""),"Two-Way")</f>
        <v>Two-Way</v>
      </c>
      <c r="F298" s="271" t="str">
        <f aca="false">IFERROR(__xludf.dummyfunction("""COMPUTED_VALUE"""),"Two-Way")</f>
        <v>Two-Way</v>
      </c>
      <c r="G298" s="272" t="n">
        <f aca="false">IFERROR(__xludf.dummyfunction("""COMPUTED_VALUE"""),2253346)</f>
        <v>2253346</v>
      </c>
      <c r="H298" s="271" t="str">
        <f aca="false">IFERROR(__xludf.dummyfunction("""COMPUTED_VALUE"""),"UFA - Two-Way")</f>
        <v>UFA - Two-Way</v>
      </c>
      <c r="I298" s="273"/>
      <c r="J298" s="193"/>
      <c r="K298" s="273"/>
      <c r="L298" s="193"/>
      <c r="M298" s="273"/>
      <c r="N298" s="193"/>
      <c r="O298" s="193" t="n">
        <f aca="false">IFERROR(__xludf.dummyfunction("""COMPUTED_VALUE"""),1)</f>
        <v>1</v>
      </c>
      <c r="P298" s="193"/>
      <c r="Q298" s="193"/>
      <c r="R298" s="193"/>
      <c r="S298" s="193"/>
      <c r="T298" s="193"/>
      <c r="U298" s="193"/>
      <c r="V298" s="193"/>
      <c r="W298" s="193"/>
      <c r="X298" s="193"/>
      <c r="Y298" s="193"/>
      <c r="Z298" s="193"/>
    </row>
    <row r="299" customFormat="false" ht="15.75" hidden="false" customHeight="false" outlineLevel="0" collapsed="false">
      <c r="A299" s="193" t="str">
        <f aca="false">IFERROR(__xludf.dummyfunction("""COMPUTED_VALUE"""),"Trey Jemison")</f>
        <v>Trey Jemison</v>
      </c>
      <c r="B299" s="271" t="str">
        <f aca="false">IFERROR(__xludf.dummyfunction("""COMPUTED_VALUE"""),"Los Angeles Lakers")</f>
        <v>Los Angeles Lakers</v>
      </c>
      <c r="C299" s="272" t="str">
        <f aca="false">IFERROR(__xludf.dummyfunction("""COMPUTED_VALUE"""),"Two-way")</f>
        <v>Two-way</v>
      </c>
      <c r="D299" s="271" t="str">
        <f aca="false">IFERROR(__xludf.dummyfunction("""COMPUTED_VALUE"""),"Two-way")</f>
        <v>Two-way</v>
      </c>
      <c r="E299" s="272" t="str">
        <f aca="false">IFERROR(__xludf.dummyfunction("""COMPUTED_VALUE"""),"Two-way")</f>
        <v>Two-way</v>
      </c>
      <c r="F299" s="271" t="str">
        <f aca="false">IFERROR(__xludf.dummyfunction("""COMPUTED_VALUE"""),"Two-way")</f>
        <v>Two-way</v>
      </c>
      <c r="G299" s="272" t="n">
        <f aca="false">IFERROR(__xludf.dummyfunction("""COMPUTED_VALUE"""),2253346)</f>
        <v>2253346</v>
      </c>
      <c r="H299" s="271" t="str">
        <f aca="false">IFERROR(__xludf.dummyfunction("""COMPUTED_VALUE"""),"UFA - Two-way")</f>
        <v>UFA - Two-way</v>
      </c>
      <c r="I299" s="273"/>
      <c r="J299" s="193"/>
      <c r="K299" s="273"/>
      <c r="L299" s="193"/>
      <c r="M299" s="273"/>
      <c r="N299" s="193"/>
      <c r="O299" s="193" t="n">
        <f aca="false">IFERROR(__xludf.dummyfunction("""COMPUTED_VALUE"""),1)</f>
        <v>1</v>
      </c>
      <c r="P299" s="193"/>
      <c r="Q299" s="193"/>
      <c r="R299" s="193"/>
      <c r="S299" s="193"/>
      <c r="T299" s="193"/>
      <c r="U299" s="193"/>
      <c r="V299" s="193"/>
      <c r="W299" s="193"/>
      <c r="X299" s="193"/>
      <c r="Y299" s="193"/>
      <c r="Z299" s="193"/>
    </row>
    <row r="300" customFormat="false" ht="15.75" hidden="false" customHeight="false" outlineLevel="0" collapsed="false">
      <c r="A300" s="193" t="str">
        <f aca="false">IFERROR(__xludf.dummyfunction("""COMPUTED_VALUE"""),"Christian Koloko")</f>
        <v>Christian Koloko</v>
      </c>
      <c r="B300" s="271" t="str">
        <f aca="false">IFERROR(__xludf.dummyfunction("""COMPUTED_VALUE"""),"Los Angeles Lakers")</f>
        <v>Los Angeles Lakers</v>
      </c>
      <c r="C300" s="271" t="str">
        <f aca="false">IFERROR(__xludf.dummyfunction("""COMPUTED_VALUE"""),"Two-way")</f>
        <v>Two-way</v>
      </c>
      <c r="D300" s="271" t="str">
        <f aca="false">IFERROR(__xludf.dummyfunction("""COMPUTED_VALUE"""),"Two-way")</f>
        <v>Two-way</v>
      </c>
      <c r="E300" s="272" t="str">
        <f aca="false">IFERROR(__xludf.dummyfunction("""COMPUTED_VALUE"""),"Two-Way")</f>
        <v>Two-Way</v>
      </c>
      <c r="F300" s="271" t="str">
        <f aca="false">IFERROR(__xludf.dummyfunction("""COMPUTED_VALUE"""),"Two-Way")</f>
        <v>Two-Way</v>
      </c>
      <c r="G300" s="272" t="n">
        <f aca="false">IFERROR(__xludf.dummyfunction("""COMPUTED_VALUE"""),2253346)</f>
        <v>2253346</v>
      </c>
      <c r="H300" s="271" t="str">
        <f aca="false">IFERROR(__xludf.dummyfunction("""COMPUTED_VALUE"""),"UFA - Two-Way")</f>
        <v>UFA - Two-Way</v>
      </c>
      <c r="I300" s="273"/>
      <c r="J300" s="193"/>
      <c r="K300" s="273"/>
      <c r="L300" s="193"/>
      <c r="M300" s="273"/>
      <c r="N300" s="193"/>
      <c r="O300" s="193" t="n">
        <f aca="false">IFERROR(__xludf.dummyfunction("""COMPUTED_VALUE"""),1)</f>
        <v>1</v>
      </c>
      <c r="P300" s="193"/>
      <c r="Q300" s="193"/>
      <c r="R300" s="193"/>
      <c r="S300" s="193"/>
      <c r="T300" s="193"/>
      <c r="U300" s="193"/>
      <c r="V300" s="193"/>
      <c r="W300" s="193"/>
      <c r="X300" s="193"/>
      <c r="Y300" s="193"/>
      <c r="Z300" s="193"/>
    </row>
    <row r="301" customFormat="false" ht="15.75" hidden="false" customHeight="false" outlineLevel="0" collapsed="false">
      <c r="A301" s="193" t="str">
        <f aca="false">IFERROR(__xludf.dummyfunction("""COMPUTED_VALUE"""),"LeBron James")</f>
        <v>LeBron James</v>
      </c>
      <c r="B301" s="271" t="str">
        <f aca="false">IFERROR(__xludf.dummyfunction("""COMPUTED_VALUE"""),"Los Angeles Lakers")</f>
        <v>Los Angeles Lakers</v>
      </c>
      <c r="C301" s="273"/>
      <c r="D301" s="193"/>
      <c r="E301" s="272" t="n">
        <f aca="false">IFERROR(__xludf.dummyfunction("""COMPUTED_VALUE"""),54126380)</f>
        <v>54126380</v>
      </c>
      <c r="F301" s="193"/>
      <c r="G301" s="272" t="n">
        <f aca="false">IFERROR(__xludf.dummyfunction("""COMPUTED_VALUE"""),59539018)</f>
        <v>59539018</v>
      </c>
      <c r="H301" s="271" t="str">
        <f aca="false">IFERROR(__xludf.dummyfunction("""COMPUTED_VALUE"""),"Player Option")</f>
        <v>Player Option</v>
      </c>
      <c r="I301" s="272" t="n">
        <f aca="false">IFERROR(__xludf.dummyfunction("""COMPUTED_VALUE"""),89308527)</f>
        <v>89308527</v>
      </c>
      <c r="J301" s="271" t="str">
        <f aca="false">IFERROR(__xludf.dummyfunction("""COMPUTED_VALUE"""),"UFA - Bird")</f>
        <v>UFA - Bird</v>
      </c>
      <c r="K301" s="273"/>
      <c r="L301" s="193"/>
      <c r="M301" s="273"/>
      <c r="N301" s="193"/>
      <c r="O301" s="193" t="n">
        <f aca="false">IFERROR(__xludf.dummyfunction("""COMPUTED_VALUE"""),1)</f>
        <v>1</v>
      </c>
      <c r="P301" s="193"/>
      <c r="Q301" s="193"/>
      <c r="R301" s="193"/>
      <c r="S301" s="193"/>
      <c r="T301" s="193"/>
      <c r="U301" s="193"/>
      <c r="V301" s="193"/>
      <c r="W301" s="193"/>
      <c r="X301" s="193"/>
      <c r="Y301" s="193"/>
      <c r="Z301" s="193"/>
    </row>
    <row r="302" customFormat="false" ht="15.75" hidden="false" customHeight="false" outlineLevel="0" collapsed="false">
      <c r="A302" s="193" t="str">
        <f aca="false">IFERROR(__xludf.dummyfunction("""COMPUTED_VALUE"""),"Luka Doncic")</f>
        <v>Luka Doncic</v>
      </c>
      <c r="B302" s="271" t="str">
        <f aca="false">IFERROR(__xludf.dummyfunction("""COMPUTED_VALUE"""),"Los Angeles Lakers")</f>
        <v>Los Angeles Lakers</v>
      </c>
      <c r="C302" s="272" t="n">
        <f aca="false">IFERROR(__xludf.dummyfunction("""COMPUTED_VALUE"""),43031940)</f>
        <v>43031940</v>
      </c>
      <c r="D302" s="193"/>
      <c r="E302" s="272" t="n">
        <f aca="false">IFERROR(__xludf.dummyfunction("""COMPUTED_VALUE"""),45999660)</f>
        <v>45999660</v>
      </c>
      <c r="F302" s="193"/>
      <c r="G302" s="272" t="n">
        <f aca="false">IFERROR(__xludf.dummyfunction("""COMPUTED_VALUE"""),48967380)</f>
        <v>48967380</v>
      </c>
      <c r="H302" s="193" t="str">
        <f aca="false">IFERROR(__xludf.dummyfunction("""COMPUTED_VALUE"""),"Player Option")</f>
        <v>Player Option</v>
      </c>
      <c r="I302" s="272" t="n">
        <f aca="false">IFERROR(__xludf.dummyfunction("""COMPUTED_VALUE"""),55236300)</f>
        <v>55236300</v>
      </c>
      <c r="J302" s="271" t="str">
        <f aca="false">IFERROR(__xludf.dummyfunction("""COMPUTED_VALUE"""),"UFA - Bird")</f>
        <v>UFA - Bird</v>
      </c>
      <c r="K302" s="273"/>
      <c r="L302" s="193"/>
      <c r="M302" s="273"/>
      <c r="N302" s="193"/>
      <c r="O302" s="193" t="n">
        <f aca="false">IFERROR(__xludf.dummyfunction("""COMPUTED_VALUE"""),1)</f>
        <v>1</v>
      </c>
      <c r="P302" s="193"/>
      <c r="Q302" s="193"/>
      <c r="R302" s="193"/>
      <c r="S302" s="193"/>
      <c r="T302" s="193"/>
      <c r="U302" s="193"/>
      <c r="V302" s="193"/>
      <c r="W302" s="193"/>
      <c r="X302" s="193"/>
      <c r="Y302" s="193"/>
      <c r="Z302" s="193"/>
    </row>
    <row r="303" customFormat="false" ht="15.75" hidden="false" customHeight="false" outlineLevel="0" collapsed="false">
      <c r="A303" s="193" t="str">
        <f aca="false">IFERROR(__xludf.dummyfunction("""COMPUTED_VALUE"""),"Rui Hachimura")</f>
        <v>Rui Hachimura</v>
      </c>
      <c r="B303" s="271" t="str">
        <f aca="false">IFERROR(__xludf.dummyfunction("""COMPUTED_VALUE"""),"Los Angeles Lakers")</f>
        <v>Los Angeles Lakers</v>
      </c>
      <c r="C303" s="272" t="n">
        <f aca="false">IFERROR(__xludf.dummyfunction("""COMPUTED_VALUE"""),17000000)</f>
        <v>17000000</v>
      </c>
      <c r="D303" s="193"/>
      <c r="E303" s="272" t="n">
        <f aca="false">IFERROR(__xludf.dummyfunction("""COMPUTED_VALUE"""),18259259)</f>
        <v>18259259</v>
      </c>
      <c r="F303" s="193"/>
      <c r="G303" s="272" t="n">
        <f aca="false">IFERROR(__xludf.dummyfunction("""COMPUTED_VALUE"""),27388889)</f>
        <v>27388889</v>
      </c>
      <c r="H303" s="271" t="str">
        <f aca="false">IFERROR(__xludf.dummyfunction("""COMPUTED_VALUE"""),"UFA - Bird")</f>
        <v>UFA - Bird</v>
      </c>
      <c r="I303" s="272" t="str">
        <f aca="false">IFERROR(__xludf.dummyfunction("""COMPUTED_VALUE"""),"")</f>
        <v/>
      </c>
      <c r="J303" s="193"/>
      <c r="K303" s="273"/>
      <c r="L303" s="193"/>
      <c r="M303" s="273"/>
      <c r="N303" s="193"/>
      <c r="O303" s="193" t="n">
        <f aca="false">IFERROR(__xludf.dummyfunction("""COMPUTED_VALUE"""),1)</f>
        <v>1</v>
      </c>
      <c r="P303" s="193"/>
      <c r="Q303" s="193"/>
      <c r="R303" s="193"/>
      <c r="S303" s="193"/>
      <c r="T303" s="193"/>
      <c r="U303" s="193"/>
      <c r="V303" s="193"/>
      <c r="W303" s="193"/>
      <c r="X303" s="193"/>
      <c r="Y303" s="193"/>
      <c r="Z303" s="193"/>
    </row>
    <row r="304" customFormat="false" ht="15.75" hidden="false" customHeight="false" outlineLevel="0" collapsed="false">
      <c r="A304" s="193" t="str">
        <f aca="false">IFERROR(__xludf.dummyfunction("""COMPUTED_VALUE"""),"Dorian Finney-Smith")</f>
        <v>Dorian Finney-Smith</v>
      </c>
      <c r="B304" s="271" t="str">
        <f aca="false">IFERROR(__xludf.dummyfunction("""COMPUTED_VALUE"""),"Los Angeles Lakers")</f>
        <v>Los Angeles Lakers</v>
      </c>
      <c r="C304" s="272" t="n">
        <f aca="false">IFERROR(__xludf.dummyfunction("""COMPUTED_VALUE"""),14924167)</f>
        <v>14924167</v>
      </c>
      <c r="D304" s="193"/>
      <c r="E304" s="272" t="n">
        <f aca="false">IFERROR(__xludf.dummyfunction("""COMPUTED_VALUE"""),15378480)</f>
        <v>15378480</v>
      </c>
      <c r="F304" s="193"/>
      <c r="G304" s="272" t="n">
        <f aca="false">IFERROR(__xludf.dummyfunction("""COMPUTED_VALUE"""),23067720)</f>
        <v>23067720</v>
      </c>
      <c r="H304" s="271" t="str">
        <f aca="false">IFERROR(__xludf.dummyfunction("""COMPUTED_VALUE"""),"UFA - Bird")</f>
        <v>UFA - Bird</v>
      </c>
      <c r="I304" s="272" t="str">
        <f aca="false">IFERROR(__xludf.dummyfunction("""COMPUTED_VALUE"""),"")</f>
        <v/>
      </c>
      <c r="J304" s="193"/>
      <c r="K304" s="273"/>
      <c r="L304" s="193"/>
      <c r="M304" s="273"/>
      <c r="N304" s="193"/>
      <c r="O304" s="193" t="n">
        <f aca="false">IFERROR(__xludf.dummyfunction("""COMPUTED_VALUE"""),1)</f>
        <v>1</v>
      </c>
      <c r="P304" s="193"/>
      <c r="Q304" s="193"/>
      <c r="R304" s="193"/>
      <c r="S304" s="193"/>
      <c r="T304" s="193"/>
      <c r="U304" s="193"/>
      <c r="V304" s="193"/>
      <c r="W304" s="193"/>
      <c r="X304" s="193"/>
      <c r="Y304" s="193"/>
      <c r="Z304" s="193"/>
    </row>
    <row r="305" customFormat="false" ht="15.75" hidden="false" customHeight="false" outlineLevel="0" collapsed="false">
      <c r="A305" s="193" t="str">
        <f aca="false">IFERROR(__xludf.dummyfunction("""COMPUTED_VALUE"""),"Daniel Gafford")</f>
        <v>Daniel Gafford</v>
      </c>
      <c r="B305" s="271" t="str">
        <f aca="false">IFERROR(__xludf.dummyfunction("""COMPUTED_VALUE"""),"Los Angeles Lakers")</f>
        <v>Los Angeles Lakers</v>
      </c>
      <c r="C305" s="273"/>
      <c r="D305" s="193"/>
      <c r="E305" s="272" t="n">
        <f aca="false">IFERROR(__xludf.dummyfunction("""COMPUTED_VALUE"""),14386320)</f>
        <v>14386320</v>
      </c>
      <c r="F305" s="193"/>
      <c r="G305" s="272" t="n">
        <f aca="false">IFERROR(__xludf.dummyfunction("""COMPUTED_VALUE"""),21579480)</f>
        <v>21579480</v>
      </c>
      <c r="H305" s="193" t="str">
        <f aca="false">IFERROR(__xludf.dummyfunction("""COMPUTED_VALUE"""),"UFA - Bird")</f>
        <v>UFA - Bird</v>
      </c>
      <c r="I305" s="272" t="str">
        <f aca="false">IFERROR(__xludf.dummyfunction("""COMPUTED_VALUE"""),"")</f>
        <v/>
      </c>
      <c r="J305" s="193"/>
      <c r="K305" s="273"/>
      <c r="L305" s="193"/>
      <c r="M305" s="273"/>
      <c r="N305" s="193"/>
      <c r="O305" s="193" t="n">
        <f aca="false">IFERROR(__xludf.dummyfunction("""COMPUTED_VALUE"""),1)</f>
        <v>1</v>
      </c>
      <c r="P305" s="193"/>
      <c r="Q305" s="193"/>
      <c r="R305" s="193"/>
      <c r="S305" s="193"/>
      <c r="T305" s="193"/>
      <c r="U305" s="193"/>
      <c r="V305" s="193"/>
      <c r="W305" s="193"/>
      <c r="X305" s="193"/>
      <c r="Y305" s="193"/>
      <c r="Z305" s="193"/>
    </row>
    <row r="306" customFormat="false" ht="15.75" hidden="false" customHeight="false" outlineLevel="0" collapsed="false">
      <c r="A306" s="193" t="str">
        <f aca="false">IFERROR(__xludf.dummyfunction("""COMPUTED_VALUE"""),"Austin Reaves")</f>
        <v>Austin Reaves</v>
      </c>
      <c r="B306" s="271" t="str">
        <f aca="false">IFERROR(__xludf.dummyfunction("""COMPUTED_VALUE"""),"Los Angeles Lakers")</f>
        <v>Los Angeles Lakers</v>
      </c>
      <c r="C306" s="272" t="n">
        <f aca="false">IFERROR(__xludf.dummyfunction("""COMPUTED_VALUE"""),12976362)</f>
        <v>12976362</v>
      </c>
      <c r="D306" s="193"/>
      <c r="E306" s="272" t="n">
        <f aca="false">IFERROR(__xludf.dummyfunction("""COMPUTED_VALUE"""),13937574)</f>
        <v>13937574</v>
      </c>
      <c r="F306" s="193"/>
      <c r="G306" s="272" t="n">
        <f aca="false">IFERROR(__xludf.dummyfunction("""COMPUTED_VALUE"""),14898786)</f>
        <v>14898786</v>
      </c>
      <c r="H306" s="193" t="str">
        <f aca="false">IFERROR(__xludf.dummyfunction("""COMPUTED_VALUE"""),"Player Option")</f>
        <v>Player Option</v>
      </c>
      <c r="I306" s="272" t="n">
        <f aca="false">IFERROR(__xludf.dummyfunction("""COMPUTED_VALUE"""),22348179)</f>
        <v>22348179</v>
      </c>
      <c r="J306" s="271" t="str">
        <f aca="false">IFERROR(__xludf.dummyfunction("""COMPUTED_VALUE"""),"UFA - Bird")</f>
        <v>UFA - Bird</v>
      </c>
      <c r="K306" s="273"/>
      <c r="L306" s="193"/>
      <c r="M306" s="273"/>
      <c r="N306" s="193"/>
      <c r="O306" s="193" t="n">
        <f aca="false">IFERROR(__xludf.dummyfunction("""COMPUTED_VALUE"""),1)</f>
        <v>1</v>
      </c>
      <c r="P306" s="193"/>
      <c r="Q306" s="193"/>
      <c r="R306" s="193"/>
      <c r="S306" s="193"/>
      <c r="T306" s="193"/>
      <c r="U306" s="193"/>
      <c r="V306" s="193"/>
      <c r="W306" s="193"/>
      <c r="X306" s="193"/>
      <c r="Y306" s="193"/>
      <c r="Z306" s="193"/>
    </row>
    <row r="307" customFormat="false" ht="15.75" hidden="false" customHeight="false" outlineLevel="0" collapsed="false">
      <c r="A307" s="193" t="str">
        <f aca="false">IFERROR(__xludf.dummyfunction("""COMPUTED_VALUE"""),"Robert Williams III")</f>
        <v>Robert Williams III</v>
      </c>
      <c r="B307" s="271" t="str">
        <f aca="false">IFERROR(__xludf.dummyfunction("""COMPUTED_VALUE"""),"Los Angeles Lakers")</f>
        <v>Los Angeles Lakers</v>
      </c>
      <c r="C307" s="273"/>
      <c r="D307" s="193"/>
      <c r="E307" s="272" t="n">
        <f aca="false">IFERROR(__xludf.dummyfunction("""COMPUTED_VALUE"""),13285713)</f>
        <v>13285713</v>
      </c>
      <c r="F307" s="193"/>
      <c r="G307" s="272" t="n">
        <f aca="false">IFERROR(__xludf.dummyfunction("""COMPUTED_VALUE"""),19928570)</f>
        <v>19928570</v>
      </c>
      <c r="H307" s="193" t="str">
        <f aca="false">IFERROR(__xludf.dummyfunction("""COMPUTED_VALUE"""),"UFA - Bird")</f>
        <v>UFA - Bird</v>
      </c>
      <c r="I307" s="272" t="str">
        <f aca="false">IFERROR(__xludf.dummyfunction("""COMPUTED_VALUE"""),"")</f>
        <v/>
      </c>
      <c r="J307" s="193"/>
      <c r="K307" s="273"/>
      <c r="L307" s="193"/>
      <c r="M307" s="273"/>
      <c r="N307" s="193"/>
      <c r="O307" s="193" t="n">
        <f aca="false">IFERROR(__xludf.dummyfunction("""COMPUTED_VALUE"""),1)</f>
        <v>1</v>
      </c>
      <c r="P307" s="193"/>
      <c r="Q307" s="193"/>
      <c r="R307" s="193"/>
      <c r="S307" s="193"/>
      <c r="T307" s="193"/>
      <c r="U307" s="193"/>
      <c r="V307" s="193"/>
      <c r="W307" s="193"/>
      <c r="X307" s="193"/>
      <c r="Y307" s="193"/>
      <c r="Z307" s="193"/>
    </row>
    <row r="308" customFormat="false" ht="15.75" hidden="false" customHeight="false" outlineLevel="0" collapsed="false">
      <c r="A308" s="193" t="str">
        <f aca="false">IFERROR(__xludf.dummyfunction("""COMPUTED_VALUE"""),"Ayo Dosunmu")</f>
        <v>Ayo Dosunmu</v>
      </c>
      <c r="B308" s="271" t="str">
        <f aca="false">IFERROR(__xludf.dummyfunction("""COMPUTED_VALUE"""),"Los Angeles Lakers")</f>
        <v>Los Angeles Lakers</v>
      </c>
      <c r="C308" s="272" t="n">
        <f aca="false">IFERROR(__xludf.dummyfunction("""COMPUTED_VALUE"""),7000000)</f>
        <v>7000000</v>
      </c>
      <c r="D308" s="193"/>
      <c r="E308" s="272" t="n">
        <f aca="false">IFERROR(__xludf.dummyfunction("""COMPUTED_VALUE"""),7518518)</f>
        <v>7518518</v>
      </c>
      <c r="F308" s="193"/>
      <c r="G308" s="272" t="n">
        <f aca="false">IFERROR(__xludf.dummyfunction("""COMPUTED_VALUE"""),14285184)</f>
        <v>14285184</v>
      </c>
      <c r="H308" s="193" t="str">
        <f aca="false">IFERROR(__xludf.dummyfunction("""COMPUTED_VALUE"""),"UFA - Bird")</f>
        <v>UFA - Bird</v>
      </c>
      <c r="I308" s="272" t="str">
        <f aca="false">IFERROR(__xludf.dummyfunction("""COMPUTED_VALUE"""),"")</f>
        <v/>
      </c>
      <c r="J308" s="193"/>
      <c r="K308" s="273"/>
      <c r="L308" s="193"/>
      <c r="M308" s="273"/>
      <c r="N308" s="193"/>
      <c r="O308" s="193" t="n">
        <f aca="false">IFERROR(__xludf.dummyfunction("""COMPUTED_VALUE"""),1)</f>
        <v>1</v>
      </c>
      <c r="P308" s="193"/>
      <c r="Q308" s="193"/>
      <c r="R308" s="193"/>
      <c r="S308" s="193"/>
      <c r="T308" s="193"/>
      <c r="U308" s="193"/>
      <c r="V308" s="193"/>
      <c r="W308" s="193"/>
      <c r="X308" s="193"/>
      <c r="Y308" s="193"/>
      <c r="Z308" s="193"/>
    </row>
    <row r="309" customFormat="false" ht="15.75" hidden="false" customHeight="false" outlineLevel="0" collapsed="false">
      <c r="A309" s="193" t="str">
        <f aca="false">IFERROR(__xludf.dummyfunction("""COMPUTED_VALUE"""),"Jevon Carter")</f>
        <v>Jevon Carter</v>
      </c>
      <c r="B309" s="271" t="str">
        <f aca="false">IFERROR(__xludf.dummyfunction("""COMPUTED_VALUE"""),"Los Angeles Lakers")</f>
        <v>Los Angeles Lakers</v>
      </c>
      <c r="C309" s="272" t="n">
        <f aca="false">IFERROR(__xludf.dummyfunction("""COMPUTED_VALUE"""),6500000)</f>
        <v>6500000</v>
      </c>
      <c r="D309" s="193"/>
      <c r="E309" s="272" t="n">
        <f aca="false">IFERROR(__xludf.dummyfunction("""COMPUTED_VALUE"""),6809524)</f>
        <v>6809524</v>
      </c>
      <c r="F309" s="193"/>
      <c r="G309" s="272" t="n">
        <f aca="false">IFERROR(__xludf.dummyfunction("""COMPUTED_VALUE"""),12938096)</f>
        <v>12938096</v>
      </c>
      <c r="H309" s="193" t="str">
        <f aca="false">IFERROR(__xludf.dummyfunction("""COMPUTED_VALUE"""),"UFA - Bird")</f>
        <v>UFA - Bird</v>
      </c>
      <c r="I309" s="272" t="str">
        <f aca="false">IFERROR(__xludf.dummyfunction("""COMPUTED_VALUE"""),"")</f>
        <v/>
      </c>
      <c r="J309" s="193"/>
      <c r="K309" s="273"/>
      <c r="L309" s="193"/>
      <c r="M309" s="273"/>
      <c r="N309" s="193"/>
      <c r="O309" s="193" t="n">
        <f aca="false">IFERROR(__xludf.dummyfunction("""COMPUTED_VALUE"""),1)</f>
        <v>1</v>
      </c>
      <c r="P309" s="193"/>
      <c r="Q309" s="193"/>
      <c r="R309" s="193"/>
      <c r="S309" s="193"/>
      <c r="T309" s="193"/>
      <c r="U309" s="193"/>
      <c r="V309" s="193"/>
      <c r="W309" s="193"/>
      <c r="X309" s="193"/>
      <c r="Y309" s="193"/>
      <c r="Z309" s="193"/>
    </row>
    <row r="310" customFormat="false" ht="15.75" hidden="false" customHeight="false" outlineLevel="0" collapsed="false">
      <c r="A310" s="193" t="str">
        <f aca="false">IFERROR(__xludf.dummyfunction("""COMPUTED_VALUE"""),"Gary Payton II")</f>
        <v>Gary Payton II</v>
      </c>
      <c r="B310" s="271" t="str">
        <f aca="false">IFERROR(__xludf.dummyfunction("""COMPUTED_VALUE"""),"Los Angeles Lakers")</f>
        <v>Los Angeles Lakers</v>
      </c>
      <c r="C310" s="272" t="n">
        <f aca="false">IFERROR(__xludf.dummyfunction("""COMPUTED_VALUE"""),9130000)</f>
        <v>9130000</v>
      </c>
      <c r="D310" s="193"/>
      <c r="E310" s="272" t="n">
        <f aca="false">IFERROR(__xludf.dummyfunction("""COMPUTED_VALUE"""),5684666)</f>
        <v>5684666</v>
      </c>
      <c r="F310" s="193"/>
      <c r="G310" s="272" t="n">
        <f aca="false">IFERROR(__xludf.dummyfunction("""COMPUTED_VALUE"""),7390065.8)</f>
        <v>7390065.8</v>
      </c>
      <c r="H310" s="271" t="str">
        <f aca="false">IFERROR(__xludf.dummyfunction("""COMPUTED_VALUE"""),"UFA - Non-Bird")</f>
        <v>UFA - Non-Bird</v>
      </c>
      <c r="I310" s="273"/>
      <c r="J310" s="193"/>
      <c r="K310" s="273"/>
      <c r="L310" s="193"/>
      <c r="M310" s="273"/>
      <c r="N310" s="193"/>
      <c r="O310" s="193" t="n">
        <f aca="false">IFERROR(__xludf.dummyfunction("""COMPUTED_VALUE"""),1)</f>
        <v>1</v>
      </c>
      <c r="P310" s="193"/>
      <c r="Q310" s="193"/>
      <c r="R310" s="193"/>
      <c r="S310" s="193"/>
      <c r="T310" s="193"/>
      <c r="U310" s="193"/>
      <c r="V310" s="193"/>
      <c r="W310" s="193"/>
      <c r="X310" s="193"/>
      <c r="Y310" s="193"/>
      <c r="Z310" s="193"/>
    </row>
    <row r="311" customFormat="false" ht="15.75" hidden="false" customHeight="false" outlineLevel="0" collapsed="false">
      <c r="A311" s="193" t="str">
        <f aca="false">IFERROR(__xludf.dummyfunction("""COMPUTED_VALUE"""),"Jericho Sims")</f>
        <v>Jericho Sims</v>
      </c>
      <c r="B311" s="271" t="str">
        <f aca="false">IFERROR(__xludf.dummyfunction("""COMPUTED_VALUE"""),"Los Angeles Lakers")</f>
        <v>Los Angeles Lakers</v>
      </c>
      <c r="C311" s="272" t="n">
        <f aca="false">IFERROR(__xludf.dummyfunction("""COMPUTED_VALUE"""),2092344)</f>
        <v>2092344</v>
      </c>
      <c r="D311" s="193"/>
      <c r="E311" s="272" t="n">
        <f aca="false">IFERROR(__xludf.dummyfunction("""COMPUTED_VALUE"""),2296271)</f>
        <v>2296271</v>
      </c>
      <c r="F311" s="193"/>
      <c r="G311" s="272" t="n">
        <f aca="false">IFERROR(__xludf.dummyfunction("""COMPUTED_VALUE"""),2525898.1)</f>
        <v>2525898.1</v>
      </c>
      <c r="H311" s="271" t="str">
        <f aca="false">IFERROR(__xludf.dummyfunction("""COMPUTED_VALUE"""),"UFA - Non-Bird")</f>
        <v>UFA - Non-Bird</v>
      </c>
      <c r="I311" s="273"/>
      <c r="J311" s="193"/>
      <c r="K311" s="273"/>
      <c r="L311" s="193"/>
      <c r="M311" s="273"/>
      <c r="N311" s="193"/>
      <c r="O311" s="193" t="n">
        <f aca="false">IFERROR(__xludf.dummyfunction("""COMPUTED_VALUE"""),1)</f>
        <v>1</v>
      </c>
      <c r="P311" s="193"/>
      <c r="Q311" s="193"/>
      <c r="R311" s="193"/>
      <c r="S311" s="193"/>
      <c r="T311" s="193"/>
      <c r="U311" s="193"/>
      <c r="V311" s="193"/>
      <c r="W311" s="193"/>
      <c r="X311" s="193"/>
      <c r="Y311" s="193"/>
      <c r="Z311" s="193"/>
    </row>
    <row r="312" customFormat="false" ht="15.75" hidden="false" customHeight="false" outlineLevel="0" collapsed="false">
      <c r="A312" s="193" t="str">
        <f aca="false">IFERROR(__xludf.dummyfunction("""COMPUTED_VALUE"""),"Guerschon Yabusele")</f>
        <v>Guerschon Yabusele</v>
      </c>
      <c r="B312" s="271" t="str">
        <f aca="false">IFERROR(__xludf.dummyfunction("""COMPUTED_VALUE"""),"Los Angeles Lakers")</f>
        <v>Los Angeles Lakers</v>
      </c>
      <c r="C312" s="272" t="n">
        <f aca="false">IFERROR(__xludf.dummyfunction("""COMPUTED_VALUE"""),2087519)</f>
        <v>2087519</v>
      </c>
      <c r="D312" s="193"/>
      <c r="E312" s="272" t="n">
        <f aca="false">IFERROR(__xludf.dummyfunction("""COMPUTED_VALUE"""),2296271)</f>
        <v>2296271</v>
      </c>
      <c r="F312" s="193"/>
      <c r="G312" s="272" t="n">
        <f aca="false">IFERROR(__xludf.dummyfunction("""COMPUTED_VALUE"""),2525898.1)</f>
        <v>2525898.1</v>
      </c>
      <c r="H312" s="271" t="str">
        <f aca="false">IFERROR(__xludf.dummyfunction("""COMPUTED_VALUE"""),"UFA - Non-Bird")</f>
        <v>UFA - Non-Bird</v>
      </c>
      <c r="I312" s="273"/>
      <c r="J312" s="193"/>
      <c r="K312" s="273"/>
      <c r="L312" s="193"/>
      <c r="M312" s="273"/>
      <c r="N312" s="193"/>
      <c r="O312" s="193" t="n">
        <f aca="false">IFERROR(__xludf.dummyfunction("""COMPUTED_VALUE"""),1)</f>
        <v>1</v>
      </c>
      <c r="P312" s="193"/>
      <c r="Q312" s="193"/>
      <c r="R312" s="193"/>
      <c r="S312" s="193"/>
      <c r="T312" s="193"/>
      <c r="U312" s="193"/>
      <c r="V312" s="193"/>
      <c r="W312" s="193"/>
      <c r="X312" s="193"/>
      <c r="Y312" s="193"/>
      <c r="Z312" s="193"/>
    </row>
    <row r="313" customFormat="false" ht="15.75" hidden="false" customHeight="false" outlineLevel="0" collapsed="false">
      <c r="A313" s="193" t="str">
        <f aca="false">IFERROR(__xludf.dummyfunction("""COMPUTED_VALUE"""),"Tim Hardaway Jr.")</f>
        <v>Tim Hardaway Jr.</v>
      </c>
      <c r="B313" s="271" t="str">
        <f aca="false">IFERROR(__xludf.dummyfunction("""COMPUTED_VALUE"""),"Los Angeles Lakers")</f>
        <v>Los Angeles Lakers</v>
      </c>
      <c r="C313" s="272" t="n">
        <f aca="false">IFERROR(__xludf.dummyfunction("""COMPUTED_VALUE"""),16193183)</f>
        <v>16193183</v>
      </c>
      <c r="D313" s="193"/>
      <c r="E313" s="272" t="n">
        <f aca="false">IFERROR(__xludf.dummyfunction("""COMPUTED_VALUE"""),2296271)</f>
        <v>2296271</v>
      </c>
      <c r="F313" s="193"/>
      <c r="G313" s="272" t="n">
        <f aca="false">IFERROR(__xludf.dummyfunction("""COMPUTED_VALUE"""),2525898.1)</f>
        <v>2525898.1</v>
      </c>
      <c r="H313" s="193" t="str">
        <f aca="false">IFERROR(__xludf.dummyfunction("""COMPUTED_VALUE"""),"UFA - Non-Bird")</f>
        <v>UFA - Non-Bird</v>
      </c>
      <c r="I313" s="273"/>
      <c r="J313" s="193"/>
      <c r="K313" s="273"/>
      <c r="L313" s="193"/>
      <c r="M313" s="273"/>
      <c r="N313" s="193"/>
      <c r="O313" s="193" t="n">
        <f aca="false">IFERROR(__xludf.dummyfunction("""COMPUTED_VALUE"""),1)</f>
        <v>1</v>
      </c>
      <c r="P313" s="193"/>
      <c r="Q313" s="193"/>
      <c r="R313" s="193"/>
      <c r="S313" s="193"/>
      <c r="T313" s="193"/>
      <c r="U313" s="193"/>
      <c r="V313" s="193"/>
      <c r="W313" s="193"/>
      <c r="X313" s="193"/>
      <c r="Y313" s="193"/>
      <c r="Z313" s="193"/>
    </row>
    <row r="314" customFormat="false" ht="15.75" hidden="false" customHeight="false" outlineLevel="0" collapsed="false">
      <c r="A314" s="193" t="str">
        <f aca="false">IFERROR(__xludf.dummyfunction("""COMPUTED_VALUE"""),"Brandon Williams")</f>
        <v>Brandon Williams</v>
      </c>
      <c r="B314" s="271" t="str">
        <f aca="false">IFERROR(__xludf.dummyfunction("""COMPUTED_VALUE"""),"Los Angeles Lakers")</f>
        <v>Los Angeles Lakers</v>
      </c>
      <c r="C314" s="273"/>
      <c r="D314" s="193"/>
      <c r="E314" s="272" t="n">
        <f aca="false">IFERROR(__xludf.dummyfunction("""COMPUTED_VALUE"""),2270735)</f>
        <v>2270735</v>
      </c>
      <c r="F314" s="193"/>
      <c r="G314" s="272" t="n">
        <f aca="false">IFERROR(__xludf.dummyfunction("""COMPUTED_VALUE"""),2525905)</f>
        <v>2525905</v>
      </c>
      <c r="H314" s="193" t="str">
        <f aca="false">IFERROR(__xludf.dummyfunction("""COMPUTED_VALUE"""),"UFA - Bird")</f>
        <v>UFA - Bird</v>
      </c>
      <c r="I314" s="273"/>
      <c r="J314" s="193"/>
      <c r="K314" s="273"/>
      <c r="L314" s="193"/>
      <c r="M314" s="273"/>
      <c r="N314" s="193"/>
      <c r="O314" s="193" t="n">
        <f aca="false">IFERROR(__xludf.dummyfunction("""COMPUTED_VALUE"""),1)</f>
        <v>1</v>
      </c>
      <c r="P314" s="193"/>
      <c r="Q314" s="193"/>
      <c r="R314" s="193"/>
      <c r="S314" s="193"/>
      <c r="T314" s="193"/>
      <c r="U314" s="193"/>
      <c r="V314" s="193"/>
      <c r="W314" s="193"/>
      <c r="X314" s="193"/>
      <c r="Y314" s="193"/>
      <c r="Z314" s="193"/>
    </row>
    <row r="315" customFormat="false" ht="15.75" hidden="false" customHeight="false" outlineLevel="0" collapsed="false">
      <c r="A315" s="193" t="str">
        <f aca="false">IFERROR(__xludf.dummyfunction("""COMPUTED_VALUE"""),"Bronny James")</f>
        <v>Bronny James</v>
      </c>
      <c r="B315" s="271" t="str">
        <f aca="false">IFERROR(__xludf.dummyfunction("""COMPUTED_VALUE"""),"Los Angeles Lakers")</f>
        <v>Los Angeles Lakers</v>
      </c>
      <c r="C315" s="272" t="n">
        <f aca="false">IFERROR(__xludf.dummyfunction("""COMPUTED_VALUE"""),1157153)</f>
        <v>1157153</v>
      </c>
      <c r="D315" s="193"/>
      <c r="E315" s="272" t="n">
        <f aca="false">IFERROR(__xludf.dummyfunction("""COMPUTED_VALUE"""),1955377)</f>
        <v>1955377</v>
      </c>
      <c r="F315" s="193"/>
      <c r="G315" s="272" t="n">
        <f aca="false">IFERROR(__xludf.dummyfunction("""COMPUTED_VALUE"""),2296271)</f>
        <v>2296271</v>
      </c>
      <c r="H315" s="271" t="str">
        <f aca="false">IFERROR(__xludf.dummyfunction("""COMPUTED_VALUE"""),"1.25 Mil Guaranteed")</f>
        <v>1.25 Mil Guaranteed</v>
      </c>
      <c r="I315" s="272" t="n">
        <f aca="false">IFERROR(__xludf.dummyfunction("""COMPUTED_VALUE"""),2486995)</f>
        <v>2486995</v>
      </c>
      <c r="J315" s="271" t="str">
        <f aca="false">IFERROR(__xludf.dummyfunction("""COMPUTED_VALUE"""),"Club Option")</f>
        <v>Club Option</v>
      </c>
      <c r="K315" s="272" t="n">
        <f aca="false">IFERROR(__xludf.dummyfunction("""COMPUTED_VALUE"""),3056337)</f>
        <v>3056337</v>
      </c>
      <c r="L315" s="271" t="str">
        <f aca="false">IFERROR(__xludf.dummyfunction("""COMPUTED_VALUE"""),"UFA - Bird")</f>
        <v>UFA - Bird</v>
      </c>
      <c r="M315" s="273"/>
      <c r="N315" s="193"/>
      <c r="O315" s="193" t="n">
        <f aca="false">IFERROR(__xludf.dummyfunction("""COMPUTED_VALUE"""),1)</f>
        <v>1</v>
      </c>
      <c r="P315" s="193"/>
      <c r="Q315" s="193"/>
      <c r="R315" s="193"/>
      <c r="S315" s="193"/>
      <c r="T315" s="193"/>
      <c r="U315" s="193"/>
      <c r="V315" s="193"/>
      <c r="W315" s="193"/>
      <c r="X315" s="193"/>
      <c r="Y315" s="193"/>
      <c r="Z315" s="193"/>
    </row>
    <row r="316" customFormat="false" ht="15.75" hidden="false" customHeight="false" outlineLevel="0" collapsed="false">
      <c r="A316" s="193" t="str">
        <f aca="false">IFERROR(__xludf.dummyfunction("""COMPUTED_VALUE"""),"Alex Len")</f>
        <v>Alex Len</v>
      </c>
      <c r="B316" s="271" t="str">
        <f aca="false">IFERROR(__xludf.dummyfunction("""COMPUTED_VALUE"""),"Los Angeles Lakers")</f>
        <v>Los Angeles Lakers</v>
      </c>
      <c r="C316" s="272" t="n">
        <f aca="false">IFERROR(__xludf.dummyfunction("""COMPUTED_VALUE"""),743829)</f>
        <v>743829</v>
      </c>
      <c r="D316" s="193"/>
      <c r="E316" s="273"/>
      <c r="F316" s="271" t="str">
        <f aca="false">IFERROR(__xludf.dummyfunction("""COMPUTED_VALUE"""),"UFA - Rights Renounced")</f>
        <v>UFA - Rights Renounced</v>
      </c>
      <c r="G316" s="272" t="str">
        <f aca="false">IFERROR(__xludf.dummyfunction("""COMPUTED_VALUE"""),"")</f>
        <v/>
      </c>
      <c r="H316" s="193"/>
      <c r="I316" s="272" t="str">
        <f aca="false">IFERROR(__xludf.dummyfunction("""COMPUTED_VALUE"""),"")</f>
        <v/>
      </c>
      <c r="J316" s="193"/>
      <c r="K316" s="273"/>
      <c r="L316" s="193"/>
      <c r="M316" s="273"/>
      <c r="N316" s="193"/>
      <c r="O316" s="193" t="n">
        <f aca="false">IFERROR(__xludf.dummyfunction("""COMPUTED_VALUE"""),1)</f>
        <v>1</v>
      </c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</row>
    <row r="317" customFormat="false" ht="15.75" hidden="false" customHeight="false" outlineLevel="0" collapsed="false">
      <c r="A317" s="193" t="str">
        <f aca="false">IFERROR(__xludf.dummyfunction("""COMPUTED_VALUE"""),"Avery Bradley")</f>
        <v>Avery Bradley</v>
      </c>
      <c r="B317" s="271" t="str">
        <f aca="false">IFERROR(__xludf.dummyfunction("""COMPUTED_VALUE"""),"Los Angeles Lakers")</f>
        <v>Los Angeles Lakers</v>
      </c>
      <c r="C317" s="272" t="n">
        <f aca="false">IFERROR(__xludf.dummyfunction("""COMPUTED_VALUE"""),2087519)</f>
        <v>2087519</v>
      </c>
      <c r="D317" s="271" t="str">
        <f aca="false">IFERROR(__xludf.dummyfunction("""COMPUTED_VALUE"""),"UFA - Non-Bird")</f>
        <v>UFA - Non-Bird</v>
      </c>
      <c r="E317" s="273"/>
      <c r="F317" s="271" t="str">
        <f aca="false">IFERROR(__xludf.dummyfunction("""COMPUTED_VALUE"""),"UFA - Rights Renounced")</f>
        <v>UFA - Rights Renounced</v>
      </c>
      <c r="G317" s="273"/>
      <c r="H317" s="193"/>
      <c r="I317" s="273"/>
      <c r="J317" s="193"/>
      <c r="K317" s="273"/>
      <c r="L317" s="193"/>
      <c r="M317" s="273"/>
      <c r="N317" s="193"/>
      <c r="O317" s="193" t="n">
        <f aca="false">IFERROR(__xludf.dummyfunction("""COMPUTED_VALUE"""),1)</f>
        <v>1</v>
      </c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</row>
    <row r="318" customFormat="false" ht="15.75" hidden="false" customHeight="false" outlineLevel="0" collapsed="false">
      <c r="A318" s="193" t="str">
        <f aca="false">IFERROR(__xludf.dummyfunction("""COMPUTED_VALUE"""),"Carmelo Anthony")</f>
        <v>Carmelo Anthony</v>
      </c>
      <c r="B318" s="271" t="str">
        <f aca="false">IFERROR(__xludf.dummyfunction("""COMPUTED_VALUE"""),"Los Angeles Lakers")</f>
        <v>Los Angeles Lakers</v>
      </c>
      <c r="C318" s="272" t="n">
        <f aca="false">IFERROR(__xludf.dummyfunction("""COMPUTED_VALUE"""),2087519)</f>
        <v>2087519</v>
      </c>
      <c r="D318" s="271" t="str">
        <f aca="false">IFERROR(__xludf.dummyfunction("""COMPUTED_VALUE"""),"UFA - Non-Bird")</f>
        <v>UFA - Non-Bird</v>
      </c>
      <c r="E318" s="273"/>
      <c r="F318" s="271" t="str">
        <f aca="false">IFERROR(__xludf.dummyfunction("""COMPUTED_VALUE"""),"UFA - Rights Renounced")</f>
        <v>UFA - Rights Renounced</v>
      </c>
      <c r="G318" s="273"/>
      <c r="H318" s="193"/>
      <c r="I318" s="273"/>
      <c r="J318" s="193"/>
      <c r="K318" s="273"/>
      <c r="L318" s="193"/>
      <c r="M318" s="273"/>
      <c r="N318" s="193"/>
      <c r="O318" s="193" t="n">
        <f aca="false">IFERROR(__xludf.dummyfunction("""COMPUTED_VALUE"""),1)</f>
        <v>1</v>
      </c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</row>
    <row r="319" customFormat="false" ht="15.75" hidden="false" customHeight="false" outlineLevel="0" collapsed="false">
      <c r="A319" s="193" t="str">
        <f aca="false">IFERROR(__xludf.dummyfunction("""COMPUTED_VALUE"""),"Dion Waiters")</f>
        <v>Dion Waiters</v>
      </c>
      <c r="B319" s="271" t="str">
        <f aca="false">IFERROR(__xludf.dummyfunction("""COMPUTED_VALUE"""),"Los Angeles Lakers")</f>
        <v>Los Angeles Lakers</v>
      </c>
      <c r="C319" s="272" t="n">
        <f aca="false">IFERROR(__xludf.dummyfunction("""COMPUTED_VALUE"""),2087519)</f>
        <v>2087519</v>
      </c>
      <c r="D319" s="271" t="str">
        <f aca="false">IFERROR(__xludf.dummyfunction("""COMPUTED_VALUE"""),"UFA - Non-Bird")</f>
        <v>UFA - Non-Bird</v>
      </c>
      <c r="E319" s="273"/>
      <c r="F319" s="271" t="str">
        <f aca="false">IFERROR(__xludf.dummyfunction("""COMPUTED_VALUE"""),"UFA - Rights Renounced")</f>
        <v>UFA - Rights Renounced</v>
      </c>
      <c r="G319" s="273"/>
      <c r="H319" s="193"/>
      <c r="I319" s="273"/>
      <c r="J319" s="193"/>
      <c r="K319" s="273"/>
      <c r="L319" s="193"/>
      <c r="M319" s="273"/>
      <c r="N319" s="193"/>
      <c r="O319" s="193" t="n">
        <f aca="false">IFERROR(__xludf.dummyfunction("""COMPUTED_VALUE"""),1)</f>
        <v>1</v>
      </c>
      <c r="P319" s="193"/>
      <c r="Q319" s="193"/>
      <c r="R319" s="193"/>
      <c r="S319" s="193"/>
      <c r="T319" s="193"/>
      <c r="U319" s="193"/>
      <c r="V319" s="193"/>
      <c r="W319" s="193"/>
      <c r="X319" s="193"/>
      <c r="Y319" s="193"/>
      <c r="Z319" s="193"/>
    </row>
    <row r="320" customFormat="false" ht="15.75" hidden="false" customHeight="false" outlineLevel="0" collapsed="false">
      <c r="A320" s="193" t="str">
        <f aca="false">IFERROR(__xludf.dummyfunction("""COMPUTED_VALUE"""),"Dwight Howard")</f>
        <v>Dwight Howard</v>
      </c>
      <c r="B320" s="271" t="str">
        <f aca="false">IFERROR(__xludf.dummyfunction("""COMPUTED_VALUE"""),"Los Angeles Lakers")</f>
        <v>Los Angeles Lakers</v>
      </c>
      <c r="C320" s="272" t="n">
        <f aca="false">IFERROR(__xludf.dummyfunction("""COMPUTED_VALUE"""),2087519)</f>
        <v>2087519</v>
      </c>
      <c r="D320" s="271" t="str">
        <f aca="false">IFERROR(__xludf.dummyfunction("""COMPUTED_VALUE"""),"UFA - Non-Bird")</f>
        <v>UFA - Non-Bird</v>
      </c>
      <c r="E320" s="273"/>
      <c r="F320" s="271" t="str">
        <f aca="false">IFERROR(__xludf.dummyfunction("""COMPUTED_VALUE"""),"UFA - Rights Renounced")</f>
        <v>UFA - Rights Renounced</v>
      </c>
      <c r="G320" s="273"/>
      <c r="H320" s="193"/>
      <c r="I320" s="273"/>
      <c r="J320" s="193"/>
      <c r="K320" s="273"/>
      <c r="L320" s="193"/>
      <c r="M320" s="273"/>
      <c r="N320" s="193"/>
      <c r="O320" s="193" t="n">
        <f aca="false">IFERROR(__xludf.dummyfunction("""COMPUTED_VALUE"""),1)</f>
        <v>1</v>
      </c>
      <c r="P320" s="193"/>
      <c r="Q320" s="193"/>
      <c r="R320" s="193"/>
      <c r="S320" s="193"/>
      <c r="T320" s="193"/>
      <c r="U320" s="193"/>
      <c r="V320" s="193"/>
      <c r="W320" s="193"/>
      <c r="X320" s="193"/>
      <c r="Y320" s="193"/>
      <c r="Z320" s="193"/>
    </row>
    <row r="321" customFormat="false" ht="15.75" hidden="false" customHeight="false" outlineLevel="0" collapsed="false">
      <c r="A321" s="193" t="str">
        <f aca="false">IFERROR(__xludf.dummyfunction("""COMPUTED_VALUE"""),"Jared Dudley")</f>
        <v>Jared Dudley</v>
      </c>
      <c r="B321" s="271" t="str">
        <f aca="false">IFERROR(__xludf.dummyfunction("""COMPUTED_VALUE"""),"Los Angeles Lakers")</f>
        <v>Los Angeles Lakers</v>
      </c>
      <c r="C321" s="272" t="n">
        <f aca="false">IFERROR(__xludf.dummyfunction("""COMPUTED_VALUE"""),2087519)</f>
        <v>2087519</v>
      </c>
      <c r="D321" s="271" t="str">
        <f aca="false">IFERROR(__xludf.dummyfunction("""COMPUTED_VALUE"""),"UFA - Non-Bird")</f>
        <v>UFA - Non-Bird</v>
      </c>
      <c r="E321" s="273"/>
      <c r="F321" s="271" t="str">
        <f aca="false">IFERROR(__xludf.dummyfunction("""COMPUTED_VALUE"""),"UFA - Rights Renounced")</f>
        <v>UFA - Rights Renounced</v>
      </c>
      <c r="G321" s="273"/>
      <c r="H321" s="193"/>
      <c r="I321" s="273"/>
      <c r="J321" s="193"/>
      <c r="K321" s="273"/>
      <c r="L321" s="193"/>
      <c r="M321" s="273"/>
      <c r="N321" s="193"/>
      <c r="O321" s="193" t="n">
        <f aca="false">IFERROR(__xludf.dummyfunction("""COMPUTED_VALUE"""),1)</f>
        <v>1</v>
      </c>
      <c r="P321" s="193"/>
      <c r="Q321" s="193"/>
      <c r="R321" s="193"/>
      <c r="S321" s="193"/>
      <c r="T321" s="193"/>
      <c r="U321" s="193"/>
      <c r="V321" s="193"/>
      <c r="W321" s="193"/>
      <c r="X321" s="193"/>
      <c r="Y321" s="193"/>
      <c r="Z321" s="193"/>
    </row>
    <row r="322" customFormat="false" ht="15.75" hidden="false" customHeight="false" outlineLevel="0" collapsed="false">
      <c r="A322" s="193" t="str">
        <f aca="false">IFERROR(__xludf.dummyfunction("""COMPUTED_VALUE"""),"Jaxson Hayes")</f>
        <v>Jaxson Hayes</v>
      </c>
      <c r="B322" s="271" t="str">
        <f aca="false">IFERROR(__xludf.dummyfunction("""COMPUTED_VALUE"""),"Los Angeles Lakers")</f>
        <v>Los Angeles Lakers</v>
      </c>
      <c r="C322" s="272" t="n">
        <f aca="false">IFERROR(__xludf.dummyfunction("""COMPUTED_VALUE"""),2463946)</f>
        <v>2463946</v>
      </c>
      <c r="D322" s="193"/>
      <c r="E322" s="273"/>
      <c r="F322" s="271" t="str">
        <f aca="false">IFERROR(__xludf.dummyfunction("""COMPUTED_VALUE"""),"UFA - Rights Renounced")</f>
        <v>UFA - Rights Renounced</v>
      </c>
      <c r="G322" s="273"/>
      <c r="H322" s="193"/>
      <c r="I322" s="272" t="str">
        <f aca="false">IFERROR(__xludf.dummyfunction("""COMPUTED_VALUE"""),"")</f>
        <v/>
      </c>
      <c r="J322" s="193"/>
      <c r="K322" s="273"/>
      <c r="L322" s="193"/>
      <c r="M322" s="273"/>
      <c r="N322" s="193"/>
      <c r="O322" s="193" t="n">
        <f aca="false">IFERROR(__xludf.dummyfunction("""COMPUTED_VALUE"""),1)</f>
        <v>1</v>
      </c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</row>
    <row r="323" customFormat="false" ht="15.75" hidden="false" customHeight="false" outlineLevel="0" collapsed="false">
      <c r="A323" s="193" t="str">
        <f aca="false">IFERROR(__xludf.dummyfunction("""COMPUTED_VALUE"""),"Jordan Goodwin")</f>
        <v>Jordan Goodwin</v>
      </c>
      <c r="B323" s="271" t="str">
        <f aca="false">IFERROR(__xludf.dummyfunction("""COMPUTED_VALUE"""),"Los Angeles Lakers")</f>
        <v>Los Angeles Lakers</v>
      </c>
      <c r="C323" s="272" t="n">
        <f aca="false">IFERROR(__xludf.dummyfunction("""COMPUTED_VALUE"""),223718)</f>
        <v>223718</v>
      </c>
      <c r="D323" s="193"/>
      <c r="E323" s="273"/>
      <c r="F323" s="271" t="str">
        <f aca="false">IFERROR(__xludf.dummyfunction("""COMPUTED_VALUE"""),"UFA - Rights Renounced")</f>
        <v>UFA - Rights Renounced</v>
      </c>
      <c r="G323" s="273"/>
      <c r="H323" s="193"/>
      <c r="I323" s="272" t="str">
        <f aca="false">IFERROR(__xludf.dummyfunction("""COMPUTED_VALUE"""),"")</f>
        <v/>
      </c>
      <c r="J323" s="193"/>
      <c r="K323" s="273"/>
      <c r="L323" s="193"/>
      <c r="M323" s="273"/>
      <c r="N323" s="193"/>
      <c r="O323" s="193" t="n">
        <f aca="false">IFERROR(__xludf.dummyfunction("""COMPUTED_VALUE"""),1)</f>
        <v>1</v>
      </c>
      <c r="P323" s="193"/>
      <c r="Q323" s="193"/>
      <c r="R323" s="193"/>
      <c r="S323" s="193"/>
      <c r="T323" s="193"/>
      <c r="U323" s="193"/>
      <c r="V323" s="193"/>
      <c r="W323" s="193"/>
      <c r="X323" s="193"/>
      <c r="Y323" s="193"/>
      <c r="Z323" s="193"/>
    </row>
    <row r="324" customFormat="false" ht="15.75" hidden="false" customHeight="false" outlineLevel="0" collapsed="false">
      <c r="A324" s="193" t="str">
        <f aca="false">IFERROR(__xludf.dummyfunction("""COMPUTED_VALUE"""),"Markieff Morris")</f>
        <v>Markieff Morris</v>
      </c>
      <c r="B324" s="271" t="str">
        <f aca="false">IFERROR(__xludf.dummyfunction("""COMPUTED_VALUE"""),"Los Angeles Lakers")</f>
        <v>Los Angeles Lakers</v>
      </c>
      <c r="C324" s="272" t="n">
        <f aca="false">IFERROR(__xludf.dummyfunction("""COMPUTED_VALUE"""),2087519)</f>
        <v>2087519</v>
      </c>
      <c r="D324" s="193"/>
      <c r="E324" s="273"/>
      <c r="F324" s="271" t="str">
        <f aca="false">IFERROR(__xludf.dummyfunction("""COMPUTED_VALUE"""),"UFA - Rights Renounced")</f>
        <v>UFA - Rights Renounced</v>
      </c>
      <c r="G324" s="273"/>
      <c r="H324" s="193"/>
      <c r="I324" s="272" t="str">
        <f aca="false">IFERROR(__xludf.dummyfunction("""COMPUTED_VALUE"""),"")</f>
        <v/>
      </c>
      <c r="J324" s="193"/>
      <c r="K324" s="273"/>
      <c r="L324" s="193"/>
      <c r="M324" s="273"/>
      <c r="N324" s="193"/>
      <c r="O324" s="193" t="n">
        <f aca="false">IFERROR(__xludf.dummyfunction("""COMPUTED_VALUE"""),1)</f>
        <v>1</v>
      </c>
      <c r="P324" s="193"/>
      <c r="Q324" s="193"/>
      <c r="R324" s="193"/>
      <c r="S324" s="193"/>
      <c r="T324" s="193"/>
      <c r="U324" s="193"/>
      <c r="V324" s="193"/>
      <c r="W324" s="193"/>
      <c r="X324" s="193"/>
      <c r="Y324" s="193"/>
      <c r="Z324" s="193"/>
    </row>
    <row r="325" customFormat="false" ht="15.75" hidden="false" customHeight="false" outlineLevel="0" collapsed="false">
      <c r="A325" s="193" t="str">
        <f aca="false">IFERROR(__xludf.dummyfunction("""COMPUTED_VALUE"""),"Wayne Ellington")</f>
        <v>Wayne Ellington</v>
      </c>
      <c r="B325" s="271" t="str">
        <f aca="false">IFERROR(__xludf.dummyfunction("""COMPUTED_VALUE"""),"Los Angeles Lakers")</f>
        <v>Los Angeles Lakers</v>
      </c>
      <c r="C325" s="272" t="n">
        <f aca="false">IFERROR(__xludf.dummyfunction("""COMPUTED_VALUE"""),2087519)</f>
        <v>2087519</v>
      </c>
      <c r="D325" s="271" t="str">
        <f aca="false">IFERROR(__xludf.dummyfunction("""COMPUTED_VALUE"""),"UFA - Non-Bird")</f>
        <v>UFA - Non-Bird</v>
      </c>
      <c r="E325" s="273"/>
      <c r="F325" s="271" t="str">
        <f aca="false">IFERROR(__xludf.dummyfunction("""COMPUTED_VALUE"""),"UFA - Rights Renounced")</f>
        <v>UFA - Rights Renounced</v>
      </c>
      <c r="G325" s="273"/>
      <c r="H325" s="193"/>
      <c r="I325" s="273"/>
      <c r="J325" s="193"/>
      <c r="K325" s="273"/>
      <c r="L325" s="193"/>
      <c r="M325" s="273"/>
      <c r="N325" s="193"/>
      <c r="O325" s="193" t="n">
        <f aca="false">IFERROR(__xludf.dummyfunction("""COMPUTED_VALUE"""),1)</f>
        <v>1</v>
      </c>
      <c r="P325" s="193"/>
      <c r="Q325" s="193"/>
      <c r="R325" s="193"/>
      <c r="S325" s="193"/>
      <c r="T325" s="193"/>
      <c r="U325" s="193"/>
      <c r="V325" s="193"/>
      <c r="W325" s="193"/>
      <c r="X325" s="193"/>
      <c r="Y325" s="193"/>
      <c r="Z325" s="193"/>
    </row>
    <row r="326" customFormat="false" ht="15.75" hidden="false" customHeight="false" outlineLevel="0" collapsed="false">
      <c r="A326" s="193" t="str">
        <f aca="false">IFERROR(__xludf.dummyfunction("""COMPUTED_VALUE"""),"Zyon Pullin")</f>
        <v>Zyon Pullin</v>
      </c>
      <c r="B326" s="271" t="str">
        <f aca="false">IFERROR(__xludf.dummyfunction("""COMPUTED_VALUE"""),"Memphis Grizzlies")</f>
        <v>Memphis Grizzlies</v>
      </c>
      <c r="C326" s="272" t="str">
        <f aca="false">IFERROR(__xludf.dummyfunction("""COMPUTED_VALUE"""),"Two-way")</f>
        <v>Two-way</v>
      </c>
      <c r="D326" s="271" t="str">
        <f aca="false">IFERROR(__xludf.dummyfunction("""COMPUTED_VALUE"""),"Two-way")</f>
        <v>Two-way</v>
      </c>
      <c r="E326" s="272" t="str">
        <f aca="false">IFERROR(__xludf.dummyfunction("""COMPUTED_VALUE"""),"Two-way")</f>
        <v>Two-way</v>
      </c>
      <c r="F326" s="271" t="str">
        <f aca="false">IFERROR(__xludf.dummyfunction("""COMPUTED_VALUE"""),"Two-way")</f>
        <v>Two-way</v>
      </c>
      <c r="G326" s="272" t="n">
        <f aca="false">IFERROR(__xludf.dummyfunction("""COMPUTED_VALUE"""),2253346)</f>
        <v>2253346</v>
      </c>
      <c r="H326" s="271" t="str">
        <f aca="false">IFERROR(__xludf.dummyfunction("""COMPUTED_VALUE"""),"UFA - Two-way")</f>
        <v>UFA - Two-way</v>
      </c>
      <c r="I326" s="273"/>
      <c r="J326" s="193"/>
      <c r="K326" s="273"/>
      <c r="L326" s="193"/>
      <c r="M326" s="273"/>
      <c r="N326" s="193"/>
      <c r="O326" s="193" t="n">
        <f aca="false">IFERROR(__xludf.dummyfunction("""COMPUTED_VALUE"""),1)</f>
        <v>1</v>
      </c>
      <c r="P326" s="193"/>
      <c r="Q326" s="193"/>
      <c r="R326" s="193"/>
      <c r="S326" s="193"/>
      <c r="T326" s="193"/>
      <c r="U326" s="193"/>
      <c r="V326" s="193"/>
      <c r="W326" s="193"/>
      <c r="X326" s="193"/>
      <c r="Y326" s="193"/>
      <c r="Z326" s="193"/>
    </row>
    <row r="327" customFormat="false" ht="15.75" hidden="false" customHeight="false" outlineLevel="0" collapsed="false">
      <c r="A327" s="193" t="str">
        <f aca="false">IFERROR(__xludf.dummyfunction("""COMPUTED_VALUE"""),"Ja Morant")</f>
        <v>Ja Morant</v>
      </c>
      <c r="B327" s="271" t="str">
        <f aca="false">IFERROR(__xludf.dummyfunction("""COMPUTED_VALUE"""),"Memphis Grizzlies")</f>
        <v>Memphis Grizzlies</v>
      </c>
      <c r="C327" s="272" t="n">
        <f aca="false">IFERROR(__xludf.dummyfunction("""COMPUTED_VALUE"""),36725670)</f>
        <v>36725670</v>
      </c>
      <c r="D327" s="193"/>
      <c r="E327" s="272" t="n">
        <f aca="false">IFERROR(__xludf.dummyfunction("""COMPUTED_VALUE"""),39446090)</f>
        <v>39446090</v>
      </c>
      <c r="F327" s="193"/>
      <c r="G327" s="272" t="n">
        <f aca="false">IFERROR(__xludf.dummyfunction("""COMPUTED_VALUE"""),42166510)</f>
        <v>42166510</v>
      </c>
      <c r="H327" s="193"/>
      <c r="I327" s="272" t="n">
        <f aca="false">IFERROR(__xludf.dummyfunction("""COMPUTED_VALUE"""),44886930)</f>
        <v>44886930</v>
      </c>
      <c r="J327" s="193"/>
      <c r="K327" s="272" t="n">
        <f aca="false">IFERROR(__xludf.dummyfunction("""COMPUTED_VALUE"""),53864316)</f>
        <v>53864316</v>
      </c>
      <c r="L327" s="271" t="str">
        <f aca="false">IFERROR(__xludf.dummyfunction("""COMPUTED_VALUE"""),"UFA - Bird")</f>
        <v>UFA - Bird</v>
      </c>
      <c r="M327" s="273"/>
      <c r="N327" s="193"/>
      <c r="O327" s="193" t="n">
        <f aca="false">IFERROR(__xludf.dummyfunction("""COMPUTED_VALUE"""),1)</f>
        <v>1</v>
      </c>
      <c r="P327" s="193"/>
      <c r="Q327" s="193"/>
      <c r="R327" s="193"/>
      <c r="S327" s="193"/>
      <c r="T327" s="193"/>
      <c r="U327" s="193"/>
      <c r="V327" s="193"/>
      <c r="W327" s="193"/>
      <c r="X327" s="193"/>
      <c r="Y327" s="193"/>
      <c r="Z327" s="193"/>
    </row>
    <row r="328" customFormat="false" ht="15.75" hidden="false" customHeight="false" outlineLevel="0" collapsed="false">
      <c r="A328" s="193" t="str">
        <f aca="false">IFERROR(__xludf.dummyfunction("""COMPUTED_VALUE"""),"Desmond Bane")</f>
        <v>Desmond Bane</v>
      </c>
      <c r="B328" s="271" t="str">
        <f aca="false">IFERROR(__xludf.dummyfunction("""COMPUTED_VALUE"""),"Memphis Grizzlies")</f>
        <v>Memphis Grizzlies</v>
      </c>
      <c r="C328" s="272" t="n">
        <f aca="false">IFERROR(__xludf.dummyfunction("""COMPUTED_VALUE"""),34005250)</f>
        <v>34005250</v>
      </c>
      <c r="D328" s="193"/>
      <c r="E328" s="272" t="n">
        <f aca="false">IFERROR(__xludf.dummyfunction("""COMPUTED_VALUE"""),36725670)</f>
        <v>36725670</v>
      </c>
      <c r="F328" s="193"/>
      <c r="G328" s="272" t="n">
        <f aca="false">IFERROR(__xludf.dummyfunction("""COMPUTED_VALUE"""),39446090)</f>
        <v>39446090</v>
      </c>
      <c r="H328" s="193"/>
      <c r="I328" s="272" t="n">
        <f aca="false">IFERROR(__xludf.dummyfunction("""COMPUTED_VALUE"""),42166510)</f>
        <v>42166510</v>
      </c>
      <c r="J328" s="193"/>
      <c r="K328" s="272" t="n">
        <f aca="false">IFERROR(__xludf.dummyfunction("""COMPUTED_VALUE"""),44886930)</f>
        <v>44886930</v>
      </c>
      <c r="L328" s="193"/>
      <c r="M328" s="272" t="n">
        <f aca="false">IFERROR(__xludf.dummyfunction("""COMPUTED_VALUE"""),67330395)</f>
        <v>67330395</v>
      </c>
      <c r="N328" s="271" t="str">
        <f aca="false">IFERROR(__xludf.dummyfunction("""COMPUTED_VALUE"""),"UFA - Bird")</f>
        <v>UFA - Bird</v>
      </c>
      <c r="O328" s="193" t="n">
        <f aca="false">IFERROR(__xludf.dummyfunction("""COMPUTED_VALUE"""),1)</f>
        <v>1</v>
      </c>
      <c r="P328" s="193"/>
      <c r="Q328" s="193"/>
      <c r="R328" s="193"/>
      <c r="S328" s="193"/>
      <c r="T328" s="193"/>
      <c r="U328" s="193"/>
      <c r="V328" s="193"/>
      <c r="W328" s="193"/>
      <c r="X328" s="193"/>
      <c r="Y328" s="193"/>
      <c r="Z328" s="193"/>
    </row>
    <row r="329" customFormat="false" ht="15.75" hidden="false" customHeight="false" outlineLevel="0" collapsed="false">
      <c r="A329" s="193" t="str">
        <f aca="false">IFERROR(__xludf.dummyfunction("""COMPUTED_VALUE"""),"Jaren Jackson Jr.")</f>
        <v>Jaren Jackson Jr.</v>
      </c>
      <c r="B329" s="271" t="str">
        <f aca="false">IFERROR(__xludf.dummyfunction("""COMPUTED_VALUE"""),"Memphis Grizzlies")</f>
        <v>Memphis Grizzlies</v>
      </c>
      <c r="C329" s="272" t="n">
        <f aca="false">IFERROR(__xludf.dummyfunction("""COMPUTED_VALUE"""),25257798)</f>
        <v>25257798</v>
      </c>
      <c r="D329" s="193"/>
      <c r="E329" s="272" t="n">
        <f aca="false">IFERROR(__xludf.dummyfunction("""COMPUTED_VALUE"""),23413395)</f>
        <v>23413395</v>
      </c>
      <c r="F329" s="193"/>
      <c r="G329" s="272" t="n">
        <f aca="false">IFERROR(__xludf.dummyfunction("""COMPUTED_VALUE"""),35120093)</f>
        <v>35120093</v>
      </c>
      <c r="H329" s="271" t="str">
        <f aca="false">IFERROR(__xludf.dummyfunction("""COMPUTED_VALUE"""),"UFA - Bird")</f>
        <v>UFA - Bird</v>
      </c>
      <c r="I329" s="272" t="str">
        <f aca="false">IFERROR(__xludf.dummyfunction("""COMPUTED_VALUE"""),"")</f>
        <v/>
      </c>
      <c r="J329" s="193"/>
      <c r="K329" s="273"/>
      <c r="L329" s="193"/>
      <c r="M329" s="273"/>
      <c r="N329" s="193"/>
      <c r="O329" s="193" t="n">
        <f aca="false">IFERROR(__xludf.dummyfunction("""COMPUTED_VALUE"""),1)</f>
        <v>1</v>
      </c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</row>
    <row r="330" customFormat="false" ht="15.75" hidden="false" customHeight="false" outlineLevel="0" collapsed="false">
      <c r="A330" s="193" t="str">
        <f aca="false">IFERROR(__xludf.dummyfunction("""COMPUTED_VALUE"""),"Jarrett Allen")</f>
        <v>Jarrett Allen</v>
      </c>
      <c r="B330" s="271" t="str">
        <f aca="false">IFERROR(__xludf.dummyfunction("""COMPUTED_VALUE"""),"Memphis Grizzlies")</f>
        <v>Memphis Grizzlies</v>
      </c>
      <c r="C330" s="272" t="n">
        <f aca="false">IFERROR(__xludf.dummyfunction("""COMPUTED_VALUE"""),20000000)</f>
        <v>20000000</v>
      </c>
      <c r="D330" s="193"/>
      <c r="E330" s="272" t="n">
        <f aca="false">IFERROR(__xludf.dummyfunction("""COMPUTED_VALUE"""),20000000)</f>
        <v>20000000</v>
      </c>
      <c r="F330" s="193"/>
      <c r="G330" s="272" t="n">
        <f aca="false">IFERROR(__xludf.dummyfunction("""COMPUTED_VALUE"""),28000000)</f>
        <v>28000000</v>
      </c>
      <c r="H330" s="193"/>
      <c r="I330" s="272" t="n">
        <f aca="false">IFERROR(__xludf.dummyfunction("""COMPUTED_VALUE"""),30240000)</f>
        <v>30240000</v>
      </c>
      <c r="J330" s="193"/>
      <c r="K330" s="272" t="n">
        <f aca="false">IFERROR(__xludf.dummyfunction("""COMPUTED_VALUE"""),32780000)</f>
        <v>32780000</v>
      </c>
      <c r="L330" s="193"/>
      <c r="M330" s="272" t="n">
        <f aca="false">IFERROR(__xludf.dummyfunction("""COMPUTED_VALUE"""),49170000)</f>
        <v>49170000</v>
      </c>
      <c r="N330" s="193" t="str">
        <f aca="false">IFERROR(__xludf.dummyfunction("""COMPUTED_VALUE"""),"UFA - Bird")</f>
        <v>UFA - Bird</v>
      </c>
      <c r="O330" s="193" t="n">
        <f aca="false">IFERROR(__xludf.dummyfunction("""COMPUTED_VALUE"""),1)</f>
        <v>1</v>
      </c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</row>
    <row r="331" customFormat="false" ht="15.75" hidden="false" customHeight="false" outlineLevel="0" collapsed="false">
      <c r="A331" s="193" t="str">
        <f aca="false">IFERROR(__xludf.dummyfunction("""COMPUTED_VALUE"""),"Marvin Bagley III")</f>
        <v>Marvin Bagley III</v>
      </c>
      <c r="B331" s="271" t="str">
        <f aca="false">IFERROR(__xludf.dummyfunction("""COMPUTED_VALUE"""),"Memphis Grizzlies")</f>
        <v>Memphis Grizzlies</v>
      </c>
      <c r="C331" s="272" t="n">
        <f aca="false">IFERROR(__xludf.dummyfunction("""COMPUTED_VALUE"""),12500000)</f>
        <v>12500000</v>
      </c>
      <c r="D331" s="193"/>
      <c r="E331" s="272" t="n">
        <f aca="false">IFERROR(__xludf.dummyfunction("""COMPUTED_VALUE"""),18750000)</f>
        <v>18750000</v>
      </c>
      <c r="F331" s="271" t="str">
        <f aca="false">IFERROR(__xludf.dummyfunction("""COMPUTED_VALUE"""),"UFA - Bird")</f>
        <v>UFA - Bird</v>
      </c>
      <c r="G331" s="272" t="str">
        <f aca="false">IFERROR(__xludf.dummyfunction("""COMPUTED_VALUE"""),"")</f>
        <v/>
      </c>
      <c r="H331" s="193"/>
      <c r="I331" s="272" t="str">
        <f aca="false">IFERROR(__xludf.dummyfunction("""COMPUTED_VALUE"""),"")</f>
        <v/>
      </c>
      <c r="J331" s="193"/>
      <c r="K331" s="273"/>
      <c r="L331" s="193"/>
      <c r="M331" s="273"/>
      <c r="N331" s="193"/>
      <c r="O331" s="193" t="n">
        <f aca="false">IFERROR(__xludf.dummyfunction("""COMPUTED_VALUE"""),1)</f>
        <v>1</v>
      </c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</row>
    <row r="332" customFormat="false" ht="15.75" hidden="false" customHeight="false" outlineLevel="0" collapsed="false">
      <c r="A332" s="193" t="str">
        <f aca="false">IFERROR(__xludf.dummyfunction("""COMPUTED_VALUE"""),"Larry Nance Jr.")</f>
        <v>Larry Nance Jr.</v>
      </c>
      <c r="B332" s="271" t="str">
        <f aca="false">IFERROR(__xludf.dummyfunction("""COMPUTED_VALUE"""),"Memphis Grizzlies")</f>
        <v>Memphis Grizzlies</v>
      </c>
      <c r="C332" s="272" t="n">
        <f aca="false">IFERROR(__xludf.dummyfunction("""COMPUTED_VALUE"""),11205000)</f>
        <v>11205000</v>
      </c>
      <c r="D332" s="193"/>
      <c r="E332" s="272" t="n">
        <f aca="false">IFERROR(__xludf.dummyfunction("""COMPUTED_VALUE"""),14103788.16)</f>
        <v>14103788.16</v>
      </c>
      <c r="F332" s="193"/>
      <c r="G332" s="272" t="n">
        <f aca="false">IFERROR(__xludf.dummyfunction("""COMPUTED_VALUE"""),13398598.75)</f>
        <v>13398598.75</v>
      </c>
      <c r="H332" s="271" t="str">
        <f aca="false">IFERROR(__xludf.dummyfunction("""COMPUTED_VALUE"""),"Club Option")</f>
        <v>Club Option</v>
      </c>
      <c r="I332" s="272" t="n">
        <f aca="false">IFERROR(__xludf.dummyfunction("""COMPUTED_VALUE"""),17418178.38)</f>
        <v>17418178.38</v>
      </c>
      <c r="J332" s="271" t="str">
        <f aca="false">IFERROR(__xludf.dummyfunction("""COMPUTED_VALUE"""),"UFA - Early Bird")</f>
        <v>UFA - Early Bird</v>
      </c>
      <c r="K332" s="273"/>
      <c r="L332" s="193"/>
      <c r="M332" s="273"/>
      <c r="N332" s="193"/>
      <c r="O332" s="193" t="n">
        <f aca="false">IFERROR(__xludf.dummyfunction("""COMPUTED_VALUE"""),1)</f>
        <v>1</v>
      </c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</row>
    <row r="333" customFormat="false" ht="15.75" hidden="false" customHeight="false" outlineLevel="0" collapsed="false">
      <c r="A333" s="193" t="str">
        <f aca="false">IFERROR(__xludf.dummyfunction("""COMPUTED_VALUE"""),"Corey Kispert")</f>
        <v>Corey Kispert</v>
      </c>
      <c r="B333" s="271" t="str">
        <f aca="false">IFERROR(__xludf.dummyfunction("""COMPUTED_VALUE"""),"Memphis Grizzlies")</f>
        <v>Memphis Grizzlies</v>
      </c>
      <c r="C333" s="273"/>
      <c r="D333" s="193"/>
      <c r="E333" s="272" t="n">
        <f aca="false">IFERROR(__xludf.dummyfunction("""COMPUTED_VALUE"""),13975000)</f>
        <v>13975000</v>
      </c>
      <c r="F333" s="193"/>
      <c r="G333" s="272" t="n">
        <f aca="false">IFERROR(__xludf.dummyfunction("""COMPUTED_VALUE"""),13975000)</f>
        <v>13975000</v>
      </c>
      <c r="H333" s="193"/>
      <c r="I333" s="272" t="n">
        <f aca="false">IFERROR(__xludf.dummyfunction("""COMPUTED_VALUE"""),13025000)</f>
        <v>13025000</v>
      </c>
      <c r="J333" s="193"/>
      <c r="K333" s="272" t="n">
        <f aca="false">IFERROR(__xludf.dummyfunction("""COMPUTED_VALUE"""),13025000)</f>
        <v>13025000</v>
      </c>
      <c r="L333" s="271" t="str">
        <f aca="false">IFERROR(__xludf.dummyfunction("""COMPUTED_VALUE"""),"Club Option")</f>
        <v>Club Option</v>
      </c>
      <c r="M333" s="272" t="n">
        <f aca="false">IFERROR(__xludf.dummyfunction("""COMPUTED_VALUE"""),13025000)</f>
        <v>13025000</v>
      </c>
      <c r="N333" s="271" t="str">
        <f aca="false">IFERROR(__xludf.dummyfunction("""COMPUTED_VALUE"""),"Club Option")</f>
        <v>Club Option</v>
      </c>
      <c r="O333" s="193" t="n">
        <f aca="false">IFERROR(__xludf.dummyfunction("""COMPUTED_VALUE"""),1)</f>
        <v>1</v>
      </c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</row>
    <row r="334" customFormat="false" ht="15.75" hidden="false" customHeight="false" outlineLevel="0" collapsed="false">
      <c r="A334" s="193" t="str">
        <f aca="false">IFERROR(__xludf.dummyfunction("""COMPUTED_VALUE"""),"Jeremy Sochan")</f>
        <v>Jeremy Sochan</v>
      </c>
      <c r="B334" s="271" t="str">
        <f aca="false">IFERROR(__xludf.dummyfunction("""COMPUTED_VALUE"""),"Memphis Grizzlies")</f>
        <v>Memphis Grizzlies</v>
      </c>
      <c r="C334" s="273"/>
      <c r="D334" s="193"/>
      <c r="E334" s="272" t="n">
        <f aca="false">IFERROR(__xludf.dummyfunction("""COMPUTED_VALUE"""),7096231)</f>
        <v>7096231</v>
      </c>
      <c r="F334" s="193"/>
      <c r="G334" s="272" t="n">
        <f aca="false">IFERROR(__xludf.dummyfunction("""COMPUTED_VALUE"""),21288693)</f>
        <v>21288693</v>
      </c>
      <c r="H334" s="271" t="str">
        <f aca="false">IFERROR(__xludf.dummyfunction("""COMPUTED_VALUE"""),"RFA - Bird")</f>
        <v>RFA - Bird</v>
      </c>
      <c r="I334" s="272" t="str">
        <f aca="false">IFERROR(__xludf.dummyfunction("""COMPUTED_VALUE"""),"")</f>
        <v/>
      </c>
      <c r="J334" s="193"/>
      <c r="K334" s="273"/>
      <c r="L334" s="193"/>
      <c r="M334" s="273"/>
      <c r="N334" s="193"/>
      <c r="O334" s="193" t="n">
        <f aca="false">IFERROR(__xludf.dummyfunction("""COMPUTED_VALUE"""),1)</f>
        <v>1</v>
      </c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</row>
    <row r="335" customFormat="false" ht="15.75" hidden="false" customHeight="false" outlineLevel="0" collapsed="false">
      <c r="A335" s="193" t="str">
        <f aca="false">IFERROR(__xludf.dummyfunction("""COMPUTED_VALUE"""),"Zach Edey")</f>
        <v>Zach Edey</v>
      </c>
      <c r="B335" s="271" t="str">
        <f aca="false">IFERROR(__xludf.dummyfunction("""COMPUTED_VALUE"""),"Memphis Grizzlies")</f>
        <v>Memphis Grizzlies</v>
      </c>
      <c r="C335" s="272" t="n">
        <f aca="false">IFERROR(__xludf.dummyfunction("""COMPUTED_VALUE"""),5756880)</f>
        <v>5756880</v>
      </c>
      <c r="D335" s="193"/>
      <c r="E335" s="272" t="n">
        <f aca="false">IFERROR(__xludf.dummyfunction("""COMPUTED_VALUE"""),6045000)</f>
        <v>6045000</v>
      </c>
      <c r="F335" s="193"/>
      <c r="G335" s="272" t="n">
        <f aca="false">IFERROR(__xludf.dummyfunction("""COMPUTED_VALUE"""),6332760)</f>
        <v>6332760</v>
      </c>
      <c r="H335" s="271" t="str">
        <f aca="false">IFERROR(__xludf.dummyfunction("""COMPUTED_VALUE"""),"Club Option")</f>
        <v>Club Option</v>
      </c>
      <c r="I335" s="272" t="n">
        <f aca="false">IFERROR(__xludf.dummyfunction("""COMPUTED_VALUE"""),8067937)</f>
        <v>8067937</v>
      </c>
      <c r="J335" s="271" t="str">
        <f aca="false">IFERROR(__xludf.dummyfunction("""COMPUTED_VALUE"""),"Club Option")</f>
        <v>Club Option</v>
      </c>
      <c r="K335" s="272" t="n">
        <f aca="false">IFERROR(__xludf.dummyfunction("""COMPUTED_VALUE"""),24203811)</f>
        <v>24203811</v>
      </c>
      <c r="L335" s="271" t="str">
        <f aca="false">IFERROR(__xludf.dummyfunction("""COMPUTED_VALUE"""),"RFA - Bird")</f>
        <v>RFA - Bird</v>
      </c>
      <c r="M335" s="273"/>
      <c r="N335" s="193"/>
      <c r="O335" s="193" t="n">
        <f aca="false">IFERROR(__xludf.dummyfunction("""COMPUTED_VALUE"""),1)</f>
        <v>1</v>
      </c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</row>
    <row r="336" customFormat="false" ht="15.75" hidden="false" customHeight="false" outlineLevel="0" collapsed="false">
      <c r="A336" s="193" t="str">
        <f aca="false">IFERROR(__xludf.dummyfunction("""COMPUTED_VALUE"""),"Kris Dunn")</f>
        <v>Kris Dunn</v>
      </c>
      <c r="B336" s="271" t="str">
        <f aca="false">IFERROR(__xludf.dummyfunction("""COMPUTED_VALUE"""),"Memphis Grizzlies")</f>
        <v>Memphis Grizzlies</v>
      </c>
      <c r="C336" s="272" t="n">
        <f aca="false">IFERROR(__xludf.dummyfunction("""COMPUTED_VALUE"""),5168000)</f>
        <v>5168000</v>
      </c>
      <c r="D336" s="193"/>
      <c r="E336" s="272" t="n">
        <f aca="false">IFERROR(__xludf.dummyfunction("""COMPUTED_VALUE"""),5426400)</f>
        <v>5426400</v>
      </c>
      <c r="F336" s="193"/>
      <c r="G336" s="272" t="n">
        <f aca="false">IFERROR(__xludf.dummyfunction("""COMPUTED_VALUE"""),5684800)</f>
        <v>5684800</v>
      </c>
      <c r="H336" s="271" t="str">
        <f aca="false">IFERROR(__xludf.dummyfunction("""COMPUTED_VALUE"""),"Non Guaranteed")</f>
        <v>Non Guaranteed</v>
      </c>
      <c r="I336" s="272" t="n">
        <f aca="false">IFERROR(__xludf.dummyfunction("""COMPUTED_VALUE"""),5684800)</f>
        <v>5684800</v>
      </c>
      <c r="J336" s="271" t="str">
        <f aca="false">IFERROR(__xludf.dummyfunction("""COMPUTED_VALUE"""),"UFA - Bird")</f>
        <v>UFA - Bird</v>
      </c>
      <c r="K336" s="273"/>
      <c r="L336" s="193"/>
      <c r="M336" s="273"/>
      <c r="N336" s="193"/>
      <c r="O336" s="193" t="n">
        <f aca="false">IFERROR(__xludf.dummyfunction("""COMPUTED_VALUE"""),1)</f>
        <v>1</v>
      </c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</row>
    <row r="337" customFormat="false" ht="15.75" hidden="false" customHeight="false" outlineLevel="0" collapsed="false">
      <c r="A337" s="193" t="str">
        <f aca="false">IFERROR(__xludf.dummyfunction("""COMPUTED_VALUE"""),"Cory Joseph")</f>
        <v>Cory Joseph</v>
      </c>
      <c r="B337" s="271" t="str">
        <f aca="false">IFERROR(__xludf.dummyfunction("""COMPUTED_VALUE"""),"Memphis Grizzlies")</f>
        <v>Memphis Grizzlies</v>
      </c>
      <c r="C337" s="272" t="n">
        <f aca="false">IFERROR(__xludf.dummyfunction("""COMPUTED_VALUE"""),3303771)</f>
        <v>3303771</v>
      </c>
      <c r="D337" s="193"/>
      <c r="E337" s="272" t="n">
        <f aca="false">IFERROR(__xludf.dummyfunction("""COMPUTED_VALUE"""),3468960)</f>
        <v>3468960</v>
      </c>
      <c r="F337" s="193"/>
      <c r="G337" s="272" t="n">
        <f aca="false">IFERROR(__xludf.dummyfunction("""COMPUTED_VALUE"""),2525905)</f>
        <v>2525905</v>
      </c>
      <c r="H337" s="193" t="str">
        <f aca="false">IFERROR(__xludf.dummyfunction("""COMPUTED_VALUE"""),"UFA - Bird")</f>
        <v>UFA - Bird</v>
      </c>
      <c r="I337" s="272" t="str">
        <f aca="false">IFERROR(__xludf.dummyfunction("""COMPUTED_VALUE"""),"")</f>
        <v/>
      </c>
      <c r="J337" s="193"/>
      <c r="K337" s="273"/>
      <c r="L337" s="193"/>
      <c r="M337" s="273"/>
      <c r="N337" s="193"/>
      <c r="O337" s="193" t="n">
        <f aca="false">IFERROR(__xludf.dummyfunction("""COMPUTED_VALUE"""),1)</f>
        <v>1</v>
      </c>
      <c r="P337" s="193"/>
      <c r="Q337" s="193"/>
      <c r="R337" s="193"/>
      <c r="S337" s="193"/>
      <c r="T337" s="193"/>
      <c r="U337" s="193"/>
      <c r="V337" s="193"/>
      <c r="W337" s="193"/>
      <c r="X337" s="193"/>
      <c r="Y337" s="193"/>
      <c r="Z337" s="193"/>
    </row>
    <row r="338" customFormat="false" ht="15.75" hidden="false" customHeight="false" outlineLevel="0" collapsed="false">
      <c r="A338" s="193" t="str">
        <f aca="false">IFERROR(__xludf.dummyfunction("""COMPUTED_VALUE"""),"Jay Huff")</f>
        <v>Jay Huff</v>
      </c>
      <c r="B338" s="271" t="str">
        <f aca="false">IFERROR(__xludf.dummyfunction("""COMPUTED_VALUE"""),"Memphis Grizzlies")</f>
        <v>Memphis Grizzlies</v>
      </c>
      <c r="C338" s="272" t="n">
        <f aca="false">IFERROR(__xludf.dummyfunction("""COMPUTED_VALUE"""),2088033)</f>
        <v>2088033</v>
      </c>
      <c r="D338" s="193"/>
      <c r="E338" s="272" t="n">
        <f aca="false">IFERROR(__xludf.dummyfunction("""COMPUTED_VALUE"""),2349578)</f>
        <v>2349578</v>
      </c>
      <c r="F338" s="193"/>
      <c r="G338" s="272" t="n">
        <f aca="false">IFERROR(__xludf.dummyfunction("""COMPUTED_VALUE"""),2667944)</f>
        <v>2667944</v>
      </c>
      <c r="H338" s="193"/>
      <c r="I338" s="272" t="n">
        <f aca="false">IFERROR(__xludf.dummyfunction("""COMPUTED_VALUE"""),3005085)</f>
        <v>3005085</v>
      </c>
      <c r="J338" s="271" t="str">
        <f aca="false">IFERROR(__xludf.dummyfunction("""COMPUTED_VALUE"""),"Club Option")</f>
        <v>Club Option</v>
      </c>
      <c r="K338" s="272" t="n">
        <f aca="false">IFERROR(__xludf.dummyfunction("""COMPUTED_VALUE"""),3056337)</f>
        <v>3056337</v>
      </c>
      <c r="L338" s="271" t="str">
        <f aca="false">IFERROR(__xludf.dummyfunction("""COMPUTED_VALUE"""),"UFA - Bird")</f>
        <v>UFA - Bird</v>
      </c>
      <c r="M338" s="273"/>
      <c r="N338" s="193"/>
      <c r="O338" s="193" t="n">
        <f aca="false">IFERROR(__xludf.dummyfunction("""COMPUTED_VALUE"""),1)</f>
        <v>1</v>
      </c>
      <c r="P338" s="193"/>
      <c r="Q338" s="193"/>
      <c r="R338" s="193"/>
      <c r="S338" s="193"/>
      <c r="T338" s="193"/>
      <c r="U338" s="193"/>
      <c r="V338" s="193"/>
      <c r="W338" s="193"/>
      <c r="X338" s="193"/>
      <c r="Y338" s="193"/>
      <c r="Z338" s="193"/>
    </row>
    <row r="339" customFormat="false" ht="15.75" hidden="false" customHeight="false" outlineLevel="0" collapsed="false">
      <c r="A339" s="193" t="str">
        <f aca="false">IFERROR(__xludf.dummyfunction("""COMPUTED_VALUE"""),"Vincent Williams Jr.")</f>
        <v>Vincent Williams Jr.</v>
      </c>
      <c r="B339" s="271" t="str">
        <f aca="false">IFERROR(__xludf.dummyfunction("""COMPUTED_VALUE"""),"Memphis Grizzlies")</f>
        <v>Memphis Grizzlies</v>
      </c>
      <c r="C339" s="272" t="n">
        <f aca="false">IFERROR(__xludf.dummyfunction("""COMPUTED_VALUE"""),2120693)</f>
        <v>2120693</v>
      </c>
      <c r="D339" s="193"/>
      <c r="E339" s="272" t="n">
        <f aca="false">IFERROR(__xludf.dummyfunction("""COMPUTED_VALUE"""),2301587)</f>
        <v>2301587</v>
      </c>
      <c r="F339" s="193"/>
      <c r="G339" s="272" t="n">
        <f aca="false">IFERROR(__xludf.dummyfunction("""COMPUTED_VALUE"""),2489752)</f>
        <v>2489752</v>
      </c>
      <c r="H339" s="271" t="str">
        <f aca="false">IFERROR(__xludf.dummyfunction("""COMPUTED_VALUE"""),"Club Option")</f>
        <v>Club Option</v>
      </c>
      <c r="I339" s="272" t="n">
        <f aca="false">IFERROR(__xludf.dummyfunction("""COMPUTED_VALUE"""),4730529)</f>
        <v>4730529</v>
      </c>
      <c r="J339" s="271" t="str">
        <f aca="false">IFERROR(__xludf.dummyfunction("""COMPUTED_VALUE"""),"UFA - Bird")</f>
        <v>UFA - Bird</v>
      </c>
      <c r="K339" s="273"/>
      <c r="L339" s="193"/>
      <c r="M339" s="273"/>
      <c r="N339" s="193"/>
      <c r="O339" s="193" t="n">
        <f aca="false">IFERROR(__xludf.dummyfunction("""COMPUTED_VALUE"""),1)</f>
        <v>1</v>
      </c>
      <c r="P339" s="193"/>
      <c r="Q339" s="193"/>
      <c r="R339" s="193"/>
      <c r="S339" s="193"/>
      <c r="T339" s="193"/>
      <c r="U339" s="193"/>
      <c r="V339" s="193"/>
      <c r="W339" s="193"/>
      <c r="X339" s="193"/>
      <c r="Y339" s="193"/>
      <c r="Z339" s="193"/>
    </row>
    <row r="340" customFormat="false" ht="15.75" hidden="false" customHeight="false" outlineLevel="0" collapsed="false">
      <c r="A340" s="193" t="str">
        <f aca="false">IFERROR(__xludf.dummyfunction("""COMPUTED_VALUE"""),"Lamar Stevens")</f>
        <v>Lamar Stevens</v>
      </c>
      <c r="B340" s="271" t="str">
        <f aca="false">IFERROR(__xludf.dummyfunction("""COMPUTED_VALUE"""),"Memphis Grizzlies")</f>
        <v>Memphis Grizzlies</v>
      </c>
      <c r="C340" s="272" t="n">
        <f aca="false">IFERROR(__xludf.dummyfunction("""COMPUTED_VALUE"""),383912)</f>
        <v>383912</v>
      </c>
      <c r="D340" s="193"/>
      <c r="E340" s="272" t="n">
        <f aca="false">IFERROR(__xludf.dummyfunction("""COMPUTED_VALUE"""),2296274)</f>
        <v>2296274</v>
      </c>
      <c r="F340" s="271" t="str">
        <f aca="false">IFERROR(__xludf.dummyfunction("""COMPUTED_VALUE"""),"UFA - Early-Bird")</f>
        <v>UFA - Early-Bird</v>
      </c>
      <c r="G340" s="272" t="str">
        <f aca="false">IFERROR(__xludf.dummyfunction("""COMPUTED_VALUE"""),"")</f>
        <v/>
      </c>
      <c r="H340" s="193"/>
      <c r="I340" s="272" t="str">
        <f aca="false">IFERROR(__xludf.dummyfunction("""COMPUTED_VALUE"""),"")</f>
        <v/>
      </c>
      <c r="J340" s="193"/>
      <c r="K340" s="273"/>
      <c r="L340" s="193"/>
      <c r="M340" s="273"/>
      <c r="N340" s="193"/>
      <c r="O340" s="193" t="n">
        <f aca="false">IFERROR(__xludf.dummyfunction("""COMPUTED_VALUE"""),1)</f>
        <v>1</v>
      </c>
      <c r="P340" s="193"/>
      <c r="Q340" s="193"/>
      <c r="R340" s="193"/>
      <c r="S340" s="193"/>
      <c r="T340" s="193"/>
      <c r="U340" s="193"/>
      <c r="V340" s="193"/>
      <c r="W340" s="193"/>
      <c r="X340" s="193"/>
      <c r="Y340" s="193"/>
      <c r="Z340" s="193"/>
    </row>
    <row r="341" customFormat="false" ht="15.75" hidden="false" customHeight="false" outlineLevel="0" collapsed="false">
      <c r="A341" s="193" t="str">
        <f aca="false">IFERROR(__xludf.dummyfunction("""COMPUTED_VALUE"""),"Yuta Watanabe")</f>
        <v>Yuta Watanabe</v>
      </c>
      <c r="B341" s="271" t="str">
        <f aca="false">IFERROR(__xludf.dummyfunction("""COMPUTED_VALUE"""),"Memphis Grizzlies")</f>
        <v>Memphis Grizzlies</v>
      </c>
      <c r="C341" s="272" t="n">
        <f aca="false">IFERROR(__xludf.dummyfunction("""COMPUTED_VALUE"""),2087519)</f>
        <v>2087519</v>
      </c>
      <c r="D341" s="271" t="str">
        <f aca="false">IFERROR(__xludf.dummyfunction("""COMPUTED_VALUE"""),"UFA - Early-Bird")</f>
        <v>UFA - Early-Bird</v>
      </c>
      <c r="E341" s="272" t="n">
        <f aca="false">IFERROR(__xludf.dummyfunction("""COMPUTED_VALUE"""),2296274)</f>
        <v>2296274</v>
      </c>
      <c r="F341" s="271" t="str">
        <f aca="false">IFERROR(__xludf.dummyfunction("""COMPUTED_VALUE"""),"UFA - Early-Bird")</f>
        <v>UFA - Early-Bird</v>
      </c>
      <c r="G341" s="273"/>
      <c r="H341" s="193"/>
      <c r="I341" s="273"/>
      <c r="J341" s="193"/>
      <c r="K341" s="273"/>
      <c r="L341" s="193"/>
      <c r="M341" s="273"/>
      <c r="N341" s="193"/>
      <c r="O341" s="193" t="n">
        <f aca="false">IFERROR(__xludf.dummyfunction("""COMPUTED_VALUE"""),1)</f>
        <v>1</v>
      </c>
      <c r="P341" s="193"/>
      <c r="Q341" s="193"/>
      <c r="R341" s="193"/>
      <c r="S341" s="193"/>
      <c r="T341" s="193"/>
      <c r="U341" s="193"/>
      <c r="V341" s="193"/>
      <c r="W341" s="193"/>
      <c r="X341" s="193"/>
      <c r="Y341" s="193"/>
      <c r="Z341" s="193"/>
    </row>
    <row r="342" customFormat="false" ht="15.75" hidden="false" customHeight="false" outlineLevel="0" collapsed="false">
      <c r="A342" s="193" t="str">
        <f aca="false">IFERROR(__xludf.dummyfunction("""COMPUTED_VALUE"""),"Scotty Pippen Jr.")</f>
        <v>Scotty Pippen Jr.</v>
      </c>
      <c r="B342" s="271" t="str">
        <f aca="false">IFERROR(__xludf.dummyfunction("""COMPUTED_VALUE"""),"Memphis Grizzlies")</f>
        <v>Memphis Grizzlies</v>
      </c>
      <c r="C342" s="272" t="n">
        <f aca="false">IFERROR(__xludf.dummyfunction("""COMPUTED_VALUE"""),2087519)</f>
        <v>2087519</v>
      </c>
      <c r="D342" s="193"/>
      <c r="E342" s="272" t="n">
        <f aca="false">IFERROR(__xludf.dummyfunction("""COMPUTED_VALUE"""),2270735)</f>
        <v>2270735</v>
      </c>
      <c r="F342" s="193"/>
      <c r="G342" s="272" t="n">
        <f aca="false">IFERROR(__xludf.dummyfunction("""COMPUTED_VALUE"""),2461462)</f>
        <v>2461462</v>
      </c>
      <c r="H342" s="271" t="str">
        <f aca="false">IFERROR(__xludf.dummyfunction("""COMPUTED_VALUE"""),"350k Guaranteed")</f>
        <v>350k Guaranteed</v>
      </c>
      <c r="I342" s="272" t="n">
        <f aca="false">IFERROR(__xludf.dummyfunction("""COMPUTED_VALUE"""),2789215)</f>
        <v>2789215</v>
      </c>
      <c r="J342" s="271" t="str">
        <f aca="false">IFERROR(__xludf.dummyfunction("""COMPUTED_VALUE"""),"Club Option")</f>
        <v>Club Option</v>
      </c>
      <c r="K342" s="272" t="n">
        <f aca="false">IFERROR(__xludf.dummyfunction("""COMPUTED_VALUE"""),3056337)</f>
        <v>3056337</v>
      </c>
      <c r="L342" s="271" t="str">
        <f aca="false">IFERROR(__xludf.dummyfunction("""COMPUTED_VALUE"""),"UFA - Bird")</f>
        <v>UFA - Bird</v>
      </c>
      <c r="M342" s="273"/>
      <c r="N342" s="193"/>
      <c r="O342" s="193" t="n">
        <f aca="false">IFERROR(__xludf.dummyfunction("""COMPUTED_VALUE"""),1)</f>
        <v>1</v>
      </c>
      <c r="P342" s="193"/>
      <c r="Q342" s="193"/>
      <c r="R342" s="193"/>
      <c r="S342" s="193"/>
      <c r="T342" s="193"/>
      <c r="U342" s="193"/>
      <c r="V342" s="193"/>
      <c r="W342" s="193"/>
      <c r="X342" s="193"/>
      <c r="Y342" s="193"/>
      <c r="Z342" s="193"/>
    </row>
    <row r="343" customFormat="false" ht="15.75" hidden="false" customHeight="false" outlineLevel="0" collapsed="false">
      <c r="A343" s="193" t="str">
        <f aca="false">IFERROR(__xludf.dummyfunction("""COMPUTED_VALUE"""),"G.G. Jackson")</f>
        <v>G.G. Jackson</v>
      </c>
      <c r="B343" s="271" t="str">
        <f aca="false">IFERROR(__xludf.dummyfunction("""COMPUTED_VALUE"""),"Memphis Grizzlies")</f>
        <v>Memphis Grizzlies</v>
      </c>
      <c r="C343" s="272" t="n">
        <f aca="false">IFERROR(__xludf.dummyfunction("""COMPUTED_VALUE"""),1891857)</f>
        <v>1891857</v>
      </c>
      <c r="D343" s="193"/>
      <c r="E343" s="272" t="n">
        <f aca="false">IFERROR(__xludf.dummyfunction("""COMPUTED_VALUE"""),2221677)</f>
        <v>2221677</v>
      </c>
      <c r="F343" s="193"/>
      <c r="G343" s="272" t="n">
        <f aca="false">IFERROR(__xludf.dummyfunction("""COMPUTED_VALUE"""),2406205)</f>
        <v>2406205</v>
      </c>
      <c r="H343" s="271" t="str">
        <f aca="false">IFERROR(__xludf.dummyfunction("""COMPUTED_VALUE"""),"Club Option")</f>
        <v>Club Option</v>
      </c>
      <c r="I343" s="272" t="n">
        <f aca="false">IFERROR(__xludf.dummyfunction("""COMPUTED_VALUE"""),2786631)</f>
        <v>2786631</v>
      </c>
      <c r="J343" s="271" t="str">
        <f aca="false">IFERROR(__xludf.dummyfunction("""COMPUTED_VALUE"""),"UFA - Bird")</f>
        <v>UFA - Bird</v>
      </c>
      <c r="K343" s="273"/>
      <c r="L343" s="193"/>
      <c r="M343" s="273"/>
      <c r="N343" s="193"/>
      <c r="O343" s="193" t="n">
        <f aca="false">IFERROR(__xludf.dummyfunction("""COMPUTED_VALUE"""),1)</f>
        <v>1</v>
      </c>
      <c r="P343" s="193"/>
      <c r="Q343" s="193"/>
      <c r="R343" s="193"/>
      <c r="S343" s="193"/>
      <c r="T343" s="193"/>
      <c r="U343" s="193"/>
      <c r="V343" s="193"/>
      <c r="W343" s="193"/>
      <c r="X343" s="193"/>
      <c r="Y343" s="193"/>
      <c r="Z343" s="193"/>
    </row>
    <row r="344" customFormat="false" ht="15.75" hidden="false" customHeight="false" outlineLevel="0" collapsed="false">
      <c r="A344" s="193" t="str">
        <f aca="false">IFERROR(__xludf.dummyfunction("""COMPUTED_VALUE"""),"Caleb Houstan")</f>
        <v>Caleb Houstan</v>
      </c>
      <c r="B344" s="271" t="str">
        <f aca="false">IFERROR(__xludf.dummyfunction("""COMPUTED_VALUE"""),"Memphis Grizzlies")</f>
        <v>Memphis Grizzlies</v>
      </c>
      <c r="C344" s="272" t="n">
        <f aca="false">IFERROR(__xludf.dummyfunction("""COMPUTED_VALUE"""),2019699)</f>
        <v>2019699</v>
      </c>
      <c r="D344" s="193"/>
      <c r="E344" s="272" t="n">
        <f aca="false">IFERROR(__xludf.dummyfunction("""COMPUTED_VALUE"""),2187699)</f>
        <v>2187699</v>
      </c>
      <c r="F344" s="193"/>
      <c r="G344" s="272" t="n">
        <f aca="false">IFERROR(__xludf.dummyfunction("""COMPUTED_VALUE"""),4156157)</f>
        <v>4156157</v>
      </c>
      <c r="H344" s="193" t="str">
        <f aca="false">IFERROR(__xludf.dummyfunction("""COMPUTED_VALUE"""),"UFA - Early Bird")</f>
        <v>UFA - Early Bird</v>
      </c>
      <c r="I344" s="272" t="str">
        <f aca="false">IFERROR(__xludf.dummyfunction("""COMPUTED_VALUE"""),"")</f>
        <v/>
      </c>
      <c r="J344" s="193"/>
      <c r="K344" s="273"/>
      <c r="L344" s="193"/>
      <c r="M344" s="273"/>
      <c r="N344" s="193"/>
      <c r="O344" s="193" t="n">
        <f aca="false">IFERROR(__xludf.dummyfunction("""COMPUTED_VALUE"""),1)</f>
        <v>1</v>
      </c>
      <c r="P344" s="193"/>
      <c r="Q344" s="193"/>
      <c r="R344" s="193"/>
      <c r="S344" s="193"/>
      <c r="T344" s="193"/>
      <c r="U344" s="193"/>
      <c r="V344" s="193"/>
      <c r="W344" s="193"/>
      <c r="X344" s="193"/>
      <c r="Y344" s="193"/>
      <c r="Z344" s="193"/>
    </row>
    <row r="345" customFormat="false" ht="15.75" hidden="false" customHeight="false" outlineLevel="0" collapsed="false">
      <c r="A345" s="193" t="str">
        <f aca="false">IFERROR(__xludf.dummyfunction("""COMPUTED_VALUE"""),"Yves Pons")</f>
        <v>Yves Pons</v>
      </c>
      <c r="B345" s="271" t="str">
        <f aca="false">IFERROR(__xludf.dummyfunction("""COMPUTED_VALUE"""),"Memphis Grizzlies")</f>
        <v>Memphis Grizzlies</v>
      </c>
      <c r="C345" s="272" t="n">
        <f aca="false">IFERROR(__xludf.dummyfunction("""COMPUTED_VALUE"""),1862265)</f>
        <v>1862265</v>
      </c>
      <c r="D345" s="271" t="str">
        <f aca="false">IFERROR(__xludf.dummyfunction("""COMPUTED_VALUE"""),"UFA - Two-way")</f>
        <v>UFA - Two-way</v>
      </c>
      <c r="E345" s="272" t="n">
        <f aca="false">IFERROR(__xludf.dummyfunction("""COMPUTED_VALUE"""),2048491)</f>
        <v>2048491</v>
      </c>
      <c r="F345" s="271" t="str">
        <f aca="false">IFERROR(__xludf.dummyfunction("""COMPUTED_VALUE"""),"UFA - Two-way")</f>
        <v>UFA - Two-way</v>
      </c>
      <c r="G345" s="273"/>
      <c r="H345" s="193"/>
      <c r="I345" s="273"/>
      <c r="J345" s="193"/>
      <c r="K345" s="273"/>
      <c r="L345" s="193"/>
      <c r="M345" s="273"/>
      <c r="N345" s="193"/>
      <c r="O345" s="193" t="n">
        <f aca="false">IFERROR(__xludf.dummyfunction("""COMPUTED_VALUE"""),1)</f>
        <v>1</v>
      </c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</row>
    <row r="346" customFormat="false" ht="15.75" hidden="false" customHeight="false" outlineLevel="0" collapsed="false">
      <c r="A346" s="193" t="str">
        <f aca="false">IFERROR(__xludf.dummyfunction("""COMPUTED_VALUE"""),"Cam Spencer")</f>
        <v>Cam Spencer</v>
      </c>
      <c r="B346" s="271" t="str">
        <f aca="false">IFERROR(__xludf.dummyfunction("""COMPUTED_VALUE"""),"Memphis Grizzlies")</f>
        <v>Memphis Grizzlies</v>
      </c>
      <c r="C346" s="272" t="str">
        <f aca="false">IFERROR(__xludf.dummyfunction("""COMPUTED_VALUE"""),"Two-way")</f>
        <v>Two-way</v>
      </c>
      <c r="D346" s="271" t="str">
        <f aca="false">IFERROR(__xludf.dummyfunction("""COMPUTED_VALUE"""),"Two-way")</f>
        <v>Two-way</v>
      </c>
      <c r="E346" s="272" t="n">
        <f aca="false">IFERROR(__xludf.dummyfunction("""COMPUTED_VALUE"""),2048491)</f>
        <v>2048491</v>
      </c>
      <c r="F346" s="271" t="str">
        <f aca="false">IFERROR(__xludf.dummyfunction("""COMPUTED_VALUE"""),"RFA - Two-way")</f>
        <v>RFA - Two-way</v>
      </c>
      <c r="G346" s="273"/>
      <c r="H346" s="193"/>
      <c r="I346" s="273"/>
      <c r="J346" s="193"/>
      <c r="K346" s="273"/>
      <c r="L346" s="193"/>
      <c r="M346" s="273"/>
      <c r="N346" s="193"/>
      <c r="O346" s="193" t="n">
        <f aca="false">IFERROR(__xludf.dummyfunction("""COMPUTED_VALUE"""),1)</f>
        <v>1</v>
      </c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</row>
    <row r="347" customFormat="false" ht="15.75" hidden="false" customHeight="false" outlineLevel="0" collapsed="false">
      <c r="A347" s="193" t="str">
        <f aca="false">IFERROR(__xludf.dummyfunction("""COMPUTED_VALUE"""),"Yuki Kawamura")</f>
        <v>Yuki Kawamura</v>
      </c>
      <c r="B347" s="271" t="str">
        <f aca="false">IFERROR(__xludf.dummyfunction("""COMPUTED_VALUE"""),"Memphis Grizzlies")</f>
        <v>Memphis Grizzlies</v>
      </c>
      <c r="C347" s="272" t="str">
        <f aca="false">IFERROR(__xludf.dummyfunction("""COMPUTED_VALUE"""),"Two-way")</f>
        <v>Two-way</v>
      </c>
      <c r="D347" s="271" t="str">
        <f aca="false">IFERROR(__xludf.dummyfunction("""COMPUTED_VALUE"""),"Two-way")</f>
        <v>Two-way</v>
      </c>
      <c r="E347" s="272" t="n">
        <f aca="false">IFERROR(__xludf.dummyfunction("""COMPUTED_VALUE"""),2048491)</f>
        <v>2048491</v>
      </c>
      <c r="F347" s="271" t="str">
        <f aca="false">IFERROR(__xludf.dummyfunction("""COMPUTED_VALUE"""),"RFA - Two-way")</f>
        <v>RFA - Two-way</v>
      </c>
      <c r="G347" s="273"/>
      <c r="H347" s="193"/>
      <c r="I347" s="273"/>
      <c r="J347" s="193"/>
      <c r="K347" s="273"/>
      <c r="L347" s="193"/>
      <c r="M347" s="273"/>
      <c r="N347" s="193"/>
      <c r="O347" s="193" t="n">
        <f aca="false">IFERROR(__xludf.dummyfunction("""COMPUTED_VALUE"""),1)</f>
        <v>1</v>
      </c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</row>
    <row r="348" customFormat="false" ht="15.75" hidden="false" customHeight="false" outlineLevel="0" collapsed="false">
      <c r="A348" s="193" t="str">
        <f aca="false">IFERROR(__xludf.dummyfunction("""COMPUTED_VALUE"""),"Jaylen Wells")</f>
        <v>Jaylen Wells</v>
      </c>
      <c r="B348" s="271" t="str">
        <f aca="false">IFERROR(__xludf.dummyfunction("""COMPUTED_VALUE"""),"Memphis Grizzlies")</f>
        <v>Memphis Grizzlies</v>
      </c>
      <c r="C348" s="272" t="n">
        <f aca="false">IFERROR(__xludf.dummyfunction("""COMPUTED_VALUE"""),1157153)</f>
        <v>1157153</v>
      </c>
      <c r="D348" s="193"/>
      <c r="E348" s="272" t="n">
        <f aca="false">IFERROR(__xludf.dummyfunction("""COMPUTED_VALUE"""),1955377)</f>
        <v>1955377</v>
      </c>
      <c r="F348" s="193"/>
      <c r="G348" s="272" t="n">
        <f aca="false">IFERROR(__xludf.dummyfunction("""COMPUTED_VALUE"""),2296271)</f>
        <v>2296271</v>
      </c>
      <c r="H348" s="271" t="str">
        <f aca="false">IFERROR(__xludf.dummyfunction("""COMPUTED_VALUE"""),"300k Guaranteed")</f>
        <v>300k Guaranteed</v>
      </c>
      <c r="I348" s="272" t="n">
        <f aca="false">IFERROR(__xludf.dummyfunction("""COMPUTED_VALUE"""),2486995)</f>
        <v>2486995</v>
      </c>
      <c r="J348" s="271" t="str">
        <f aca="false">IFERROR(__xludf.dummyfunction("""COMPUTED_VALUE"""),"Club Option")</f>
        <v>Club Option</v>
      </c>
      <c r="K348" s="272" t="n">
        <f aca="false">IFERROR(__xludf.dummyfunction("""COMPUTED_VALUE"""),3056337)</f>
        <v>3056337</v>
      </c>
      <c r="L348" s="271" t="str">
        <f aca="false">IFERROR(__xludf.dummyfunction("""COMPUTED_VALUE"""),"UFA - Bird")</f>
        <v>UFA - Bird</v>
      </c>
      <c r="M348" s="273"/>
      <c r="N348" s="193"/>
      <c r="O348" s="193" t="n">
        <f aca="false">IFERROR(__xludf.dummyfunction("""COMPUTED_VALUE"""),1)</f>
        <v>1</v>
      </c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</row>
    <row r="349" customFormat="false" ht="15.75" hidden="false" customHeight="false" outlineLevel="0" collapsed="false">
      <c r="A349" s="193" t="str">
        <f aca="false">IFERROR(__xludf.dummyfunction("""COMPUTED_VALUE"""),"Mamadi Diakite")</f>
        <v>Mamadi Diakite</v>
      </c>
      <c r="B349" s="271" t="str">
        <f aca="false">IFERROR(__xludf.dummyfunction("""COMPUTED_VALUE"""),"Memphis Grizzlies")</f>
        <v>Memphis Grizzlies</v>
      </c>
      <c r="C349" s="272" t="n">
        <f aca="false">IFERROR(__xludf.dummyfunction("""COMPUTED_VALUE"""),464050)</f>
        <v>464050</v>
      </c>
      <c r="D349" s="271" t="str">
        <f aca="false">IFERROR(__xludf.dummyfunction("""COMPUTED_VALUE"""),"Dead Cap")</f>
        <v>Dead Cap</v>
      </c>
      <c r="E349" s="272" t="n">
        <f aca="false">IFERROR(__xludf.dummyfunction("""COMPUTED_VALUE"""),464050)</f>
        <v>464050</v>
      </c>
      <c r="F349" s="271" t="str">
        <f aca="false">IFERROR(__xludf.dummyfunction("""COMPUTED_VALUE"""),"Dead Cap")</f>
        <v>Dead Cap</v>
      </c>
      <c r="G349" s="272" t="n">
        <f aca="false">IFERROR(__xludf.dummyfunction("""COMPUTED_VALUE"""),464050)</f>
        <v>464050</v>
      </c>
      <c r="H349" s="271" t="str">
        <f aca="false">IFERROR(__xludf.dummyfunction("""COMPUTED_VALUE"""),"Dead Cap")</f>
        <v>Dead Cap</v>
      </c>
      <c r="I349" s="273"/>
      <c r="J349" s="193"/>
      <c r="K349" s="273"/>
      <c r="L349" s="193"/>
      <c r="M349" s="273"/>
      <c r="N349" s="193"/>
      <c r="O349" s="193" t="n">
        <f aca="false">IFERROR(__xludf.dummyfunction("""COMPUTED_VALUE"""),1)</f>
        <v>1</v>
      </c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</row>
    <row r="350" customFormat="false" ht="15.75" hidden="false" customHeight="false" outlineLevel="0" collapsed="false">
      <c r="A350" s="193" t="str">
        <f aca="false">IFERROR(__xludf.dummyfunction("""COMPUTED_VALUE"""),"Lauri Markkanen")</f>
        <v>Lauri Markkanen</v>
      </c>
      <c r="B350" s="271" t="str">
        <f aca="false">IFERROR(__xludf.dummyfunction("""COMPUTED_VALUE"""),"Miami Heat")</f>
        <v>Miami Heat</v>
      </c>
      <c r="C350" s="272" t="n">
        <f aca="false">IFERROR(__xludf.dummyfunction("""COMPUTED_VALUE"""),42176400)</f>
        <v>42176400</v>
      </c>
      <c r="D350" s="193"/>
      <c r="E350" s="272" t="n">
        <f aca="false">IFERROR(__xludf.dummyfunction("""COMPUTED_VALUE"""),46394100)</f>
        <v>46394100</v>
      </c>
      <c r="F350" s="193"/>
      <c r="G350" s="272" t="n">
        <f aca="false">IFERROR(__xludf.dummyfunction("""COMPUTED_VALUE"""),46113154)</f>
        <v>46113154</v>
      </c>
      <c r="H350" s="193"/>
      <c r="I350" s="272" t="n">
        <f aca="false">IFERROR(__xludf.dummyfunction("""COMPUTED_VALUE"""),49824681)</f>
        <v>49824681</v>
      </c>
      <c r="J350" s="193"/>
      <c r="K350" s="272" t="n">
        <f aca="false">IFERROR(__xludf.dummyfunction("""COMPUTED_VALUE"""),53536209)</f>
        <v>53536209</v>
      </c>
      <c r="L350" s="193"/>
      <c r="M350" s="272" t="n">
        <f aca="false">IFERROR(__xludf.dummyfunction("""COMPUTED_VALUE"""),79246650)</f>
        <v>79246650</v>
      </c>
      <c r="N350" s="271" t="str">
        <f aca="false">IFERROR(__xludf.dummyfunction("""COMPUTED_VALUE"""),"UFA - Bird")</f>
        <v>UFA - Bird</v>
      </c>
      <c r="O350" s="193" t="n">
        <f aca="false">IFERROR(__xludf.dummyfunction("""COMPUTED_VALUE"""),1)</f>
        <v>1</v>
      </c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</row>
    <row r="351" customFormat="false" ht="15.75" hidden="false" customHeight="false" outlineLevel="0" collapsed="false">
      <c r="A351" s="193" t="str">
        <f aca="false">IFERROR(__xludf.dummyfunction("""COMPUTED_VALUE"""),"Bam Adebayo")</f>
        <v>Bam Adebayo</v>
      </c>
      <c r="B351" s="271" t="str">
        <f aca="false">IFERROR(__xludf.dummyfunction("""COMPUTED_VALUE"""),"Miami Heat")</f>
        <v>Miami Heat</v>
      </c>
      <c r="C351" s="272" t="n">
        <f aca="false">IFERROR(__xludf.dummyfunction("""COMPUTED_VALUE"""),34848340)</f>
        <v>34848340</v>
      </c>
      <c r="D351" s="193"/>
      <c r="E351" s="272" t="n">
        <f aca="false">IFERROR(__xludf.dummyfunction("""COMPUTED_VALUE"""),37096620)</f>
        <v>37096620</v>
      </c>
      <c r="F351" s="193"/>
      <c r="G351" s="272" t="n">
        <f aca="false">IFERROR(__xludf.dummyfunction("""COMPUTED_VALUE"""),51033600)</f>
        <v>51033600</v>
      </c>
      <c r="H351" s="271" t="str">
        <f aca="false">IFERROR(__xludf.dummyfunction("""COMPUTED_VALUE"""),"Estimated")</f>
        <v>Estimated</v>
      </c>
      <c r="I351" s="272" t="n">
        <f aca="false">IFERROR(__xludf.dummyfunction("""COMPUTED_VALUE"""),55116288)</f>
        <v>55116288</v>
      </c>
      <c r="J351" s="271" t="str">
        <f aca="false">IFERROR(__xludf.dummyfunction("""COMPUTED_VALUE"""),"Estimated")</f>
        <v>Estimated</v>
      </c>
      <c r="K351" s="272" t="n">
        <f aca="false">IFERROR(__xludf.dummyfunction("""COMPUTED_VALUE"""),59198976)</f>
        <v>59198976</v>
      </c>
      <c r="L351" s="271" t="str">
        <f aca="false">IFERROR(__xludf.dummyfunction("""COMPUTED_VALUE"""),"Player Option")</f>
        <v>Player Option</v>
      </c>
      <c r="M351" s="272" t="n">
        <f aca="false">IFERROR(__xludf.dummyfunction("""COMPUTED_VALUE"""),79246433)</f>
        <v>79246433</v>
      </c>
      <c r="N351" s="271" t="str">
        <f aca="false">IFERROR(__xludf.dummyfunction("""COMPUTED_VALUE"""),"UFA - Bird")</f>
        <v>UFA - Bird</v>
      </c>
      <c r="O351" s="193" t="n">
        <f aca="false">IFERROR(__xludf.dummyfunction("""COMPUTED_VALUE"""),1)</f>
        <v>1</v>
      </c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</row>
    <row r="352" customFormat="false" ht="15.75" hidden="false" customHeight="false" outlineLevel="0" collapsed="false">
      <c r="A352" s="193" t="str">
        <f aca="false">IFERROR(__xludf.dummyfunction("""COMPUTED_VALUE"""),"Tyler Herro")</f>
        <v>Tyler Herro</v>
      </c>
      <c r="B352" s="271" t="str">
        <f aca="false">IFERROR(__xludf.dummyfunction("""COMPUTED_VALUE"""),"Miami Heat")</f>
        <v>Miami Heat</v>
      </c>
      <c r="C352" s="272" t="n">
        <f aca="false">IFERROR(__xludf.dummyfunction("""COMPUTED_VALUE"""),29000000)</f>
        <v>29000000</v>
      </c>
      <c r="D352" s="193"/>
      <c r="E352" s="272" t="n">
        <f aca="false">IFERROR(__xludf.dummyfunction("""COMPUTED_VALUE"""),31000000)</f>
        <v>31000000</v>
      </c>
      <c r="F352" s="193"/>
      <c r="G352" s="272" t="n">
        <f aca="false">IFERROR(__xludf.dummyfunction("""COMPUTED_VALUE"""),33000000)</f>
        <v>33000000</v>
      </c>
      <c r="H352" s="193"/>
      <c r="I352" s="272" t="n">
        <f aca="false">IFERROR(__xludf.dummyfunction("""COMPUTED_VALUE"""),48863400)</f>
        <v>48863400</v>
      </c>
      <c r="J352" s="271" t="str">
        <f aca="false">IFERROR(__xludf.dummyfunction("""COMPUTED_VALUE"""),"UFA - Bird")</f>
        <v>UFA - Bird</v>
      </c>
      <c r="K352" s="273"/>
      <c r="L352" s="193"/>
      <c r="M352" s="273"/>
      <c r="N352" s="193"/>
      <c r="O352" s="193" t="n">
        <f aca="false">IFERROR(__xludf.dummyfunction("""COMPUTED_VALUE"""),1)</f>
        <v>1</v>
      </c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</row>
    <row r="353" customFormat="false" ht="15.75" hidden="false" customHeight="false" outlineLevel="0" collapsed="false">
      <c r="A353" s="193" t="str">
        <f aca="false">IFERROR(__xludf.dummyfunction("""COMPUTED_VALUE"""),"Andrew Wiggins")</f>
        <v>Andrew Wiggins</v>
      </c>
      <c r="B353" s="271" t="str">
        <f aca="false">IFERROR(__xludf.dummyfunction("""COMPUTED_VALUE"""),"Miami Heat")</f>
        <v>Miami Heat</v>
      </c>
      <c r="C353" s="272" t="n">
        <f aca="false">IFERROR(__xludf.dummyfunction("""COMPUTED_VALUE"""),26276786)</f>
        <v>26276786</v>
      </c>
      <c r="D353" s="193"/>
      <c r="E353" s="272" t="n">
        <f aca="false">IFERROR(__xludf.dummyfunction("""COMPUTED_VALUE"""),28223215)</f>
        <v>28223215</v>
      </c>
      <c r="F353" s="193"/>
      <c r="G353" s="272" t="n">
        <f aca="false">IFERROR(__xludf.dummyfunction("""COMPUTED_VALUE"""),30169644)</f>
        <v>30169644</v>
      </c>
      <c r="H353" s="193" t="str">
        <f aca="false">IFERROR(__xludf.dummyfunction("""COMPUTED_VALUE"""),"Player Option")</f>
        <v>Player Option</v>
      </c>
      <c r="I353" s="272" t="n">
        <f aca="false">IFERROR(__xludf.dummyfunction("""COMPUTED_VALUE"""),45254466)</f>
        <v>45254466</v>
      </c>
      <c r="J353" s="271" t="str">
        <f aca="false">IFERROR(__xludf.dummyfunction("""COMPUTED_VALUE"""),"UFA - Bird")</f>
        <v>UFA - Bird</v>
      </c>
      <c r="K353" s="273"/>
      <c r="L353" s="193"/>
      <c r="M353" s="273"/>
      <c r="N353" s="193"/>
      <c r="O353" s="193" t="n">
        <f aca="false">IFERROR(__xludf.dummyfunction("""COMPUTED_VALUE"""),1)</f>
        <v>1</v>
      </c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</row>
    <row r="354" customFormat="false" ht="15.75" hidden="false" customHeight="false" outlineLevel="0" collapsed="false">
      <c r="A354" s="193" t="str">
        <f aca="false">IFERROR(__xludf.dummyfunction("""COMPUTED_VALUE"""),"Max Strus")</f>
        <v>Max Strus</v>
      </c>
      <c r="B354" s="271" t="str">
        <f aca="false">IFERROR(__xludf.dummyfunction("""COMPUTED_VALUE"""),"Miami Heat")</f>
        <v>Miami Heat</v>
      </c>
      <c r="C354" s="273"/>
      <c r="D354" s="193"/>
      <c r="E354" s="272" t="n">
        <f aca="false">IFERROR(__xludf.dummyfunction("""COMPUTED_VALUE"""),15936452)</f>
        <v>15936452</v>
      </c>
      <c r="F354" s="193"/>
      <c r="G354" s="272" t="n">
        <f aca="false">IFERROR(__xludf.dummyfunction("""COMPUTED_VALUE"""),16660836)</f>
        <v>16660836</v>
      </c>
      <c r="H354" s="193"/>
      <c r="I354" s="272" t="n">
        <f aca="false">IFERROR(__xludf.dummyfunction("""COMPUTED_VALUE"""),24991254)</f>
        <v>24991254</v>
      </c>
      <c r="J354" s="193" t="str">
        <f aca="false">IFERROR(__xludf.dummyfunction("""COMPUTED_VALUE"""),"UFA - Bird")</f>
        <v>UFA - Bird</v>
      </c>
      <c r="K354" s="273"/>
      <c r="L354" s="193"/>
      <c r="M354" s="273"/>
      <c r="N354" s="193"/>
      <c r="O354" s="193" t="n">
        <f aca="false">IFERROR(__xludf.dummyfunction("""COMPUTED_VALUE"""),1)</f>
        <v>1</v>
      </c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</row>
    <row r="355" customFormat="false" ht="15.75" hidden="false" customHeight="false" outlineLevel="0" collapsed="false">
      <c r="A355" s="193" t="str">
        <f aca="false">IFERROR(__xludf.dummyfunction("""COMPUTED_VALUE"""),"Davion Mitchell")</f>
        <v>Davion Mitchell</v>
      </c>
      <c r="B355" s="271" t="str">
        <f aca="false">IFERROR(__xludf.dummyfunction("""COMPUTED_VALUE"""),"Miami Heat")</f>
        <v>Miami Heat</v>
      </c>
      <c r="C355" s="272" t="n">
        <f aca="false">IFERROR(__xludf.dummyfunction("""COMPUTED_VALUE"""),6451077)</f>
        <v>6451077</v>
      </c>
      <c r="D355" s="193"/>
      <c r="E355" s="274" t="n">
        <f aca="false">IFERROR(__xludf.dummyfunction("""COMPUTED_VALUE"""),8035714.28571429)</f>
        <v>8035714.286</v>
      </c>
      <c r="F355" s="193"/>
      <c r="G355" s="274" t="n">
        <f aca="false">IFERROR(__xludf.dummyfunction("""COMPUTED_VALUE"""),8678571.42857143)</f>
        <v>8678571.429</v>
      </c>
      <c r="H355" s="193"/>
      <c r="I355" s="274" t="n">
        <f aca="false">IFERROR(__xludf.dummyfunction("""COMPUTED_VALUE"""),9321428.57142857)</f>
        <v>9321428.571</v>
      </c>
      <c r="J355" s="193"/>
      <c r="K355" s="274" t="n">
        <f aca="false">IFERROR(__xludf.dummyfunction("""COMPUTED_VALUE"""),9964285.71428571)</f>
        <v>9964285.714</v>
      </c>
      <c r="L355" s="271" t="str">
        <f aca="false">IFERROR(__xludf.dummyfunction("""COMPUTED_VALUE"""),"Player Option")</f>
        <v>Player Option</v>
      </c>
      <c r="M355" s="272" t="n">
        <f aca="false">IFERROR(__xludf.dummyfunction("""COMPUTED_VALUE"""),17100000)</f>
        <v>17100000</v>
      </c>
      <c r="N355" s="271" t="str">
        <f aca="false">IFERROR(__xludf.dummyfunction("""COMPUTED_VALUE"""),"UFA - Bird")</f>
        <v>UFA - Bird</v>
      </c>
      <c r="O355" s="193" t="n">
        <f aca="false">IFERROR(__xludf.dummyfunction("""COMPUTED_VALUE"""),1)</f>
        <v>1</v>
      </c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</row>
    <row r="356" customFormat="false" ht="15.75" hidden="false" customHeight="false" outlineLevel="0" collapsed="false">
      <c r="A356" s="193" t="str">
        <f aca="false">IFERROR(__xludf.dummyfunction("""COMPUTED_VALUE"""),"Dennis Schröder")</f>
        <v>Dennis Schröder</v>
      </c>
      <c r="B356" s="271" t="str">
        <f aca="false">IFERROR(__xludf.dummyfunction("""COMPUTED_VALUE"""),"Miami Heat")</f>
        <v>Miami Heat</v>
      </c>
      <c r="C356" s="272" t="n">
        <f aca="false">IFERROR(__xludf.dummyfunction("""COMPUTED_VALUE"""),13025250)</f>
        <v>13025250</v>
      </c>
      <c r="D356" s="193"/>
      <c r="E356" s="272" t="n">
        <f aca="false">IFERROR(__xludf.dummyfunction("""COMPUTED_VALUE"""),5684666.34)</f>
        <v>5684666.34</v>
      </c>
      <c r="F356" s="193"/>
      <c r="G356" s="272" t="n">
        <f aca="false">IFERROR(__xludf.dummyfunction("""COMPUTED_VALUE"""),5684666.34)</f>
        <v>5684666.34</v>
      </c>
      <c r="H356" s="193"/>
      <c r="I356" s="272" t="n">
        <f aca="false">IFERROR(__xludf.dummyfunction("""COMPUTED_VALUE"""),7390066.24)</f>
        <v>7390066.24</v>
      </c>
      <c r="J356" s="271" t="str">
        <f aca="false">IFERROR(__xludf.dummyfunction("""COMPUTED_VALUE"""),"UFA - Early Bird")</f>
        <v>UFA - Early Bird</v>
      </c>
      <c r="K356" s="273"/>
      <c r="L356" s="193"/>
      <c r="M356" s="273"/>
      <c r="N356" s="193"/>
      <c r="O356" s="193" t="n">
        <f aca="false">IFERROR(__xludf.dummyfunction("""COMPUTED_VALUE"""),1)</f>
        <v>1</v>
      </c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</row>
    <row r="357" customFormat="false" ht="15.75" hidden="false" customHeight="false" outlineLevel="0" collapsed="false">
      <c r="A357" s="193" t="str">
        <f aca="false">IFERROR(__xludf.dummyfunction("""COMPUTED_VALUE"""),"Haywood Highsmith")</f>
        <v>Haywood Highsmith</v>
      </c>
      <c r="B357" s="271" t="str">
        <f aca="false">IFERROR(__xludf.dummyfunction("""COMPUTED_VALUE"""),"Miami Heat")</f>
        <v>Miami Heat</v>
      </c>
      <c r="C357" s="272" t="n">
        <f aca="false">IFERROR(__xludf.dummyfunction("""COMPUTED_VALUE"""),5200000)</f>
        <v>5200000</v>
      </c>
      <c r="D357" s="193"/>
      <c r="E357" s="272" t="n">
        <f aca="false">IFERROR(__xludf.dummyfunction("""COMPUTED_VALUE"""),5616000)</f>
        <v>5616000</v>
      </c>
      <c r="F357" s="193"/>
      <c r="G357" s="272" t="n">
        <f aca="false">IFERROR(__xludf.dummyfunction("""COMPUTED_VALUE"""),10670400)</f>
        <v>10670400</v>
      </c>
      <c r="H357" s="271" t="str">
        <f aca="false">IFERROR(__xludf.dummyfunction("""COMPUTED_VALUE"""),"UFA - Bird")</f>
        <v>UFA - Bird</v>
      </c>
      <c r="I357" s="272" t="str">
        <f aca="false">IFERROR(__xludf.dummyfunction("""COMPUTED_VALUE"""),"")</f>
        <v/>
      </c>
      <c r="J357" s="193"/>
      <c r="K357" s="273"/>
      <c r="L357" s="193"/>
      <c r="M357" s="273"/>
      <c r="N357" s="193"/>
      <c r="O357" s="193" t="n">
        <f aca="false">IFERROR(__xludf.dummyfunction("""COMPUTED_VALUE"""),1)</f>
        <v>1</v>
      </c>
      <c r="P357" s="193"/>
      <c r="Q357" s="193"/>
      <c r="R357" s="193"/>
      <c r="S357" s="193"/>
      <c r="T357" s="193"/>
      <c r="U357" s="193"/>
      <c r="V357" s="193"/>
      <c r="W357" s="193"/>
      <c r="X357" s="193"/>
      <c r="Y357" s="193"/>
      <c r="Z357" s="193"/>
    </row>
    <row r="358" customFormat="false" ht="15.75" hidden="false" customHeight="false" outlineLevel="0" collapsed="false">
      <c r="A358" s="193" t="str">
        <f aca="false">IFERROR(__xludf.dummyfunction("""COMPUTED_VALUE"""),"Kel'el Ware")</f>
        <v>Kel'el Ware</v>
      </c>
      <c r="B358" s="271" t="str">
        <f aca="false">IFERROR(__xludf.dummyfunction("""COMPUTED_VALUE"""),"Miami Heat")</f>
        <v>Miami Heat</v>
      </c>
      <c r="C358" s="272" t="n">
        <f aca="false">IFERROR(__xludf.dummyfunction("""COMPUTED_VALUE"""),4231800)</f>
        <v>4231800</v>
      </c>
      <c r="D358" s="193"/>
      <c r="E358" s="272" t="n">
        <f aca="false">IFERROR(__xludf.dummyfunction("""COMPUTED_VALUE"""),4443360)</f>
        <v>4443360</v>
      </c>
      <c r="F358" s="193"/>
      <c r="G358" s="272" t="n">
        <f aca="false">IFERROR(__xludf.dummyfunction("""COMPUTED_VALUE"""),4654920)</f>
        <v>4654920</v>
      </c>
      <c r="H358" s="271" t="str">
        <f aca="false">IFERROR(__xludf.dummyfunction("""COMPUTED_VALUE"""),"Club Option")</f>
        <v>Club Option</v>
      </c>
      <c r="I358" s="272" t="n">
        <f aca="false">IFERROR(__xludf.dummyfunction("""COMPUTED_VALUE"""),7135992)</f>
        <v>7135992</v>
      </c>
      <c r="J358" s="271" t="str">
        <f aca="false">IFERROR(__xludf.dummyfunction("""COMPUTED_VALUE"""),"Club Option")</f>
        <v>Club Option</v>
      </c>
      <c r="K358" s="272" t="n">
        <f aca="false">IFERROR(__xludf.dummyfunction("""COMPUTED_VALUE"""),21407976)</f>
        <v>21407976</v>
      </c>
      <c r="L358" s="271" t="str">
        <f aca="false">IFERROR(__xludf.dummyfunction("""COMPUTED_VALUE"""),"RFA - Bird")</f>
        <v>RFA - Bird</v>
      </c>
      <c r="M358" s="273"/>
      <c r="N358" s="193"/>
      <c r="O358" s="193" t="n">
        <f aca="false">IFERROR(__xludf.dummyfunction("""COMPUTED_VALUE"""),1)</f>
        <v>1</v>
      </c>
      <c r="P358" s="193"/>
      <c r="Q358" s="193"/>
      <c r="R358" s="193"/>
      <c r="S358" s="193"/>
      <c r="T358" s="193"/>
      <c r="U358" s="193"/>
      <c r="V358" s="193"/>
      <c r="W358" s="193"/>
      <c r="X358" s="193"/>
      <c r="Y358" s="193"/>
      <c r="Z358" s="193"/>
    </row>
    <row r="359" customFormat="false" ht="15.75" hidden="false" customHeight="false" outlineLevel="0" collapsed="false">
      <c r="A359" s="193" t="str">
        <f aca="false">IFERROR(__xludf.dummyfunction("""COMPUTED_VALUE"""),"Jaime Jaquez Jr.")</f>
        <v>Jaime Jaquez Jr.</v>
      </c>
      <c r="B359" s="271" t="str">
        <f aca="false">IFERROR(__xludf.dummyfunction("""COMPUTED_VALUE"""),"Miami Heat")</f>
        <v>Miami Heat</v>
      </c>
      <c r="C359" s="272" t="n">
        <f aca="false">IFERROR(__xludf.dummyfunction("""COMPUTED_VALUE"""),3685800)</f>
        <v>3685800</v>
      </c>
      <c r="D359" s="193"/>
      <c r="E359" s="272" t="n">
        <f aca="false">IFERROR(__xludf.dummyfunction("""COMPUTED_VALUE"""),3861600)</f>
        <v>3861600</v>
      </c>
      <c r="F359" s="193"/>
      <c r="G359" s="272" t="n">
        <f aca="false">IFERROR(__xludf.dummyfunction("""COMPUTED_VALUE"""),5939141)</f>
        <v>5939141</v>
      </c>
      <c r="H359" s="271" t="str">
        <f aca="false">IFERROR(__xludf.dummyfunction("""COMPUTED_VALUE"""),"Club Option")</f>
        <v>Club Option</v>
      </c>
      <c r="I359" s="272" t="n">
        <f aca="false">IFERROR(__xludf.dummyfunction("""COMPUTED_VALUE"""),17817423)</f>
        <v>17817423</v>
      </c>
      <c r="J359" s="271" t="str">
        <f aca="false">IFERROR(__xludf.dummyfunction("""COMPUTED_VALUE"""),"RFA - Bird")</f>
        <v>RFA - Bird</v>
      </c>
      <c r="K359" s="273"/>
      <c r="L359" s="193"/>
      <c r="M359" s="273"/>
      <c r="N359" s="193"/>
      <c r="O359" s="193" t="n">
        <f aca="false">IFERROR(__xludf.dummyfunction("""COMPUTED_VALUE"""),1)</f>
        <v>1</v>
      </c>
      <c r="P359" s="193"/>
      <c r="Q359" s="193"/>
      <c r="R359" s="193"/>
      <c r="S359" s="193"/>
      <c r="T359" s="193"/>
      <c r="U359" s="193"/>
      <c r="V359" s="193"/>
      <c r="W359" s="193"/>
      <c r="X359" s="193"/>
      <c r="Y359" s="193"/>
      <c r="Z359" s="193"/>
    </row>
    <row r="360" customFormat="false" ht="15.75" hidden="false" customHeight="false" outlineLevel="0" collapsed="false">
      <c r="A360" s="193" t="str">
        <f aca="false">IFERROR(__xludf.dummyfunction("""COMPUTED_VALUE"""),"Jordan Mickey")</f>
        <v>Jordan Mickey</v>
      </c>
      <c r="B360" s="271" t="str">
        <f aca="false">IFERROR(__xludf.dummyfunction("""COMPUTED_VALUE"""),"Miami Heat")</f>
        <v>Miami Heat</v>
      </c>
      <c r="C360" s="272" t="n">
        <f aca="false">IFERROR(__xludf.dummyfunction("""COMPUTED_VALUE"""),2087519)</f>
        <v>2087519</v>
      </c>
      <c r="D360" s="271" t="str">
        <f aca="false">IFERROR(__xludf.dummyfunction("""COMPUTED_VALUE"""),"UFA - Non-Bird")</f>
        <v>UFA - Non-Bird</v>
      </c>
      <c r="E360" s="272" t="n">
        <f aca="false">IFERROR(__xludf.dummyfunction("""COMPUTED_VALUE"""),2296274)</f>
        <v>2296274</v>
      </c>
      <c r="F360" s="271" t="str">
        <f aca="false">IFERROR(__xludf.dummyfunction("""COMPUTED_VALUE"""),"UFA - Non-Bird")</f>
        <v>UFA - Non-Bird</v>
      </c>
      <c r="G360" s="273"/>
      <c r="H360" s="193"/>
      <c r="I360" s="273"/>
      <c r="J360" s="193"/>
      <c r="K360" s="273"/>
      <c r="L360" s="193"/>
      <c r="M360" s="273"/>
      <c r="N360" s="193"/>
      <c r="O360" s="193" t="n">
        <f aca="false">IFERROR(__xludf.dummyfunction("""COMPUTED_VALUE"""),1)</f>
        <v>1</v>
      </c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</row>
    <row r="361" customFormat="false" ht="15.75" hidden="false" customHeight="false" outlineLevel="0" collapsed="false">
      <c r="A361" s="193" t="str">
        <f aca="false">IFERROR(__xludf.dummyfunction("""COMPUTED_VALUE"""),"Dwyane Wade")</f>
        <v>Dwyane Wade</v>
      </c>
      <c r="B361" s="271" t="str">
        <f aca="false">IFERROR(__xludf.dummyfunction("""COMPUTED_VALUE"""),"Miami Heat")</f>
        <v>Miami Heat</v>
      </c>
      <c r="C361" s="272" t="n">
        <f aca="false">IFERROR(__xludf.dummyfunction("""COMPUTED_VALUE"""),2087519)</f>
        <v>2087519</v>
      </c>
      <c r="D361" s="271" t="str">
        <f aca="false">IFERROR(__xludf.dummyfunction("""COMPUTED_VALUE"""),"UFA - Early-Bird")</f>
        <v>UFA - Early-Bird</v>
      </c>
      <c r="E361" s="272" t="n">
        <f aca="false">IFERROR(__xludf.dummyfunction("""COMPUTED_VALUE"""),2296274)</f>
        <v>2296274</v>
      </c>
      <c r="F361" s="271" t="str">
        <f aca="false">IFERROR(__xludf.dummyfunction("""COMPUTED_VALUE"""),"UFA - Early-Bird")</f>
        <v>UFA - Early-Bird</v>
      </c>
      <c r="G361" s="273"/>
      <c r="H361" s="193"/>
      <c r="I361" s="273"/>
      <c r="J361" s="193"/>
      <c r="K361" s="273"/>
      <c r="L361" s="193"/>
      <c r="M361" s="273"/>
      <c r="N361" s="193"/>
      <c r="O361" s="193" t="n">
        <f aca="false">IFERROR(__xludf.dummyfunction("""COMPUTED_VALUE"""),1)</f>
        <v>1</v>
      </c>
      <c r="P361" s="193"/>
      <c r="Q361" s="193"/>
      <c r="R361" s="193"/>
      <c r="S361" s="193"/>
      <c r="T361" s="193"/>
      <c r="U361" s="193"/>
      <c r="V361" s="193"/>
      <c r="W361" s="193"/>
      <c r="X361" s="193"/>
      <c r="Y361" s="193"/>
      <c r="Z361" s="193"/>
    </row>
    <row r="362" customFormat="false" ht="15.75" hidden="false" customHeight="false" outlineLevel="0" collapsed="false">
      <c r="A362" s="193" t="str">
        <f aca="false">IFERROR(__xludf.dummyfunction("""COMPUTED_VALUE"""),"Udonis Haslem")</f>
        <v>Udonis Haslem</v>
      </c>
      <c r="B362" s="271" t="str">
        <f aca="false">IFERROR(__xludf.dummyfunction("""COMPUTED_VALUE"""),"Miami Heat")</f>
        <v>Miami Heat</v>
      </c>
      <c r="C362" s="272" t="n">
        <f aca="false">IFERROR(__xludf.dummyfunction("""COMPUTED_VALUE"""),2087519)</f>
        <v>2087519</v>
      </c>
      <c r="D362" s="271" t="str">
        <f aca="false">IFERROR(__xludf.dummyfunction("""COMPUTED_VALUE"""),"UFA - Bird")</f>
        <v>UFA - Bird</v>
      </c>
      <c r="E362" s="272" t="n">
        <f aca="false">IFERROR(__xludf.dummyfunction("""COMPUTED_VALUE"""),2296274)</f>
        <v>2296274</v>
      </c>
      <c r="F362" s="271" t="str">
        <f aca="false">IFERROR(__xludf.dummyfunction("""COMPUTED_VALUE"""),"UFA - Bird")</f>
        <v>UFA - Bird</v>
      </c>
      <c r="G362" s="273"/>
      <c r="H362" s="193"/>
      <c r="I362" s="273"/>
      <c r="J362" s="193"/>
      <c r="K362" s="273"/>
      <c r="L362" s="193"/>
      <c r="M362" s="273"/>
      <c r="N362" s="193"/>
      <c r="O362" s="193" t="n">
        <f aca="false">IFERROR(__xludf.dummyfunction("""COMPUTED_VALUE"""),1)</f>
        <v>1</v>
      </c>
      <c r="P362" s="193"/>
      <c r="Q362" s="193"/>
      <c r="R362" s="193"/>
      <c r="S362" s="193"/>
      <c r="T362" s="193"/>
      <c r="U362" s="193"/>
      <c r="V362" s="193"/>
      <c r="W362" s="193"/>
      <c r="X362" s="193"/>
      <c r="Y362" s="193"/>
      <c r="Z362" s="193"/>
    </row>
    <row r="363" customFormat="false" ht="15.75" hidden="false" customHeight="false" outlineLevel="0" collapsed="false">
      <c r="A363" s="193" t="str">
        <f aca="false">IFERROR(__xludf.dummyfunction("""COMPUTED_VALUE"""),"Jordan Miller")</f>
        <v>Jordan Miller</v>
      </c>
      <c r="B363" s="271" t="str">
        <f aca="false">IFERROR(__xludf.dummyfunction("""COMPUTED_VALUE"""),"Miami Heat")</f>
        <v>Miami Heat</v>
      </c>
      <c r="C363" s="272" t="n">
        <f aca="false">IFERROR(__xludf.dummyfunction("""COMPUTED_VALUE"""),1050000)</f>
        <v>1050000</v>
      </c>
      <c r="D363" s="193"/>
      <c r="E363" s="272" t="n">
        <f aca="false">IFERROR(__xludf.dummyfunction("""COMPUTED_VALUE"""),2191897)</f>
        <v>2191897</v>
      </c>
      <c r="F363" s="193"/>
      <c r="G363" s="272" t="n">
        <f aca="false">IFERROR(__xludf.dummyfunction("""COMPUTED_VALUE"""),2378864)</f>
        <v>2378864</v>
      </c>
      <c r="H363" s="271" t="str">
        <f aca="false">IFERROR(__xludf.dummyfunction("""COMPUTED_VALUE"""),"Non Guaranteed")</f>
        <v>Non Guaranteed</v>
      </c>
      <c r="I363" s="272" t="n">
        <f aca="false">IFERROR(__xludf.dummyfunction("""COMPUTED_VALUE"""),2573347)</f>
        <v>2573347</v>
      </c>
      <c r="J363" s="271" t="str">
        <f aca="false">IFERROR(__xludf.dummyfunction("""COMPUTED_VALUE"""),"Club Option")</f>
        <v>Club Option</v>
      </c>
      <c r="K363" s="272" t="n">
        <f aca="false">IFERROR(__xludf.dummyfunction("""COMPUTED_VALUE"""),3056337)</f>
        <v>3056337</v>
      </c>
      <c r="L363" s="271" t="str">
        <f aca="false">IFERROR(__xludf.dummyfunction("""COMPUTED_VALUE"""),"UFA - Bird")</f>
        <v>UFA - Bird</v>
      </c>
      <c r="M363" s="273"/>
      <c r="N363" s="193"/>
      <c r="O363" s="193" t="n">
        <f aca="false">IFERROR(__xludf.dummyfunction("""COMPUTED_VALUE"""),1)</f>
        <v>1</v>
      </c>
      <c r="P363" s="193"/>
      <c r="Q363" s="193"/>
      <c r="R363" s="193"/>
      <c r="S363" s="193"/>
      <c r="T363" s="193"/>
      <c r="U363" s="193"/>
      <c r="V363" s="193"/>
      <c r="W363" s="193"/>
      <c r="X363" s="193"/>
      <c r="Y363" s="193"/>
      <c r="Z363" s="193"/>
    </row>
    <row r="364" customFormat="false" ht="15.75" hidden="false" customHeight="false" outlineLevel="0" collapsed="false">
      <c r="A364" s="193" t="str">
        <f aca="false">IFERROR(__xludf.dummyfunction("""COMPUTED_VALUE"""),"Dru Smith")</f>
        <v>Dru Smith</v>
      </c>
      <c r="B364" s="271" t="str">
        <f aca="false">IFERROR(__xludf.dummyfunction("""COMPUTED_VALUE"""),"Miami Heat")</f>
        <v>Miami Heat</v>
      </c>
      <c r="C364" s="272" t="str">
        <f aca="false">IFERROR(__xludf.dummyfunction("""COMPUTED_VALUE"""),"Two-way")</f>
        <v>Two-way</v>
      </c>
      <c r="D364" s="271" t="str">
        <f aca="false">IFERROR(__xludf.dummyfunction("""COMPUTED_VALUE"""),"Two-way")</f>
        <v>Two-way</v>
      </c>
      <c r="E364" s="272" t="n">
        <f aca="false">IFERROR(__xludf.dummyfunction("""COMPUTED_VALUE"""),2048491)</f>
        <v>2048491</v>
      </c>
      <c r="F364" s="271" t="str">
        <f aca="false">IFERROR(__xludf.dummyfunction("""COMPUTED_VALUE"""),"UFA - Two-way")</f>
        <v>UFA - Two-way</v>
      </c>
      <c r="G364" s="273"/>
      <c r="H364" s="193"/>
      <c r="I364" s="273"/>
      <c r="J364" s="193"/>
      <c r="K364" s="273"/>
      <c r="L364" s="193"/>
      <c r="M364" s="273"/>
      <c r="N364" s="193"/>
      <c r="O364" s="193" t="n">
        <f aca="false">IFERROR(__xludf.dummyfunction("""COMPUTED_VALUE"""),1)</f>
        <v>1</v>
      </c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</row>
    <row r="365" customFormat="false" ht="15.75" hidden="false" customHeight="false" outlineLevel="0" collapsed="false">
      <c r="A365" s="193" t="str">
        <f aca="false">IFERROR(__xludf.dummyfunction("""COMPUTED_VALUE"""),"Isaiah Stevens")</f>
        <v>Isaiah Stevens</v>
      </c>
      <c r="B365" s="271" t="str">
        <f aca="false">IFERROR(__xludf.dummyfunction("""COMPUTED_VALUE"""),"Miami Heat")</f>
        <v>Miami Heat</v>
      </c>
      <c r="C365" s="272" t="str">
        <f aca="false">IFERROR(__xludf.dummyfunction("""COMPUTED_VALUE"""),"Two-way")</f>
        <v>Two-way</v>
      </c>
      <c r="D365" s="271" t="str">
        <f aca="false">IFERROR(__xludf.dummyfunction("""COMPUTED_VALUE"""),"Two-way")</f>
        <v>Two-way</v>
      </c>
      <c r="E365" s="272" t="n">
        <f aca="false">IFERROR(__xludf.dummyfunction("""COMPUTED_VALUE"""),2048491)</f>
        <v>2048491</v>
      </c>
      <c r="F365" s="271" t="str">
        <f aca="false">IFERROR(__xludf.dummyfunction("""COMPUTED_VALUE"""),"UFA - Two-way")</f>
        <v>UFA - Two-way</v>
      </c>
      <c r="G365" s="273"/>
      <c r="H365" s="193"/>
      <c r="I365" s="273"/>
      <c r="J365" s="193"/>
      <c r="K365" s="273"/>
      <c r="L365" s="193"/>
      <c r="M365" s="273"/>
      <c r="N365" s="193"/>
      <c r="O365" s="193" t="n">
        <f aca="false">IFERROR(__xludf.dummyfunction("""COMPUTED_VALUE"""),1)</f>
        <v>1</v>
      </c>
      <c r="P365" s="193"/>
      <c r="Q365" s="193"/>
      <c r="R365" s="193"/>
      <c r="S365" s="193"/>
      <c r="T365" s="193"/>
      <c r="U365" s="193"/>
      <c r="V365" s="193"/>
      <c r="W365" s="193"/>
      <c r="X365" s="193"/>
      <c r="Y365" s="193"/>
      <c r="Z365" s="193"/>
    </row>
    <row r="366" customFormat="false" ht="15.75" hidden="false" customHeight="false" outlineLevel="0" collapsed="false">
      <c r="A366" s="193" t="str">
        <f aca="false">IFERROR(__xludf.dummyfunction("""COMPUTED_VALUE"""),"Josh Christopher")</f>
        <v>Josh Christopher</v>
      </c>
      <c r="B366" s="271" t="str">
        <f aca="false">IFERROR(__xludf.dummyfunction("""COMPUTED_VALUE"""),"Miami Heat")</f>
        <v>Miami Heat</v>
      </c>
      <c r="C366" s="272" t="str">
        <f aca="false">IFERROR(__xludf.dummyfunction("""COMPUTED_VALUE"""),"Two-way")</f>
        <v>Two-way</v>
      </c>
      <c r="D366" s="271" t="str">
        <f aca="false">IFERROR(__xludf.dummyfunction("""COMPUTED_VALUE"""),"Two-way")</f>
        <v>Two-way</v>
      </c>
      <c r="E366" s="272" t="n">
        <f aca="false">IFERROR(__xludf.dummyfunction("""COMPUTED_VALUE"""),2048491)</f>
        <v>2048491</v>
      </c>
      <c r="F366" s="271" t="str">
        <f aca="false">IFERROR(__xludf.dummyfunction("""COMPUTED_VALUE"""),"UFA - Two-way")</f>
        <v>UFA - Two-way</v>
      </c>
      <c r="G366" s="273"/>
      <c r="H366" s="193"/>
      <c r="I366" s="273"/>
      <c r="J366" s="193"/>
      <c r="K366" s="273"/>
      <c r="L366" s="193"/>
      <c r="M366" s="273"/>
      <c r="N366" s="193"/>
      <c r="O366" s="193" t="n">
        <f aca="false">IFERROR(__xludf.dummyfunction("""COMPUTED_VALUE"""),1)</f>
        <v>1</v>
      </c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</row>
    <row r="367" customFormat="false" ht="15.75" hidden="false" customHeight="false" outlineLevel="0" collapsed="false">
      <c r="A367" s="193" t="str">
        <f aca="false">IFERROR(__xludf.dummyfunction("""COMPUTED_VALUE"""),"Pelle Larsson")</f>
        <v>Pelle Larsson</v>
      </c>
      <c r="B367" s="271" t="str">
        <f aca="false">IFERROR(__xludf.dummyfunction("""COMPUTED_VALUE"""),"Miami Heat")</f>
        <v>Miami Heat</v>
      </c>
      <c r="C367" s="272" t="n">
        <f aca="false">IFERROR(__xludf.dummyfunction("""COMPUTED_VALUE"""),1157153)</f>
        <v>1157153</v>
      </c>
      <c r="D367" s="193"/>
      <c r="E367" s="272" t="n">
        <f aca="false">IFERROR(__xludf.dummyfunction("""COMPUTED_VALUE"""),1955378)</f>
        <v>1955378</v>
      </c>
      <c r="F367" s="193"/>
      <c r="G367" s="272" t="n">
        <f aca="false">IFERROR(__xludf.dummyfunction("""COMPUTED_VALUE"""),2296271)</f>
        <v>2296271</v>
      </c>
      <c r="H367" s="271" t="str">
        <f aca="false">IFERROR(__xludf.dummyfunction("""COMPUTED_VALUE"""),"Club Option")</f>
        <v>Club Option</v>
      </c>
      <c r="I367" s="272" t="n">
        <f aca="false">IFERROR(__xludf.dummyfunction("""COMPUTED_VALUE"""),3099966)</f>
        <v>3099966</v>
      </c>
      <c r="J367" s="271" t="str">
        <f aca="false">IFERROR(__xludf.dummyfunction("""COMPUTED_VALUE"""),"RFA - Bird")</f>
        <v>RFA - Bird</v>
      </c>
      <c r="K367" s="273"/>
      <c r="L367" s="193"/>
      <c r="M367" s="273"/>
      <c r="N367" s="193"/>
      <c r="O367" s="193" t="n">
        <f aca="false">IFERROR(__xludf.dummyfunction("""COMPUTED_VALUE"""),1)</f>
        <v>1</v>
      </c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</row>
    <row r="368" customFormat="false" ht="15.75" hidden="false" customHeight="false" outlineLevel="0" collapsed="false">
      <c r="A368" s="193" t="str">
        <f aca="false">IFERROR(__xludf.dummyfunction("""COMPUTED_VALUE"""),"Keshad Johnson")</f>
        <v>Keshad Johnson</v>
      </c>
      <c r="B368" s="271" t="str">
        <f aca="false">IFERROR(__xludf.dummyfunction("""COMPUTED_VALUE"""),"Miami Heat")</f>
        <v>Miami Heat</v>
      </c>
      <c r="C368" s="272" t="n">
        <f aca="false">IFERROR(__xludf.dummyfunction("""COMPUTED_VALUE"""),724883)</f>
        <v>724883</v>
      </c>
      <c r="D368" s="193"/>
      <c r="E368" s="272" t="n">
        <f aca="false">IFERROR(__xludf.dummyfunction("""COMPUTED_VALUE"""),1955377)</f>
        <v>1955377</v>
      </c>
      <c r="F368" s="193"/>
      <c r="G368" s="272" t="n">
        <f aca="false">IFERROR(__xludf.dummyfunction("""COMPUTED_VALUE"""),2725905)</f>
        <v>2725905</v>
      </c>
      <c r="H368" s="193" t="str">
        <f aca="false">IFERROR(__xludf.dummyfunction("""COMPUTED_VALUE"""),"RFA - Early Bird")</f>
        <v>RFA - Early Bird</v>
      </c>
      <c r="I368" s="272" t="str">
        <f aca="false">IFERROR(__xludf.dummyfunction("""COMPUTED_VALUE"""),"")</f>
        <v/>
      </c>
      <c r="J368" s="193"/>
      <c r="K368" s="273"/>
      <c r="L368" s="193"/>
      <c r="M368" s="273"/>
      <c r="N368" s="193"/>
      <c r="O368" s="193" t="n">
        <f aca="false">IFERROR(__xludf.dummyfunction("""COMPUTED_VALUE"""),1)</f>
        <v>1</v>
      </c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</row>
    <row r="369" customFormat="false" ht="15.75" hidden="false" customHeight="false" outlineLevel="0" collapsed="false">
      <c r="A369" s="193" t="str">
        <f aca="false">IFERROR(__xludf.dummyfunction("""COMPUTED_VALUE"""),"Pete Nance")</f>
        <v>Pete Nance</v>
      </c>
      <c r="B369" s="271" t="str">
        <f aca="false">IFERROR(__xludf.dummyfunction("""COMPUTED_VALUE"""),"Milwaukee Bucks")</f>
        <v>Milwaukee Bucks</v>
      </c>
      <c r="C369" s="272" t="str">
        <f aca="false">IFERROR(__xludf.dummyfunction("""COMPUTED_VALUE"""),"Two-way")</f>
        <v>Two-way</v>
      </c>
      <c r="D369" s="271" t="str">
        <f aca="false">IFERROR(__xludf.dummyfunction("""COMPUTED_VALUE"""),"Two-way")</f>
        <v>Two-way</v>
      </c>
      <c r="E369" s="272" t="str">
        <f aca="false">IFERROR(__xludf.dummyfunction("""COMPUTED_VALUE"""),"Two-way")</f>
        <v>Two-way</v>
      </c>
      <c r="F369" s="271" t="str">
        <f aca="false">IFERROR(__xludf.dummyfunction("""COMPUTED_VALUE"""),"Two-way")</f>
        <v>Two-way</v>
      </c>
      <c r="G369" s="272" t="n">
        <f aca="false">IFERROR(__xludf.dummyfunction("""COMPUTED_VALUE"""),2253346)</f>
        <v>2253346</v>
      </c>
      <c r="H369" s="271" t="str">
        <f aca="false">IFERROR(__xludf.dummyfunction("""COMPUTED_VALUE"""),"UFA - Two-way")</f>
        <v>UFA - Two-way</v>
      </c>
      <c r="I369" s="273"/>
      <c r="J369" s="193"/>
      <c r="K369" s="273"/>
      <c r="L369" s="193"/>
      <c r="M369" s="273"/>
      <c r="N369" s="193"/>
      <c r="O369" s="193" t="n">
        <f aca="false">IFERROR(__xludf.dummyfunction("""COMPUTED_VALUE"""),1)</f>
        <v>1</v>
      </c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</row>
    <row r="370" customFormat="false" ht="15.75" hidden="false" customHeight="false" outlineLevel="0" collapsed="false">
      <c r="A370" s="193" t="str">
        <f aca="false">IFERROR(__xludf.dummyfunction("""COMPUTED_VALUE"""),"Izan Almansa (R)")</f>
        <v>Izan Almansa (R)</v>
      </c>
      <c r="B370" s="271" t="str">
        <f aca="false">IFERROR(__xludf.dummyfunction("""COMPUTED_VALUE"""),"Milwaukee Bucks")</f>
        <v>Milwaukee Bucks</v>
      </c>
      <c r="C370" s="272" t="str">
        <f aca="false">IFERROR(__xludf.dummyfunction("""COMPUTED_VALUE"""),"Two-way")</f>
        <v>Two-way</v>
      </c>
      <c r="D370" s="271" t="str">
        <f aca="false">IFERROR(__xludf.dummyfunction("""COMPUTED_VALUE"""),"Two-way")</f>
        <v>Two-way</v>
      </c>
      <c r="E370" s="272" t="str">
        <f aca="false">IFERROR(__xludf.dummyfunction("""COMPUTED_VALUE"""),"Two-Way")</f>
        <v>Two-Way</v>
      </c>
      <c r="F370" s="271" t="str">
        <f aca="false">IFERROR(__xludf.dummyfunction("""COMPUTED_VALUE"""),"Two-Way")</f>
        <v>Two-Way</v>
      </c>
      <c r="G370" s="272" t="n">
        <f aca="false">IFERROR(__xludf.dummyfunction("""COMPUTED_VALUE"""),2253346)</f>
        <v>2253346</v>
      </c>
      <c r="H370" s="271" t="str">
        <f aca="false">IFERROR(__xludf.dummyfunction("""COMPUTED_VALUE"""),"UFA - Two-Way")</f>
        <v>UFA - Two-Way</v>
      </c>
      <c r="I370" s="273"/>
      <c r="J370" s="193"/>
      <c r="K370" s="273"/>
      <c r="L370" s="193"/>
      <c r="M370" s="273"/>
      <c r="N370" s="193"/>
      <c r="O370" s="193" t="n">
        <f aca="false">IFERROR(__xludf.dummyfunction("""COMPUTED_VALUE"""),1)</f>
        <v>1</v>
      </c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</row>
    <row r="371" customFormat="false" ht="15.75" hidden="false" customHeight="false" outlineLevel="0" collapsed="false">
      <c r="A371" s="193" t="str">
        <f aca="false">IFERROR(__xludf.dummyfunction("""COMPUTED_VALUE"""),"Alperen Sengun")</f>
        <v>Alperen Sengun</v>
      </c>
      <c r="B371" s="271" t="str">
        <f aca="false">IFERROR(__xludf.dummyfunction("""COMPUTED_VALUE"""),"Milwaukee Bucks")</f>
        <v>Milwaukee Bucks</v>
      </c>
      <c r="C371" s="273"/>
      <c r="D371" s="193"/>
      <c r="E371" s="272" t="n">
        <f aca="false">IFERROR(__xludf.dummyfunction("""COMPUTED_VALUE"""),33944954)</f>
        <v>33944954</v>
      </c>
      <c r="F371" s="193"/>
      <c r="G371" s="272" t="n">
        <f aca="false">IFERROR(__xludf.dummyfunction("""COMPUTED_VALUE"""),35642202)</f>
        <v>35642202</v>
      </c>
      <c r="H371" s="193"/>
      <c r="I371" s="272" t="n">
        <f aca="false">IFERROR(__xludf.dummyfunction("""COMPUTED_VALUE"""),37339450)</f>
        <v>37339450</v>
      </c>
      <c r="J371" s="193"/>
      <c r="K371" s="272" t="n">
        <f aca="false">IFERROR(__xludf.dummyfunction("""COMPUTED_VALUE"""),39036697)</f>
        <v>39036697</v>
      </c>
      <c r="L371" s="193"/>
      <c r="M371" s="272" t="n">
        <f aca="false">IFERROR(__xludf.dummyfunction("""COMPUTED_VALUE"""),39036697)</f>
        <v>39036697</v>
      </c>
      <c r="N371" s="271" t="str">
        <f aca="false">IFERROR(__xludf.dummyfunction("""COMPUTED_VALUE"""),"Player Option")</f>
        <v>Player Option</v>
      </c>
      <c r="O371" s="193" t="n">
        <f aca="false">IFERROR(__xludf.dummyfunction("""COMPUTED_VALUE"""),1)</f>
        <v>1</v>
      </c>
      <c r="P371" s="193"/>
      <c r="Q371" s="193"/>
      <c r="R371" s="193"/>
      <c r="S371" s="193"/>
      <c r="T371" s="193"/>
      <c r="U371" s="193"/>
      <c r="V371" s="193"/>
      <c r="W371" s="193"/>
      <c r="X371" s="193"/>
      <c r="Y371" s="193"/>
      <c r="Z371" s="193"/>
    </row>
    <row r="372" customFormat="false" ht="15.75" hidden="false" customHeight="false" outlineLevel="0" collapsed="false">
      <c r="A372" s="193" t="str">
        <f aca="false">IFERROR(__xludf.dummyfunction("""COMPUTED_VALUE"""),"Jordan Poole")</f>
        <v>Jordan Poole</v>
      </c>
      <c r="B372" s="271" t="str">
        <f aca="false">IFERROR(__xludf.dummyfunction("""COMPUTED_VALUE"""),"Milwaukee Bucks")</f>
        <v>Milwaukee Bucks</v>
      </c>
      <c r="C372" s="273"/>
      <c r="D372" s="193"/>
      <c r="E372" s="272" t="n">
        <f aca="false">IFERROR(__xludf.dummyfunction("""COMPUTED_VALUE"""),31848215)</f>
        <v>31848215</v>
      </c>
      <c r="F372" s="193"/>
      <c r="G372" s="272" t="n">
        <f aca="false">IFERROR(__xludf.dummyfunction("""COMPUTED_VALUE"""),34044642)</f>
        <v>34044642</v>
      </c>
      <c r="H372" s="193"/>
      <c r="I372" s="272" t="n">
        <f aca="false">IFERROR(__xludf.dummyfunction("""COMPUTED_VALUE"""),51306600)</f>
        <v>51306600</v>
      </c>
      <c r="J372" s="193" t="str">
        <f aca="false">IFERROR(__xludf.dummyfunction("""COMPUTED_VALUE"""),"UFA - Bird")</f>
        <v>UFA - Bird</v>
      </c>
      <c r="K372" s="273"/>
      <c r="L372" s="193"/>
      <c r="M372" s="273"/>
      <c r="N372" s="193"/>
      <c r="O372" s="193" t="n">
        <f aca="false">IFERROR(__xludf.dummyfunction("""COMPUTED_VALUE"""),1)</f>
        <v>1</v>
      </c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</row>
    <row r="373" customFormat="false" ht="15.75" hidden="false" customHeight="false" outlineLevel="0" collapsed="false">
      <c r="A373" s="193" t="str">
        <f aca="false">IFERROR(__xludf.dummyfunction("""COMPUTED_VALUE"""),"R.J. Barrett")</f>
        <v>R.J. Barrett</v>
      </c>
      <c r="B373" s="271" t="str">
        <f aca="false">IFERROR(__xludf.dummyfunction("""COMPUTED_VALUE"""),"Milwaukee Bucks")</f>
        <v>Milwaukee Bucks</v>
      </c>
      <c r="C373" s="272" t="n">
        <f aca="false">IFERROR(__xludf.dummyfunction("""COMPUTED_VALUE"""),25794643)</f>
        <v>25794643</v>
      </c>
      <c r="D373" s="193"/>
      <c r="E373" s="272" t="n">
        <f aca="false">IFERROR(__xludf.dummyfunction("""COMPUTED_VALUE"""),27705357)</f>
        <v>27705357</v>
      </c>
      <c r="F373" s="193"/>
      <c r="G373" s="272" t="n">
        <f aca="false">IFERROR(__xludf.dummyfunction("""COMPUTED_VALUE"""),29616071)</f>
        <v>29616071</v>
      </c>
      <c r="H373" s="193"/>
      <c r="I373" s="272" t="n">
        <f aca="false">IFERROR(__xludf.dummyfunction("""COMPUTED_VALUE"""),44424107)</f>
        <v>44424107</v>
      </c>
      <c r="J373" s="271" t="str">
        <f aca="false">IFERROR(__xludf.dummyfunction("""COMPUTED_VALUE"""),"UFA - Bird")</f>
        <v>UFA - Bird</v>
      </c>
      <c r="K373" s="273"/>
      <c r="L373" s="193"/>
      <c r="M373" s="273"/>
      <c r="N373" s="193"/>
      <c r="O373" s="193" t="n">
        <f aca="false">IFERROR(__xludf.dummyfunction("""COMPUTED_VALUE"""),1)</f>
        <v>1</v>
      </c>
      <c r="P373" s="193"/>
      <c r="Q373" s="193"/>
      <c r="R373" s="193"/>
      <c r="S373" s="193"/>
      <c r="T373" s="193"/>
      <c r="U373" s="193"/>
      <c r="V373" s="193"/>
      <c r="W373" s="193"/>
      <c r="X373" s="193"/>
      <c r="Y373" s="193"/>
      <c r="Z373" s="193"/>
    </row>
    <row r="374" customFormat="false" ht="15.75" hidden="false" customHeight="false" outlineLevel="0" collapsed="false">
      <c r="A374" s="193" t="str">
        <f aca="false">IFERROR(__xludf.dummyfunction("""COMPUTED_VALUE"""),"Duncan Robinson")</f>
        <v>Duncan Robinson</v>
      </c>
      <c r="B374" s="271" t="str">
        <f aca="false">IFERROR(__xludf.dummyfunction("""COMPUTED_VALUE"""),"Milwaukee Bucks")</f>
        <v>Milwaukee Bucks</v>
      </c>
      <c r="C374" s="273"/>
      <c r="D374" s="193"/>
      <c r="E374" s="272" t="n">
        <f aca="false">IFERROR(__xludf.dummyfunction("""COMPUTED_VALUE"""),19888000)</f>
        <v>19888000</v>
      </c>
      <c r="F374" s="193"/>
      <c r="G374" s="272" t="n">
        <f aca="false">IFERROR(__xludf.dummyfunction("""COMPUTED_VALUE"""),29832000)</f>
        <v>29832000</v>
      </c>
      <c r="H374" s="271" t="str">
        <f aca="false">IFERROR(__xludf.dummyfunction("""COMPUTED_VALUE"""),"UFA - Bird")</f>
        <v>UFA - Bird</v>
      </c>
      <c r="I374" s="272" t="str">
        <f aca="false">IFERROR(__xludf.dummyfunction("""COMPUTED_VALUE"""),"")</f>
        <v/>
      </c>
      <c r="J374" s="193"/>
      <c r="K374" s="273"/>
      <c r="L374" s="193"/>
      <c r="M374" s="273"/>
      <c r="N374" s="193"/>
      <c r="O374" s="193" t="n">
        <f aca="false">IFERROR(__xludf.dummyfunction("""COMPUTED_VALUE"""),1)</f>
        <v>1</v>
      </c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</row>
    <row r="375" customFormat="false" ht="15.75" hidden="false" customHeight="false" outlineLevel="0" collapsed="false">
      <c r="A375" s="193" t="str">
        <f aca="false">IFERROR(__xludf.dummyfunction("""COMPUTED_VALUE"""),"Bobby Portis")</f>
        <v>Bobby Portis</v>
      </c>
      <c r="B375" s="271" t="str">
        <f aca="false">IFERROR(__xludf.dummyfunction("""COMPUTED_VALUE"""),"Milwaukee Bucks")</f>
        <v>Milwaukee Bucks</v>
      </c>
      <c r="C375" s="272" t="n">
        <f aca="false">IFERROR(__xludf.dummyfunction("""COMPUTED_VALUE"""),13000000)</f>
        <v>13000000</v>
      </c>
      <c r="D375" s="193"/>
      <c r="E375" s="272" t="n">
        <f aca="false">IFERROR(__xludf.dummyfunction("""COMPUTED_VALUE"""),16667000)</f>
        <v>16667000</v>
      </c>
      <c r="F375" s="193"/>
      <c r="G375" s="272" t="n">
        <f aca="false">IFERROR(__xludf.dummyfunction("""COMPUTED_VALUE"""),16667000)</f>
        <v>16667000</v>
      </c>
      <c r="H375" s="193"/>
      <c r="I375" s="272" t="n">
        <f aca="false">IFERROR(__xludf.dummyfunction("""COMPUTED_VALUE"""),16667000)</f>
        <v>16667000</v>
      </c>
      <c r="J375" s="193"/>
      <c r="K375" s="272" t="n">
        <f aca="false">IFERROR(__xludf.dummyfunction("""COMPUTED_VALUE"""),31667300)</f>
        <v>31667300</v>
      </c>
      <c r="L375" s="271" t="str">
        <f aca="false">IFERROR(__xludf.dummyfunction("""COMPUTED_VALUE"""),"UFA - Bird")</f>
        <v>UFA - Bird</v>
      </c>
      <c r="M375" s="273"/>
      <c r="N375" s="193"/>
      <c r="O375" s="193" t="n">
        <f aca="false">IFERROR(__xludf.dummyfunction("""COMPUTED_VALUE"""),1)</f>
        <v>1</v>
      </c>
      <c r="P375" s="193"/>
      <c r="Q375" s="193"/>
      <c r="R375" s="193"/>
      <c r="S375" s="193"/>
      <c r="T375" s="193"/>
      <c r="U375" s="193"/>
      <c r="V375" s="193"/>
      <c r="W375" s="193"/>
      <c r="X375" s="193"/>
      <c r="Y375" s="193"/>
      <c r="Z375" s="193"/>
    </row>
    <row r="376" customFormat="false" ht="15.75" hidden="false" customHeight="false" outlineLevel="0" collapsed="false">
      <c r="A376" s="193" t="str">
        <f aca="false">IFERROR(__xludf.dummyfunction("""COMPUTED_VALUE"""),"Maxi Kleber")</f>
        <v>Maxi Kleber</v>
      </c>
      <c r="B376" s="271" t="str">
        <f aca="false">IFERROR(__xludf.dummyfunction("""COMPUTED_VALUE"""),"Milwaukee Bucks")</f>
        <v>Milwaukee Bucks</v>
      </c>
      <c r="C376" s="272" t="n">
        <f aca="false">IFERROR(__xludf.dummyfunction("""COMPUTED_VALUE"""),11000000)</f>
        <v>11000000</v>
      </c>
      <c r="D376" s="193"/>
      <c r="E376" s="272" t="n">
        <f aca="false">IFERROR(__xludf.dummyfunction("""COMPUTED_VALUE"""),11000000)</f>
        <v>11000000</v>
      </c>
      <c r="F376" s="193"/>
      <c r="G376" s="272" t="n">
        <f aca="false">IFERROR(__xludf.dummyfunction("""COMPUTED_VALUE"""),20900000)</f>
        <v>20900000</v>
      </c>
      <c r="H376" s="271" t="str">
        <f aca="false">IFERROR(__xludf.dummyfunction("""COMPUTED_VALUE"""),"UFA - Bird")</f>
        <v>UFA - Bird</v>
      </c>
      <c r="I376" s="272" t="str">
        <f aca="false">IFERROR(__xludf.dummyfunction("""COMPUTED_VALUE"""),"")</f>
        <v/>
      </c>
      <c r="J376" s="193"/>
      <c r="K376" s="273"/>
      <c r="L376" s="193"/>
      <c r="M376" s="273"/>
      <c r="N376" s="193"/>
      <c r="O376" s="193" t="n">
        <f aca="false">IFERROR(__xludf.dummyfunction("""COMPUTED_VALUE"""),1)</f>
        <v>1</v>
      </c>
      <c r="P376" s="193"/>
      <c r="Q376" s="193"/>
      <c r="R376" s="193"/>
      <c r="S376" s="193"/>
      <c r="T376" s="193"/>
      <c r="U376" s="193"/>
      <c r="V376" s="193"/>
      <c r="W376" s="193"/>
      <c r="X376" s="193"/>
      <c r="Y376" s="193"/>
      <c r="Z376" s="193"/>
    </row>
    <row r="377" customFormat="false" ht="15.75" hidden="false" customHeight="false" outlineLevel="0" collapsed="false">
      <c r="A377" s="193" t="str">
        <f aca="false">IFERROR(__xludf.dummyfunction("""COMPUTED_VALUE"""),"Kenyon Martin Jr.")</f>
        <v>Kenyon Martin Jr.</v>
      </c>
      <c r="B377" s="271" t="str">
        <f aca="false">IFERROR(__xludf.dummyfunction("""COMPUTED_VALUE"""),"Milwaukee Bucks")</f>
        <v>Milwaukee Bucks</v>
      </c>
      <c r="C377" s="272" t="n">
        <f aca="false">IFERROR(__xludf.dummyfunction("""COMPUTED_VALUE"""),7975000)</f>
        <v>7975000</v>
      </c>
      <c r="D377" s="193"/>
      <c r="E377" s="272" t="n">
        <f aca="false">IFERROR(__xludf.dummyfunction("""COMPUTED_VALUE"""),8025000)</f>
        <v>8025000</v>
      </c>
      <c r="F377" s="193"/>
      <c r="G377" s="272" t="n">
        <f aca="false">IFERROR(__xludf.dummyfunction("""COMPUTED_VALUE"""),15247500)</f>
        <v>15247500</v>
      </c>
      <c r="H377" s="271" t="str">
        <f aca="false">IFERROR(__xludf.dummyfunction("""COMPUTED_VALUE"""),"UFA - Bird")</f>
        <v>UFA - Bird</v>
      </c>
      <c r="I377" s="272" t="str">
        <f aca="false">IFERROR(__xludf.dummyfunction("""COMPUTED_VALUE"""),"")</f>
        <v/>
      </c>
      <c r="J377" s="193"/>
      <c r="K377" s="273"/>
      <c r="L377" s="193"/>
      <c r="M377" s="273"/>
      <c r="N377" s="193"/>
      <c r="O377" s="193" t="n">
        <f aca="false">IFERROR(__xludf.dummyfunction("""COMPUTED_VALUE"""),1)</f>
        <v>1</v>
      </c>
      <c r="P377" s="193"/>
      <c r="Q377" s="193"/>
      <c r="R377" s="193"/>
      <c r="S377" s="193"/>
      <c r="T377" s="193"/>
      <c r="U377" s="193"/>
      <c r="V377" s="193"/>
      <c r="W377" s="193"/>
      <c r="X377" s="193"/>
      <c r="Y377" s="193"/>
      <c r="Z377" s="193"/>
    </row>
    <row r="378" customFormat="false" ht="15.75" hidden="false" customHeight="false" outlineLevel="0" collapsed="false">
      <c r="A378" s="193" t="str">
        <f aca="false">IFERROR(__xludf.dummyfunction("""COMPUTED_VALUE"""),"Kelly Oubre Jr.")</f>
        <v>Kelly Oubre Jr.</v>
      </c>
      <c r="B378" s="271" t="str">
        <f aca="false">IFERROR(__xludf.dummyfunction("""COMPUTED_VALUE"""),"Milwaukee Bucks")</f>
        <v>Milwaukee Bucks</v>
      </c>
      <c r="C378" s="272" t="n">
        <f aca="false">IFERROR(__xludf.dummyfunction("""COMPUTED_VALUE"""),7983000)</f>
        <v>7983000</v>
      </c>
      <c r="D378" s="193"/>
      <c r="E378" s="272" t="n">
        <f aca="false">IFERROR(__xludf.dummyfunction("""COMPUTED_VALUE"""),8000000)</f>
        <v>8000000</v>
      </c>
      <c r="F378" s="193"/>
      <c r="G378" s="272" t="n">
        <f aca="false">IFERROR(__xludf.dummyfunction("""COMPUTED_VALUE"""),8000000)</f>
        <v>8000000</v>
      </c>
      <c r="H378" s="193"/>
      <c r="I378" s="272" t="n">
        <f aca="false">IFERROR(__xludf.dummyfunction("""COMPUTED_VALUE"""),8000000)</f>
        <v>8000000</v>
      </c>
      <c r="J378" s="271" t="str">
        <f aca="false">IFERROR(__xludf.dummyfunction("""COMPUTED_VALUE"""),"Player Option")</f>
        <v>Player Option</v>
      </c>
      <c r="K378" s="272" t="n">
        <f aca="false">IFERROR(__xludf.dummyfunction("""COMPUTED_VALUE"""),15200000)</f>
        <v>15200000</v>
      </c>
      <c r="L378" s="271" t="str">
        <f aca="false">IFERROR(__xludf.dummyfunction("""COMPUTED_VALUE"""),"UFA - Bird")</f>
        <v>UFA - Bird</v>
      </c>
      <c r="M378" s="273"/>
      <c r="N378" s="193"/>
      <c r="O378" s="193" t="n">
        <f aca="false">IFERROR(__xludf.dummyfunction("""COMPUTED_VALUE"""),1)</f>
        <v>1</v>
      </c>
      <c r="P378" s="193"/>
      <c r="Q378" s="193"/>
      <c r="R378" s="193"/>
      <c r="S378" s="193"/>
      <c r="T378" s="193"/>
      <c r="U378" s="193"/>
      <c r="V378" s="193"/>
      <c r="W378" s="193"/>
      <c r="X378" s="193"/>
      <c r="Y378" s="193"/>
      <c r="Z378" s="193"/>
    </row>
    <row r="379" customFormat="false" ht="15.75" hidden="false" customHeight="false" outlineLevel="0" collapsed="false">
      <c r="A379" s="193" t="str">
        <f aca="false">IFERROR(__xludf.dummyfunction("""COMPUTED_VALUE"""),"Steven Adams")</f>
        <v>Steven Adams</v>
      </c>
      <c r="B379" s="271" t="str">
        <f aca="false">IFERROR(__xludf.dummyfunction("""COMPUTED_VALUE"""),"Milwaukee Bucks")</f>
        <v>Milwaukee Bucks</v>
      </c>
      <c r="C379" s="272" t="n">
        <f aca="false">IFERROR(__xludf.dummyfunction("""COMPUTED_VALUE"""),12600000)</f>
        <v>12600000</v>
      </c>
      <c r="D379" s="193"/>
      <c r="E379" s="272" t="n">
        <f aca="false">IFERROR(__xludf.dummyfunction("""COMPUTED_VALUE"""),6000000)</f>
        <v>6000000</v>
      </c>
      <c r="F379" s="193"/>
      <c r="G379" s="272" t="n">
        <f aca="false">IFERROR(__xludf.dummyfunction("""COMPUTED_VALUE"""),6000000)</f>
        <v>6000000</v>
      </c>
      <c r="H379" s="271" t="str">
        <f aca="false">IFERROR(__xludf.dummyfunction("""COMPUTED_VALUE"""),"Player Option")</f>
        <v>Player Option</v>
      </c>
      <c r="I379" s="272" t="n">
        <f aca="false">IFERROR(__xludf.dummyfunction("""COMPUTED_VALUE"""),7800000)</f>
        <v>7800000</v>
      </c>
      <c r="J379" s="271" t="str">
        <f aca="false">IFERROR(__xludf.dummyfunction("""COMPUTED_VALUE"""),"UFA - Early Bird")</f>
        <v>UFA - Early Bird</v>
      </c>
      <c r="K379" s="273"/>
      <c r="L379" s="193"/>
      <c r="M379" s="273"/>
      <c r="N379" s="193"/>
      <c r="O379" s="193" t="n">
        <f aca="false">IFERROR(__xludf.dummyfunction("""COMPUTED_VALUE"""),1)</f>
        <v>1</v>
      </c>
      <c r="P379" s="193"/>
      <c r="Q379" s="193"/>
      <c r="R379" s="193"/>
      <c r="S379" s="193"/>
      <c r="T379" s="193"/>
      <c r="U379" s="193"/>
      <c r="V379" s="193"/>
      <c r="W379" s="193"/>
      <c r="X379" s="193"/>
      <c r="Y379" s="193"/>
      <c r="Z379" s="193"/>
    </row>
    <row r="380" customFormat="false" ht="15.75" hidden="false" customHeight="false" outlineLevel="0" collapsed="false">
      <c r="A380" s="193" t="str">
        <f aca="false">IFERROR(__xludf.dummyfunction("""COMPUTED_VALUE"""),"Tari Eason")</f>
        <v>Tari Eason</v>
      </c>
      <c r="B380" s="271" t="str">
        <f aca="false">IFERROR(__xludf.dummyfunction("""COMPUTED_VALUE"""),"Milwaukee Bucks")</f>
        <v>Milwaukee Bucks</v>
      </c>
      <c r="C380" s="273"/>
      <c r="D380" s="193"/>
      <c r="E380" s="272" t="n">
        <f aca="false">IFERROR(__xludf.dummyfunction("""COMPUTED_VALUE"""),5675766)</f>
        <v>5675766</v>
      </c>
      <c r="F380" s="193"/>
      <c r="G380" s="272" t="n">
        <f aca="false">IFERROR(__xludf.dummyfunction("""COMPUTED_VALUE"""),17027298)</f>
        <v>17027298</v>
      </c>
      <c r="H380" s="271" t="str">
        <f aca="false">IFERROR(__xludf.dummyfunction("""COMPUTED_VALUE"""),"RFA - Bird")</f>
        <v>RFA - Bird</v>
      </c>
      <c r="I380" s="272" t="str">
        <f aca="false">IFERROR(__xludf.dummyfunction("""COMPUTED_VALUE"""),"")</f>
        <v/>
      </c>
      <c r="J380" s="193"/>
      <c r="K380" s="273"/>
      <c r="L380" s="193"/>
      <c r="M380" s="273"/>
      <c r="N380" s="193"/>
      <c r="O380" s="193" t="n">
        <f aca="false">IFERROR(__xludf.dummyfunction("""COMPUTED_VALUE"""),1)</f>
        <v>1</v>
      </c>
      <c r="P380" s="193"/>
      <c r="Q380" s="193"/>
      <c r="R380" s="193"/>
      <c r="S380" s="193"/>
      <c r="T380" s="193"/>
      <c r="U380" s="193"/>
      <c r="V380" s="193"/>
      <c r="W380" s="193"/>
      <c r="X380" s="193"/>
      <c r="Y380" s="193"/>
      <c r="Z380" s="193"/>
    </row>
    <row r="381" customFormat="false" ht="15.75" hidden="false" customHeight="false" outlineLevel="0" collapsed="false">
      <c r="A381" s="193" t="str">
        <f aca="false">IFERROR(__xludf.dummyfunction("""COMPUTED_VALUE"""),"Keyonte George")</f>
        <v>Keyonte George</v>
      </c>
      <c r="B381" s="271" t="str">
        <f aca="false">IFERROR(__xludf.dummyfunction("""COMPUTED_VALUE"""),"Milwaukee Bucks")</f>
        <v>Milwaukee Bucks</v>
      </c>
      <c r="C381" s="272" t="n">
        <f aca="false">IFERROR(__xludf.dummyfunction("""COMPUTED_VALUE"""),4084200)</f>
        <v>4084200</v>
      </c>
      <c r="D381" s="193"/>
      <c r="E381" s="272" t="n">
        <f aca="false">IFERROR(__xludf.dummyfunction("""COMPUTED_VALUE"""),4278960)</f>
        <v>4278960</v>
      </c>
      <c r="F381" s="193"/>
      <c r="G381" s="272" t="n">
        <f aca="false">IFERROR(__xludf.dummyfunction("""COMPUTED_VALUE"""),6563925)</f>
        <v>6563925</v>
      </c>
      <c r="H381" s="271" t="str">
        <f aca="false">IFERROR(__xludf.dummyfunction("""COMPUTED_VALUE"""),"Club Option")</f>
        <v>Club Option</v>
      </c>
      <c r="I381" s="272" t="n">
        <f aca="false">IFERROR(__xludf.dummyfunction("""COMPUTED_VALUE"""),19691775)</f>
        <v>19691775</v>
      </c>
      <c r="J381" s="193" t="str">
        <f aca="false">IFERROR(__xludf.dummyfunction("""COMPUTED_VALUE"""),"RFA - Bird")</f>
        <v>RFA - Bird</v>
      </c>
      <c r="K381" s="273"/>
      <c r="L381" s="193"/>
      <c r="M381" s="273"/>
      <c r="N381" s="193"/>
      <c r="O381" s="193" t="n">
        <f aca="false">IFERROR(__xludf.dummyfunction("""COMPUTED_VALUE"""),1)</f>
        <v>1</v>
      </c>
      <c r="P381" s="193"/>
      <c r="Q381" s="193"/>
      <c r="R381" s="193"/>
      <c r="S381" s="193"/>
      <c r="T381" s="193"/>
      <c r="U381" s="193"/>
      <c r="V381" s="193"/>
      <c r="W381" s="193"/>
      <c r="X381" s="193"/>
      <c r="Y381" s="193"/>
      <c r="Z381" s="193"/>
    </row>
    <row r="382" customFormat="false" ht="15.75" hidden="false" customHeight="false" outlineLevel="0" collapsed="false">
      <c r="A382" s="193" t="str">
        <f aca="false">IFERROR(__xludf.dummyfunction("""COMPUTED_VALUE"""),"Asa Newell (R)")</f>
        <v>Asa Newell (R)</v>
      </c>
      <c r="B382" s="271" t="str">
        <f aca="false">IFERROR(__xludf.dummyfunction("""COMPUTED_VALUE"""),"Milwaukee Bucks")</f>
        <v>Milwaukee Bucks</v>
      </c>
      <c r="C382" s="273"/>
      <c r="D382" s="193"/>
      <c r="E382" s="272" t="n">
        <f aca="false">IFERROR(__xludf.dummyfunction("""COMPUTED_VALUE"""),3512520)</f>
        <v>3512520</v>
      </c>
      <c r="F382" s="193"/>
      <c r="G382" s="272" t="n">
        <f aca="false">IFERROR(__xludf.dummyfunction("""COMPUTED_VALUE"""),3688320)</f>
        <v>3688320</v>
      </c>
      <c r="H382" s="193"/>
      <c r="I382" s="272" t="n">
        <f aca="false">IFERROR(__xludf.dummyfunction("""COMPUTED_VALUE"""),3864000)</f>
        <v>3864000</v>
      </c>
      <c r="J382" s="271" t="str">
        <f aca="false">IFERROR(__xludf.dummyfunction("""COMPUTED_VALUE"""),"Club Option")</f>
        <v>Club Option</v>
      </c>
      <c r="K382" s="272" t="n">
        <f aca="false">IFERROR(__xludf.dummyfunction("""COMPUTED_VALUE"""),6155352)</f>
        <v>6155352</v>
      </c>
      <c r="L382" s="271" t="str">
        <f aca="false">IFERROR(__xludf.dummyfunction("""COMPUTED_VALUE"""),"Club Option")</f>
        <v>Club Option</v>
      </c>
      <c r="M382" s="272" t="n">
        <f aca="false">IFERROR(__xludf.dummyfunction("""COMPUTED_VALUE"""),18466056)</f>
        <v>18466056</v>
      </c>
      <c r="N382" s="271" t="str">
        <f aca="false">IFERROR(__xludf.dummyfunction("""COMPUTED_VALUE"""),"RFA - Bird")</f>
        <v>RFA - Bird</v>
      </c>
      <c r="O382" s="193" t="n">
        <f aca="false">IFERROR(__xludf.dummyfunction("""COMPUTED_VALUE"""),1)</f>
        <v>1</v>
      </c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</row>
    <row r="383" customFormat="false" ht="15.75" hidden="false" customHeight="false" outlineLevel="0" collapsed="false">
      <c r="A383" s="193" t="str">
        <f aca="false">IFERROR(__xludf.dummyfunction("""COMPUTED_VALUE"""),"Jalen Pickett")</f>
        <v>Jalen Pickett</v>
      </c>
      <c r="B383" s="271" t="str">
        <f aca="false">IFERROR(__xludf.dummyfunction("""COMPUTED_VALUE"""),"Milwaukee Bucks")</f>
        <v>Milwaukee Bucks</v>
      </c>
      <c r="C383" s="272" t="n">
        <f aca="false">IFERROR(__xludf.dummyfunction("""COMPUTED_VALUE"""),1891857)</f>
        <v>1891857</v>
      </c>
      <c r="D383" s="193"/>
      <c r="E383" s="272" t="n">
        <f aca="false">IFERROR(__xludf.dummyfunction("""COMPUTED_VALUE"""),2221677)</f>
        <v>2221677</v>
      </c>
      <c r="F383" s="193"/>
      <c r="G383" s="272" t="n">
        <f aca="false">IFERROR(__xludf.dummyfunction("""COMPUTED_VALUE"""),2406205)</f>
        <v>2406205</v>
      </c>
      <c r="H383" s="193" t="str">
        <f aca="false">IFERROR(__xludf.dummyfunction("""COMPUTED_VALUE"""),"Club Option")</f>
        <v>Club Option</v>
      </c>
      <c r="I383" s="272" t="n">
        <f aca="false">IFERROR(__xludf.dummyfunction("""COMPUTED_VALUE"""),2957063)</f>
        <v>2957063</v>
      </c>
      <c r="J383" s="193" t="str">
        <f aca="false">IFERROR(__xludf.dummyfunction("""COMPUTED_VALUE"""),"Non-Guaranteed")</f>
        <v>Non-Guaranteed</v>
      </c>
      <c r="K383" s="273"/>
      <c r="L383" s="193"/>
      <c r="M383" s="273"/>
      <c r="N383" s="193"/>
      <c r="O383" s="193" t="n">
        <f aca="false">IFERROR(__xludf.dummyfunction("""COMPUTED_VALUE"""),1)</f>
        <v>1</v>
      </c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</row>
    <row r="384" customFormat="false" ht="15.75" hidden="false" customHeight="false" outlineLevel="0" collapsed="false">
      <c r="A384" s="193" t="str">
        <f aca="false">IFERROR(__xludf.dummyfunction("""COMPUTED_VALUE"""),"Chris Livingston")</f>
        <v>Chris Livingston</v>
      </c>
      <c r="B384" s="271" t="str">
        <f aca="false">IFERROR(__xludf.dummyfunction("""COMPUTED_VALUE"""),"Milwaukee Bucks")</f>
        <v>Milwaukee Bucks</v>
      </c>
      <c r="C384" s="272" t="n">
        <f aca="false">IFERROR(__xludf.dummyfunction("""COMPUTED_VALUE"""),1891857)</f>
        <v>1891857</v>
      </c>
      <c r="D384" s="193"/>
      <c r="E384" s="272" t="n">
        <f aca="false">IFERROR(__xludf.dummyfunction("""COMPUTED_VALUE"""),2221677)</f>
        <v>2221677</v>
      </c>
      <c r="F384" s="193"/>
      <c r="G384" s="272" t="n">
        <f aca="false">IFERROR(__xludf.dummyfunction("""COMPUTED_VALUE"""),2406205)</f>
        <v>2406205</v>
      </c>
      <c r="H384" s="271" t="str">
        <f aca="false">IFERROR(__xludf.dummyfunction("""COMPUTED_VALUE"""),"Club Option")</f>
        <v>Club Option</v>
      </c>
      <c r="I384" s="272" t="n">
        <f aca="false">IFERROR(__xludf.dummyfunction("""COMPUTED_VALUE"""),2957063)</f>
        <v>2957063</v>
      </c>
      <c r="J384" s="193" t="str">
        <f aca="false">IFERROR(__xludf.dummyfunction("""COMPUTED_VALUE"""),"UFA - Bird")</f>
        <v>UFA - Bird</v>
      </c>
      <c r="K384" s="273"/>
      <c r="L384" s="193"/>
      <c r="M384" s="273"/>
      <c r="N384" s="193"/>
      <c r="O384" s="193" t="n">
        <f aca="false">IFERROR(__xludf.dummyfunction("""COMPUTED_VALUE"""),1)</f>
        <v>1</v>
      </c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</row>
    <row r="385" customFormat="false" ht="15.75" hidden="false" customHeight="false" outlineLevel="0" collapsed="false">
      <c r="A385" s="193" t="str">
        <f aca="false">IFERROR(__xludf.dummyfunction("""COMPUTED_VALUE"""),"Eric Dixon (R)")</f>
        <v>Eric Dixon (R)</v>
      </c>
      <c r="B385" s="271" t="str">
        <f aca="false">IFERROR(__xludf.dummyfunction("""COMPUTED_VALUE"""),"Milwaukee Bucks")</f>
        <v>Milwaukee Bucks</v>
      </c>
      <c r="C385" s="273"/>
      <c r="D385" s="193"/>
      <c r="E385" s="272" t="n">
        <f aca="false">IFERROR(__xludf.dummyfunction("""COMPUTED_VALUE"""),1272869)</f>
        <v>1272869</v>
      </c>
      <c r="F385" s="193"/>
      <c r="G385" s="272" t="n">
        <f aca="false">IFERROR(__xludf.dummyfunction("""COMPUTED_VALUE"""),2150915.55)</f>
        <v>2150915.55</v>
      </c>
      <c r="H385" s="271" t="str">
        <f aca="false">IFERROR(__xludf.dummyfunction("""COMPUTED_VALUE"""),"Non Guaranteed")</f>
        <v>Non Guaranteed</v>
      </c>
      <c r="I385" s="272" t="n">
        <f aca="false">IFERROR(__xludf.dummyfunction("""COMPUTED_VALUE"""),2525899)</f>
        <v>2525899</v>
      </c>
      <c r="J385" s="271" t="str">
        <f aca="false">IFERROR(__xludf.dummyfunction("""COMPUTED_VALUE"""),"Non Guaranteed")</f>
        <v>Non Guaranteed</v>
      </c>
      <c r="K385" s="272" t="n">
        <f aca="false">IFERROR(__xludf.dummyfunction("""COMPUTED_VALUE"""),2735801.21)</f>
        <v>2735801.21</v>
      </c>
      <c r="L385" s="271" t="str">
        <f aca="false">IFERROR(__xludf.dummyfunction("""COMPUTED_VALUE"""),"Club Option")</f>
        <v>Club Option</v>
      </c>
      <c r="M385" s="272" t="n">
        <f aca="false">IFERROR(__xludf.dummyfunction("""COMPUTED_VALUE"""),5197819.55)</f>
        <v>5197819.55</v>
      </c>
      <c r="N385" s="271" t="str">
        <f aca="false">IFERROR(__xludf.dummyfunction("""COMPUTED_VALUE"""),"UFA - Bird")</f>
        <v>UFA - Bird</v>
      </c>
      <c r="O385" s="193" t="n">
        <f aca="false">IFERROR(__xludf.dummyfunction("""COMPUTED_VALUE"""),1)</f>
        <v>1</v>
      </c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</row>
    <row r="386" customFormat="false" ht="15.75" hidden="false" customHeight="false" outlineLevel="0" collapsed="false">
      <c r="A386" s="193" t="str">
        <f aca="false">IFERROR(__xludf.dummyfunction("""COMPUTED_VALUE"""),"Nate Bittle (R)")</f>
        <v>Nate Bittle (R)</v>
      </c>
      <c r="B386" s="271" t="str">
        <f aca="false">IFERROR(__xludf.dummyfunction("""COMPUTED_VALUE"""),"Milwaukee Bucks")</f>
        <v>Milwaukee Bucks</v>
      </c>
      <c r="C386" s="273"/>
      <c r="D386" s="193"/>
      <c r="E386" s="272" t="n">
        <f aca="false">IFERROR(__xludf.dummyfunction("""COMPUTED_VALUE"""),1272869)</f>
        <v>1272869</v>
      </c>
      <c r="F386" s="193"/>
      <c r="G386" s="272" t="n">
        <f aca="false">IFERROR(__xludf.dummyfunction("""COMPUTED_VALUE"""),2150915.55)</f>
        <v>2150915.55</v>
      </c>
      <c r="H386" s="271" t="str">
        <f aca="false">IFERROR(__xludf.dummyfunction("""COMPUTED_VALUE"""),"Non Guaranteed")</f>
        <v>Non Guaranteed</v>
      </c>
      <c r="I386" s="272" t="n">
        <f aca="false">IFERROR(__xludf.dummyfunction("""COMPUTED_VALUE"""),2796190.8)</f>
        <v>2796190.8</v>
      </c>
      <c r="J386" s="271" t="str">
        <f aca="false">IFERROR(__xludf.dummyfunction("""COMPUTED_VALUE"""),"UFA - Bird")</f>
        <v>UFA - Bird</v>
      </c>
      <c r="K386" s="273"/>
      <c r="L386" s="193"/>
      <c r="M386" s="273"/>
      <c r="N386" s="193"/>
      <c r="O386" s="193" t="n">
        <f aca="false">IFERROR(__xludf.dummyfunction("""COMPUTED_VALUE"""),1)</f>
        <v>1</v>
      </c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</row>
    <row r="387" customFormat="false" ht="15.75" hidden="false" customHeight="false" outlineLevel="0" collapsed="false">
      <c r="A387" s="193" t="str">
        <f aca="false">IFERROR(__xludf.dummyfunction("""COMPUTED_VALUE"""),"Jeff Teague")</f>
        <v>Jeff Teague</v>
      </c>
      <c r="B387" s="271" t="str">
        <f aca="false">IFERROR(__xludf.dummyfunction("""COMPUTED_VALUE"""),"Milwaukee Bucks")</f>
        <v>Milwaukee Bucks</v>
      </c>
      <c r="C387" s="272" t="n">
        <f aca="false">IFERROR(__xludf.dummyfunction("""COMPUTED_VALUE"""),2087519)</f>
        <v>2087519</v>
      </c>
      <c r="D387" s="271" t="str">
        <f aca="false">IFERROR(__xludf.dummyfunction("""COMPUTED_VALUE"""),"UFA - Non-Bird")</f>
        <v>UFA - Non-Bird</v>
      </c>
      <c r="E387" s="273"/>
      <c r="F387" s="193" t="str">
        <f aca="false">IFERROR(__xludf.dummyfunction("""COMPUTED_VALUE"""),"UFA - Rights Renounced")</f>
        <v>UFA - Rights Renounced</v>
      </c>
      <c r="G387" s="273"/>
      <c r="H387" s="193"/>
      <c r="I387" s="273"/>
      <c r="J387" s="193"/>
      <c r="K387" s="273"/>
      <c r="L387" s="193"/>
      <c r="M387" s="273"/>
      <c r="N387" s="193"/>
      <c r="O387" s="193" t="n">
        <f aca="false">IFERROR(__xludf.dummyfunction("""COMPUTED_VALUE"""),1)</f>
        <v>1</v>
      </c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</row>
    <row r="388" customFormat="false" ht="15.75" hidden="false" customHeight="false" outlineLevel="0" collapsed="false">
      <c r="A388" s="193" t="str">
        <f aca="false">IFERROR(__xludf.dummyfunction("""COMPUTED_VALUE"""),"Kevin Porter Jr.")</f>
        <v>Kevin Porter Jr.</v>
      </c>
      <c r="B388" s="271" t="str">
        <f aca="false">IFERROR(__xludf.dummyfunction("""COMPUTED_VALUE"""),"Milwaukee Bucks")</f>
        <v>Milwaukee Bucks</v>
      </c>
      <c r="C388" s="272" t="n">
        <f aca="false">IFERROR(__xludf.dummyfunction("""COMPUTED_VALUE"""),2336937)</f>
        <v>2336937</v>
      </c>
      <c r="D388" s="193"/>
      <c r="E388" s="273"/>
      <c r="F388" s="193" t="str">
        <f aca="false">IFERROR(__xludf.dummyfunction("""COMPUTED_VALUE"""),"UFA - Rights Renounced")</f>
        <v>UFA - Rights Renounced</v>
      </c>
      <c r="G388" s="273"/>
      <c r="H388" s="193"/>
      <c r="I388" s="272" t="str">
        <f aca="false">IFERROR(__xludf.dummyfunction("""COMPUTED_VALUE"""),"")</f>
        <v/>
      </c>
      <c r="J388" s="193"/>
      <c r="K388" s="273"/>
      <c r="L388" s="193"/>
      <c r="M388" s="273"/>
      <c r="N388" s="193"/>
      <c r="O388" s="193" t="n">
        <f aca="false">IFERROR(__xludf.dummyfunction("""COMPUTED_VALUE"""),1)</f>
        <v>1</v>
      </c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</row>
    <row r="389" customFormat="false" ht="15.75" hidden="false" customHeight="false" outlineLevel="0" collapsed="false">
      <c r="A389" s="193" t="str">
        <f aca="false">IFERROR(__xludf.dummyfunction("""COMPUTED_VALUE"""),"Meyers Leonard")</f>
        <v>Meyers Leonard</v>
      </c>
      <c r="B389" s="271" t="str">
        <f aca="false">IFERROR(__xludf.dummyfunction("""COMPUTED_VALUE"""),"Milwaukee Bucks")</f>
        <v>Milwaukee Bucks</v>
      </c>
      <c r="C389" s="272" t="n">
        <f aca="false">IFERROR(__xludf.dummyfunction("""COMPUTED_VALUE"""),2087519)</f>
        <v>2087519</v>
      </c>
      <c r="D389" s="271" t="str">
        <f aca="false">IFERROR(__xludf.dummyfunction("""COMPUTED_VALUE"""),"UFA - Non-Bird")</f>
        <v>UFA - Non-Bird</v>
      </c>
      <c r="E389" s="273"/>
      <c r="F389" s="193" t="str">
        <f aca="false">IFERROR(__xludf.dummyfunction("""COMPUTED_VALUE"""),"UFA - Rights Renounced")</f>
        <v>UFA - Rights Renounced</v>
      </c>
      <c r="G389" s="273"/>
      <c r="H389" s="193"/>
      <c r="I389" s="273"/>
      <c r="J389" s="193"/>
      <c r="K389" s="273"/>
      <c r="L389" s="193"/>
      <c r="M389" s="273"/>
      <c r="N389" s="193"/>
      <c r="O389" s="193" t="n">
        <f aca="false">IFERROR(__xludf.dummyfunction("""COMPUTED_VALUE"""),1)</f>
        <v>1</v>
      </c>
      <c r="P389" s="193"/>
      <c r="Q389" s="193"/>
      <c r="R389" s="193"/>
      <c r="S389" s="193"/>
      <c r="T389" s="193"/>
      <c r="U389" s="193"/>
      <c r="V389" s="193"/>
      <c r="W389" s="193"/>
      <c r="X389" s="193"/>
      <c r="Y389" s="193"/>
      <c r="Z389" s="193"/>
    </row>
    <row r="390" customFormat="false" ht="15.75" hidden="false" customHeight="false" outlineLevel="0" collapsed="false">
      <c r="A390" s="193" t="str">
        <f aca="false">IFERROR(__xludf.dummyfunction("""COMPUTED_VALUE"""),"Patrick Beverley")</f>
        <v>Patrick Beverley</v>
      </c>
      <c r="B390" s="271" t="str">
        <f aca="false">IFERROR(__xludf.dummyfunction("""COMPUTED_VALUE"""),"Milwaukee Bucks")</f>
        <v>Milwaukee Bucks</v>
      </c>
      <c r="C390" s="272" t="n">
        <f aca="false">IFERROR(__xludf.dummyfunction("""COMPUTED_VALUE"""),2087519)</f>
        <v>2087519</v>
      </c>
      <c r="D390" s="271" t="str">
        <f aca="false">IFERROR(__xludf.dummyfunction("""COMPUTED_VALUE"""),"UFA - Non-Bird")</f>
        <v>UFA - Non-Bird</v>
      </c>
      <c r="E390" s="273"/>
      <c r="F390" s="193" t="str">
        <f aca="false">IFERROR(__xludf.dummyfunction("""COMPUTED_VALUE"""),"UFA - Rights Renounced")</f>
        <v>UFA - Rights Renounced</v>
      </c>
      <c r="G390" s="273"/>
      <c r="H390" s="193"/>
      <c r="I390" s="273"/>
      <c r="J390" s="193"/>
      <c r="K390" s="273"/>
      <c r="L390" s="193"/>
      <c r="M390" s="273"/>
      <c r="N390" s="193"/>
      <c r="O390" s="193" t="n">
        <f aca="false">IFERROR(__xludf.dummyfunction("""COMPUTED_VALUE"""),1)</f>
        <v>1</v>
      </c>
      <c r="P390" s="193"/>
      <c r="Q390" s="193"/>
      <c r="R390" s="193"/>
      <c r="S390" s="193"/>
      <c r="T390" s="193"/>
      <c r="U390" s="193"/>
      <c r="V390" s="193"/>
      <c r="W390" s="193"/>
      <c r="X390" s="193"/>
      <c r="Y390" s="193"/>
      <c r="Z390" s="193"/>
    </row>
    <row r="391" customFormat="false" ht="15.75" hidden="false" customHeight="false" outlineLevel="0" collapsed="false">
      <c r="A391" s="193" t="str">
        <f aca="false">IFERROR(__xludf.dummyfunction("""COMPUTED_VALUE"""),"Armando Bacot")</f>
        <v>Armando Bacot</v>
      </c>
      <c r="B391" s="271" t="str">
        <f aca="false">IFERROR(__xludf.dummyfunction("""COMPUTED_VALUE"""),"Minnesota Timberwolves")</f>
        <v>Minnesota Timberwolves</v>
      </c>
      <c r="C391" s="271" t="str">
        <f aca="false">IFERROR(__xludf.dummyfunction("""COMPUTED_VALUE"""),"Two-way")</f>
        <v>Two-way</v>
      </c>
      <c r="D391" s="271" t="str">
        <f aca="false">IFERROR(__xludf.dummyfunction("""COMPUTED_VALUE"""),"Two-way")</f>
        <v>Two-way</v>
      </c>
      <c r="E391" s="272" t="str">
        <f aca="false">IFERROR(__xludf.dummyfunction("""COMPUTED_VALUE"""),"Two-Way")</f>
        <v>Two-Way</v>
      </c>
      <c r="F391" s="193" t="str">
        <f aca="false">IFERROR(__xludf.dummyfunction("""COMPUTED_VALUE"""),"Two-Way")</f>
        <v>Two-Way</v>
      </c>
      <c r="G391" s="272" t="n">
        <f aca="false">IFERROR(__xludf.dummyfunction("""COMPUTED_VALUE"""),2253346)</f>
        <v>2253346</v>
      </c>
      <c r="H391" s="271" t="str">
        <f aca="false">IFERROR(__xludf.dummyfunction("""COMPUTED_VALUE"""),"UFA - Two-Way")</f>
        <v>UFA - Two-Way</v>
      </c>
      <c r="I391" s="273"/>
      <c r="J391" s="193"/>
      <c r="K391" s="273"/>
      <c r="L391" s="193"/>
      <c r="M391" s="273"/>
      <c r="N391" s="193"/>
      <c r="O391" s="193" t="n">
        <f aca="false">IFERROR(__xludf.dummyfunction("""COMPUTED_VALUE"""),1)</f>
        <v>1</v>
      </c>
      <c r="P391" s="193"/>
      <c r="Q391" s="193"/>
      <c r="R391" s="193"/>
      <c r="S391" s="193"/>
      <c r="T391" s="193"/>
      <c r="U391" s="193"/>
      <c r="V391" s="193"/>
      <c r="W391" s="193"/>
      <c r="X391" s="193"/>
      <c r="Y391" s="193"/>
      <c r="Z391" s="193"/>
    </row>
    <row r="392" customFormat="false" ht="15.75" hidden="false" customHeight="false" outlineLevel="0" collapsed="false">
      <c r="A392" s="193" t="str">
        <f aca="false">IFERROR(__xludf.dummyfunction("""COMPUTED_VALUE"""),"Trentyn Flowers")</f>
        <v>Trentyn Flowers</v>
      </c>
      <c r="B392" s="271" t="str">
        <f aca="false">IFERROR(__xludf.dummyfunction("""COMPUTED_VALUE"""),"Minnesota Timberwolves")</f>
        <v>Minnesota Timberwolves</v>
      </c>
      <c r="C392" s="272" t="str">
        <f aca="false">IFERROR(__xludf.dummyfunction("""COMPUTED_VALUE"""),"Two-way")</f>
        <v>Two-way</v>
      </c>
      <c r="D392" s="271" t="str">
        <f aca="false">IFERROR(__xludf.dummyfunction("""COMPUTED_VALUE"""),"Two-way")</f>
        <v>Two-way</v>
      </c>
      <c r="E392" s="272" t="str">
        <f aca="false">IFERROR(__xludf.dummyfunction("""COMPUTED_VALUE"""),"Two-way")</f>
        <v>Two-way</v>
      </c>
      <c r="F392" s="271" t="str">
        <f aca="false">IFERROR(__xludf.dummyfunction("""COMPUTED_VALUE"""),"Two-way")</f>
        <v>Two-way</v>
      </c>
      <c r="G392" s="272" t="n">
        <f aca="false">IFERROR(__xludf.dummyfunction("""COMPUTED_VALUE"""),2253346)</f>
        <v>2253346</v>
      </c>
      <c r="H392" s="271" t="str">
        <f aca="false">IFERROR(__xludf.dummyfunction("""COMPUTED_VALUE"""),"UFA - Two-way")</f>
        <v>UFA - Two-way</v>
      </c>
      <c r="I392" s="273"/>
      <c r="J392" s="193"/>
      <c r="K392" s="273"/>
      <c r="L392" s="193"/>
      <c r="M392" s="273"/>
      <c r="N392" s="193"/>
      <c r="O392" s="193" t="n">
        <f aca="false">IFERROR(__xludf.dummyfunction("""COMPUTED_VALUE"""),1)</f>
        <v>1</v>
      </c>
      <c r="P392" s="193"/>
      <c r="Q392" s="193"/>
      <c r="R392" s="193"/>
      <c r="S392" s="193"/>
      <c r="T392" s="193"/>
      <c r="U392" s="193"/>
      <c r="V392" s="193"/>
      <c r="W392" s="193"/>
      <c r="X392" s="193"/>
      <c r="Y392" s="193"/>
      <c r="Z392" s="193"/>
    </row>
    <row r="393" customFormat="false" ht="15.75" hidden="false" customHeight="false" outlineLevel="0" collapsed="false">
      <c r="A393" s="193" t="str">
        <f aca="false">IFERROR(__xludf.dummyfunction("""COMPUTED_VALUE"""),"Tristen Newton")</f>
        <v>Tristen Newton</v>
      </c>
      <c r="B393" s="271" t="str">
        <f aca="false">IFERROR(__xludf.dummyfunction("""COMPUTED_VALUE"""),"Minnesota Timberwolves")</f>
        <v>Minnesota Timberwolves</v>
      </c>
      <c r="C393" s="272" t="str">
        <f aca="false">IFERROR(__xludf.dummyfunction("""COMPUTED_VALUE"""),"Two-way")</f>
        <v>Two-way</v>
      </c>
      <c r="D393" s="271" t="str">
        <f aca="false">IFERROR(__xludf.dummyfunction("""COMPUTED_VALUE"""),"Two-way")</f>
        <v>Two-way</v>
      </c>
      <c r="E393" s="272" t="str">
        <f aca="false">IFERROR(__xludf.dummyfunction("""COMPUTED_VALUE"""),"Two-way")</f>
        <v>Two-way</v>
      </c>
      <c r="F393" s="271" t="str">
        <f aca="false">IFERROR(__xludf.dummyfunction("""COMPUTED_VALUE"""),"Two-way")</f>
        <v>Two-way</v>
      </c>
      <c r="G393" s="272" t="n">
        <f aca="false">IFERROR(__xludf.dummyfunction("""COMPUTED_VALUE"""),2253346)</f>
        <v>2253346</v>
      </c>
      <c r="H393" s="271" t="str">
        <f aca="false">IFERROR(__xludf.dummyfunction("""COMPUTED_VALUE"""),"UFA - Two-way")</f>
        <v>UFA - Two-way</v>
      </c>
      <c r="I393" s="273"/>
      <c r="J393" s="193"/>
      <c r="K393" s="273"/>
      <c r="L393" s="193"/>
      <c r="M393" s="273"/>
      <c r="N393" s="193"/>
      <c r="O393" s="193" t="n">
        <f aca="false">IFERROR(__xludf.dummyfunction("""COMPUTED_VALUE"""),1)</f>
        <v>1</v>
      </c>
      <c r="P393" s="193"/>
      <c r="Q393" s="193"/>
      <c r="R393" s="193"/>
      <c r="S393" s="193"/>
      <c r="T393" s="193"/>
      <c r="U393" s="193"/>
      <c r="V393" s="193"/>
      <c r="W393" s="193"/>
      <c r="X393" s="193"/>
      <c r="Y393" s="193"/>
      <c r="Z393" s="193"/>
    </row>
    <row r="394" customFormat="false" ht="15.75" hidden="false" customHeight="false" outlineLevel="0" collapsed="false">
      <c r="A394" s="193" t="str">
        <f aca="false">IFERROR(__xludf.dummyfunction("""COMPUTED_VALUE"""),"Anthony Edwards")</f>
        <v>Anthony Edwards</v>
      </c>
      <c r="B394" s="271" t="str">
        <f aca="false">IFERROR(__xludf.dummyfunction("""COMPUTED_VALUE"""),"Minnesota Timberwolves")</f>
        <v>Minnesota Timberwolves</v>
      </c>
      <c r="C394" s="272" t="n">
        <f aca="false">IFERROR(__xludf.dummyfunction("""COMPUTED_VALUE"""),42176400)</f>
        <v>42176400</v>
      </c>
      <c r="D394" s="193"/>
      <c r="E394" s="272" t="n">
        <f aca="false">IFERROR(__xludf.dummyfunction("""COMPUTED_VALUE"""),45550512)</f>
        <v>45550512</v>
      </c>
      <c r="F394" s="193"/>
      <c r="G394" s="272" t="n">
        <f aca="false">IFERROR(__xludf.dummyfunction("""COMPUTED_VALUE"""),48924624)</f>
        <v>48924624</v>
      </c>
      <c r="H394" s="193"/>
      <c r="I394" s="272" t="n">
        <f aca="false">IFERROR(__xludf.dummyfunction("""COMPUTED_VALUE"""),52298736)</f>
        <v>52298736</v>
      </c>
      <c r="J394" s="193"/>
      <c r="K394" s="272" t="n">
        <f aca="false">IFERROR(__xludf.dummyfunction("""COMPUTED_VALUE"""),55672848)</f>
        <v>55672848</v>
      </c>
      <c r="L394" s="193"/>
      <c r="M394" s="272" t="n">
        <f aca="false">IFERROR(__xludf.dummyfunction("""COMPUTED_VALUE"""),67925514)</f>
        <v>67925514</v>
      </c>
      <c r="N394" s="271" t="str">
        <f aca="false">IFERROR(__xludf.dummyfunction("""COMPUTED_VALUE"""),"UFA - Bird")</f>
        <v>UFA - Bird</v>
      </c>
      <c r="O394" s="193" t="n">
        <f aca="false">IFERROR(__xludf.dummyfunction("""COMPUTED_VALUE"""),1)</f>
        <v>1</v>
      </c>
      <c r="P394" s="193"/>
      <c r="Q394" s="193"/>
      <c r="R394" s="193"/>
      <c r="S394" s="193"/>
      <c r="T394" s="193"/>
      <c r="U394" s="193"/>
      <c r="V394" s="193"/>
      <c r="W394" s="193"/>
      <c r="X394" s="193"/>
      <c r="Y394" s="193"/>
      <c r="Z394" s="193"/>
    </row>
    <row r="395" customFormat="false" ht="15.75" hidden="false" customHeight="false" outlineLevel="0" collapsed="false">
      <c r="A395" s="193" t="str">
        <f aca="false">IFERROR(__xludf.dummyfunction("""COMPUTED_VALUE"""),"Rudy Gobert")</f>
        <v>Rudy Gobert</v>
      </c>
      <c r="B395" s="271" t="str">
        <f aca="false">IFERROR(__xludf.dummyfunction("""COMPUTED_VALUE"""),"Minnesota Timberwolves")</f>
        <v>Minnesota Timberwolves</v>
      </c>
      <c r="C395" s="272" t="n">
        <f aca="false">IFERROR(__xludf.dummyfunction("""COMPUTED_VALUE"""),43827587)</f>
        <v>43827587</v>
      </c>
      <c r="D395" s="193"/>
      <c r="E395" s="272" t="n">
        <f aca="false">IFERROR(__xludf.dummyfunction("""COMPUTED_VALUE"""),35000000)</f>
        <v>35000000</v>
      </c>
      <c r="F395" s="193"/>
      <c r="G395" s="272" t="n">
        <f aca="false">IFERROR(__xludf.dummyfunction("""COMPUTED_VALUE"""),36500000)</f>
        <v>36500000</v>
      </c>
      <c r="H395" s="193"/>
      <c r="I395" s="272" t="n">
        <f aca="false">IFERROR(__xludf.dummyfunction("""COMPUTED_VALUE"""),38000000)</f>
        <v>38000000</v>
      </c>
      <c r="J395" s="271" t="str">
        <f aca="false">IFERROR(__xludf.dummyfunction("""COMPUTED_VALUE"""),"Player Option")</f>
        <v>Player Option</v>
      </c>
      <c r="K395" s="272" t="n">
        <f aca="false">IFERROR(__xludf.dummyfunction("""COMPUTED_VALUE"""),57000000)</f>
        <v>57000000</v>
      </c>
      <c r="L395" s="271" t="str">
        <f aca="false">IFERROR(__xludf.dummyfunction("""COMPUTED_VALUE"""),"UFA - Bird")</f>
        <v>UFA - Bird</v>
      </c>
      <c r="M395" s="273"/>
      <c r="N395" s="193"/>
      <c r="O395" s="193" t="n">
        <f aca="false">IFERROR(__xludf.dummyfunction("""COMPUTED_VALUE"""),1)</f>
        <v>1</v>
      </c>
      <c r="P395" s="193"/>
      <c r="Q395" s="193"/>
      <c r="R395" s="193"/>
      <c r="S395" s="193"/>
      <c r="T395" s="193"/>
      <c r="U395" s="193"/>
      <c r="V395" s="193"/>
      <c r="W395" s="193"/>
      <c r="X395" s="193"/>
      <c r="Y395" s="193"/>
      <c r="Z395" s="193"/>
    </row>
    <row r="396" customFormat="false" ht="15.75" hidden="false" customHeight="false" outlineLevel="0" collapsed="false">
      <c r="A396" s="193" t="str">
        <f aca="false">IFERROR(__xludf.dummyfunction("""COMPUTED_VALUE"""),"Evan Turner")</f>
        <v>Evan Turner</v>
      </c>
      <c r="B396" s="271" t="str">
        <f aca="false">IFERROR(__xludf.dummyfunction("""COMPUTED_VALUE"""),"Minnesota Timberwolves")</f>
        <v>Minnesota Timberwolves</v>
      </c>
      <c r="C396" s="272" t="n">
        <f aca="false">IFERROR(__xludf.dummyfunction("""COMPUTED_VALUE"""),27909834)</f>
        <v>27909834</v>
      </c>
      <c r="D396" s="271" t="str">
        <f aca="false">IFERROR(__xludf.dummyfunction("""COMPUTED_VALUE"""),"UFA - Bird")</f>
        <v>UFA - Bird</v>
      </c>
      <c r="E396" s="272" t="n">
        <f aca="false">IFERROR(__xludf.dummyfunction("""COMPUTED_VALUE"""),27909834)</f>
        <v>27909834</v>
      </c>
      <c r="F396" s="271" t="str">
        <f aca="false">IFERROR(__xludf.dummyfunction("""COMPUTED_VALUE"""),"UFA - Bird")</f>
        <v>UFA - Bird</v>
      </c>
      <c r="G396" s="273"/>
      <c r="H396" s="193"/>
      <c r="I396" s="273"/>
      <c r="J396" s="193"/>
      <c r="K396" s="273"/>
      <c r="L396" s="193"/>
      <c r="M396" s="273"/>
      <c r="N396" s="193"/>
      <c r="O396" s="193" t="n">
        <f aca="false">IFERROR(__xludf.dummyfunction("""COMPUTED_VALUE"""),1)</f>
        <v>1</v>
      </c>
      <c r="P396" s="193"/>
      <c r="Q396" s="193"/>
      <c r="R396" s="193"/>
      <c r="S396" s="193"/>
      <c r="T396" s="193"/>
      <c r="U396" s="193"/>
      <c r="V396" s="193"/>
      <c r="W396" s="193"/>
      <c r="X396" s="193"/>
      <c r="Y396" s="193"/>
      <c r="Z396" s="193"/>
    </row>
    <row r="397" customFormat="false" ht="15.75" hidden="false" customHeight="false" outlineLevel="0" collapsed="false">
      <c r="A397" s="193" t="str">
        <f aca="false">IFERROR(__xludf.dummyfunction("""COMPUTED_VALUE"""),"Naz Reid")</f>
        <v>Naz Reid</v>
      </c>
      <c r="B397" s="271" t="str">
        <f aca="false">IFERROR(__xludf.dummyfunction("""COMPUTED_VALUE"""),"Minnesota Timberwolves")</f>
        <v>Minnesota Timberwolves</v>
      </c>
      <c r="C397" s="272" t="n">
        <f aca="false">IFERROR(__xludf.dummyfunction("""COMPUTED_VALUE"""),13986432)</f>
        <v>13986432</v>
      </c>
      <c r="D397" s="193"/>
      <c r="E397" s="272" t="n">
        <f aca="false">IFERROR(__xludf.dummyfunction("""COMPUTED_VALUE"""),25000000)</f>
        <v>25000000</v>
      </c>
      <c r="F397" s="193"/>
      <c r="G397" s="272" t="n">
        <f aca="false">IFERROR(__xludf.dummyfunction("""COMPUTED_VALUE"""),26250000)</f>
        <v>26250000</v>
      </c>
      <c r="H397" s="193"/>
      <c r="I397" s="272" t="n">
        <f aca="false">IFERROR(__xludf.dummyfunction("""COMPUTED_VALUE"""),27500000)</f>
        <v>27500000</v>
      </c>
      <c r="J397" s="193"/>
      <c r="K397" s="272" t="n">
        <f aca="false">IFERROR(__xludf.dummyfunction("""COMPUTED_VALUE"""),28750000)</f>
        <v>28750000</v>
      </c>
      <c r="L397" s="271" t="str">
        <f aca="false">IFERROR(__xludf.dummyfunction("""COMPUTED_VALUE"""),"Player Option")</f>
        <v>Player Option</v>
      </c>
      <c r="M397" s="272" t="n">
        <f aca="false">IFERROR(__xludf.dummyfunction("""COMPUTED_VALUE"""),43125000)</f>
        <v>43125000</v>
      </c>
      <c r="N397" s="271" t="str">
        <f aca="false">IFERROR(__xludf.dummyfunction("""COMPUTED_VALUE"""),"UFA - Bird")</f>
        <v>UFA - Bird</v>
      </c>
      <c r="O397" s="193" t="n">
        <f aca="false">IFERROR(__xludf.dummyfunction("""COMPUTED_VALUE"""),1)</f>
        <v>1</v>
      </c>
      <c r="P397" s="193"/>
      <c r="Q397" s="193"/>
      <c r="R397" s="193"/>
      <c r="S397" s="193"/>
      <c r="T397" s="193"/>
      <c r="U397" s="193"/>
      <c r="V397" s="193"/>
      <c r="W397" s="193"/>
      <c r="X397" s="193"/>
      <c r="Y397" s="193"/>
      <c r="Z397" s="193"/>
    </row>
    <row r="398" customFormat="false" ht="15.75" hidden="false" customHeight="false" outlineLevel="0" collapsed="false">
      <c r="A398" s="193" t="str">
        <f aca="false">IFERROR(__xludf.dummyfunction("""COMPUTED_VALUE"""),"Kentavious Caldwell-Pope")</f>
        <v>Kentavious Caldwell-Pope</v>
      </c>
      <c r="B398" s="271" t="str">
        <f aca="false">IFERROR(__xludf.dummyfunction("""COMPUTED_VALUE"""),"Minnesota Timberwolves")</f>
        <v>Minnesota Timberwolves</v>
      </c>
      <c r="C398" s="273"/>
      <c r="D398" s="193"/>
      <c r="E398" s="272" t="n">
        <f aca="false">IFERROR(__xludf.dummyfunction("""COMPUTED_VALUE"""),21621500)</f>
        <v>21621500</v>
      </c>
      <c r="F398" s="193"/>
      <c r="G398" s="272" t="n">
        <f aca="false">IFERROR(__xludf.dummyfunction("""COMPUTED_VALUE"""),21621500)</f>
        <v>21621500</v>
      </c>
      <c r="H398" s="271" t="str">
        <f aca="false">IFERROR(__xludf.dummyfunction("""COMPUTED_VALUE"""),"Player Option")</f>
        <v>Player Option</v>
      </c>
      <c r="I398" s="272" t="n">
        <f aca="false">IFERROR(__xludf.dummyfunction("""COMPUTED_VALUE"""),32432250)</f>
        <v>32432250</v>
      </c>
      <c r="J398" s="193" t="str">
        <f aca="false">IFERROR(__xludf.dummyfunction("""COMPUTED_VALUE"""),"UFA - Bird")</f>
        <v>UFA - Bird</v>
      </c>
      <c r="K398" s="273"/>
      <c r="L398" s="193"/>
      <c r="M398" s="273"/>
      <c r="N398" s="193"/>
      <c r="O398" s="193" t="n">
        <f aca="false">IFERROR(__xludf.dummyfunction("""COMPUTED_VALUE"""),1)</f>
        <v>1</v>
      </c>
      <c r="P398" s="193"/>
      <c r="Q398" s="193"/>
      <c r="R398" s="193"/>
      <c r="S398" s="193"/>
      <c r="T398" s="193"/>
      <c r="U398" s="193"/>
      <c r="V398" s="193"/>
      <c r="W398" s="193"/>
      <c r="X398" s="193"/>
      <c r="Y398" s="193"/>
      <c r="Z398" s="193"/>
    </row>
    <row r="399" customFormat="false" ht="15.75" hidden="false" customHeight="false" outlineLevel="0" collapsed="false">
      <c r="A399" s="193" t="str">
        <f aca="false">IFERROR(__xludf.dummyfunction("""COMPUTED_VALUE"""),"Collin Sexton")</f>
        <v>Collin Sexton</v>
      </c>
      <c r="B399" s="271" t="str">
        <f aca="false">IFERROR(__xludf.dummyfunction("""COMPUTED_VALUE"""),"Minnesota Timberwolves")</f>
        <v>Minnesota Timberwolves</v>
      </c>
      <c r="C399" s="273"/>
      <c r="D399" s="193"/>
      <c r="E399" s="272" t="n">
        <f aca="false">IFERROR(__xludf.dummyfunction("""COMPUTED_VALUE"""),19175000)</f>
        <v>19175000</v>
      </c>
      <c r="F399" s="193"/>
      <c r="G399" s="272" t="n">
        <f aca="false">IFERROR(__xludf.dummyfunction("""COMPUTED_VALUE"""),28462500)</f>
        <v>28462500</v>
      </c>
      <c r="H399" s="271" t="str">
        <f aca="false">IFERROR(__xludf.dummyfunction("""COMPUTED_VALUE"""),"UFA - Bird")</f>
        <v>UFA - Bird</v>
      </c>
      <c r="I399" s="272" t="str">
        <f aca="false">IFERROR(__xludf.dummyfunction("""COMPUTED_VALUE"""),"")</f>
        <v/>
      </c>
      <c r="J399" s="193"/>
      <c r="K399" s="273"/>
      <c r="L399" s="193"/>
      <c r="M399" s="273"/>
      <c r="N399" s="193"/>
      <c r="O399" s="193" t="n">
        <f aca="false">IFERROR(__xludf.dummyfunction("""COMPUTED_VALUE"""),1)</f>
        <v>1</v>
      </c>
      <c r="P399" s="193"/>
      <c r="Q399" s="193"/>
      <c r="R399" s="193"/>
      <c r="S399" s="193"/>
      <c r="T399" s="193"/>
      <c r="U399" s="193"/>
      <c r="V399" s="193"/>
      <c r="W399" s="193"/>
      <c r="X399" s="193"/>
      <c r="Y399" s="193"/>
      <c r="Z399" s="193"/>
    </row>
    <row r="400" customFormat="false" ht="15.75" hidden="false" customHeight="false" outlineLevel="0" collapsed="false">
      <c r="A400" s="193" t="str">
        <f aca="false">IFERROR(__xludf.dummyfunction("""COMPUTED_VALUE"""),"Nickeil Alexander-Walker")</f>
        <v>Nickeil Alexander-Walker</v>
      </c>
      <c r="B400" s="271" t="str">
        <f aca="false">IFERROR(__xludf.dummyfunction("""COMPUTED_VALUE"""),"Minnesota Timberwolves")</f>
        <v>Minnesota Timberwolves</v>
      </c>
      <c r="C400" s="272" t="n">
        <f aca="false">IFERROR(__xludf.dummyfunction("""COMPUTED_VALUE"""),4312500)</f>
        <v>4312500</v>
      </c>
      <c r="D400" s="193"/>
      <c r="E400" s="272" t="n">
        <f aca="false">IFERROR(__xludf.dummyfunction("""COMPUTED_VALUE"""),14103788.16)</f>
        <v>14103788.16</v>
      </c>
      <c r="F400" s="193"/>
      <c r="G400" s="272" t="n">
        <f aca="false">IFERROR(__xludf.dummyfunction("""COMPUTED_VALUE"""),15669642.86)</f>
        <v>15669642.86</v>
      </c>
      <c r="H400" s="193"/>
      <c r="I400" s="272" t="n">
        <f aca="false">IFERROR(__xludf.dummyfunction("""COMPUTED_VALUE"""),16830357.14)</f>
        <v>16830357.14</v>
      </c>
      <c r="J400" s="193"/>
      <c r="K400" s="272" t="n">
        <f aca="false">IFERROR(__xludf.dummyfunction("""COMPUTED_VALUE"""),17991071.43)</f>
        <v>17991071.43</v>
      </c>
      <c r="L400" s="193"/>
      <c r="M400" s="272" t="n">
        <f aca="false">IFERROR(__xludf.dummyfunction("""COMPUTED_VALUE"""),34183035.71)</f>
        <v>34183035.71</v>
      </c>
      <c r="N400" s="271" t="str">
        <f aca="false">IFERROR(__xludf.dummyfunction("""COMPUTED_VALUE"""),"UFA - Bird")</f>
        <v>UFA - Bird</v>
      </c>
      <c r="O400" s="193" t="n">
        <f aca="false">IFERROR(__xludf.dummyfunction("""COMPUTED_VALUE"""),1)</f>
        <v>1</v>
      </c>
      <c r="P400" s="193"/>
      <c r="Q400" s="193"/>
      <c r="R400" s="193"/>
      <c r="S400" s="193"/>
      <c r="T400" s="193"/>
      <c r="U400" s="193"/>
      <c r="V400" s="193"/>
      <c r="W400" s="193"/>
      <c r="X400" s="193"/>
      <c r="Y400" s="193"/>
      <c r="Z400" s="193"/>
    </row>
    <row r="401" customFormat="false" ht="15.75" hidden="false" customHeight="false" outlineLevel="0" collapsed="false">
      <c r="A401" s="193" t="str">
        <f aca="false">IFERROR(__xludf.dummyfunction("""COMPUTED_VALUE"""),"Derrick Jones Jr.")</f>
        <v>Derrick Jones Jr.</v>
      </c>
      <c r="B401" s="271" t="str">
        <f aca="false">IFERROR(__xludf.dummyfunction("""COMPUTED_VALUE"""),"Minnesota Timberwolves")</f>
        <v>Minnesota Timberwolves</v>
      </c>
      <c r="C401" s="273"/>
      <c r="D401" s="193"/>
      <c r="E401" s="272" t="n">
        <f aca="false">IFERROR(__xludf.dummyfunction("""COMPUTED_VALUE"""),10000000)</f>
        <v>10000000</v>
      </c>
      <c r="F401" s="193"/>
      <c r="G401" s="272" t="n">
        <f aca="false">IFERROR(__xludf.dummyfunction("""COMPUTED_VALUE"""),10476190)</f>
        <v>10476190</v>
      </c>
      <c r="H401" s="193"/>
      <c r="I401" s="272" t="n">
        <f aca="false">IFERROR(__xludf.dummyfunction("""COMPUTED_VALUE"""),19904761)</f>
        <v>19904761</v>
      </c>
      <c r="J401" s="271" t="str">
        <f aca="false">IFERROR(__xludf.dummyfunction("""COMPUTED_VALUE"""),"UFA - Bird")</f>
        <v>UFA - Bird</v>
      </c>
      <c r="K401" s="273"/>
      <c r="L401" s="193"/>
      <c r="M401" s="273"/>
      <c r="N401" s="193"/>
      <c r="O401" s="193" t="n">
        <f aca="false">IFERROR(__xludf.dummyfunction("""COMPUTED_VALUE"""),1)</f>
        <v>1</v>
      </c>
      <c r="P401" s="193"/>
      <c r="Q401" s="193"/>
      <c r="R401" s="193"/>
      <c r="S401" s="193"/>
      <c r="T401" s="193"/>
      <c r="U401" s="193"/>
      <c r="V401" s="193"/>
      <c r="W401" s="193"/>
      <c r="X401" s="193"/>
      <c r="Y401" s="193"/>
      <c r="Z401" s="193"/>
    </row>
    <row r="402" customFormat="false" ht="15.75" hidden="false" customHeight="false" outlineLevel="0" collapsed="false">
      <c r="A402" s="193" t="str">
        <f aca="false">IFERROR(__xludf.dummyfunction("""COMPUTED_VALUE"""),"Jalen Smith")</f>
        <v>Jalen Smith</v>
      </c>
      <c r="B402" s="271" t="str">
        <f aca="false">IFERROR(__xludf.dummyfunction("""COMPUTED_VALUE"""),"Minnesota Timberwolves")</f>
        <v>Minnesota Timberwolves</v>
      </c>
      <c r="C402" s="272" t="n">
        <f aca="false">IFERROR(__xludf.dummyfunction("""COMPUTED_VALUE"""),8571429)</f>
        <v>8571429</v>
      </c>
      <c r="D402" s="193"/>
      <c r="E402" s="272" t="n">
        <f aca="false">IFERROR(__xludf.dummyfunction("""COMPUTED_VALUE"""),9000000)</f>
        <v>9000000</v>
      </c>
      <c r="F402" s="193"/>
      <c r="G402" s="272" t="n">
        <f aca="false">IFERROR(__xludf.dummyfunction("""COMPUTED_VALUE"""),9428571)</f>
        <v>9428571</v>
      </c>
      <c r="H402" s="193"/>
      <c r="I402" s="272" t="n">
        <f aca="false">IFERROR(__xludf.dummyfunction("""COMPUTED_VALUE"""),17914285)</f>
        <v>17914285</v>
      </c>
      <c r="J402" s="193" t="str">
        <f aca="false">IFERROR(__xludf.dummyfunction("""COMPUTED_VALUE"""),"UFA - Bird")</f>
        <v>UFA - Bird</v>
      </c>
      <c r="K402" s="273"/>
      <c r="L402" s="193"/>
      <c r="M402" s="273"/>
      <c r="N402" s="193"/>
      <c r="O402" s="193" t="n">
        <f aca="false">IFERROR(__xludf.dummyfunction("""COMPUTED_VALUE"""),1)</f>
        <v>1</v>
      </c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</row>
    <row r="403" customFormat="false" ht="15.75" hidden="false" customHeight="false" outlineLevel="0" collapsed="false">
      <c r="A403" s="193" t="str">
        <f aca="false">IFERROR(__xludf.dummyfunction("""COMPUTED_VALUE"""),"Rob Dillingham")</f>
        <v>Rob Dillingham</v>
      </c>
      <c r="B403" s="271" t="str">
        <f aca="false">IFERROR(__xludf.dummyfunction("""COMPUTED_VALUE"""),"Minnesota Timberwolves")</f>
        <v>Minnesota Timberwolves</v>
      </c>
      <c r="C403" s="272" t="n">
        <f aca="false">IFERROR(__xludf.dummyfunction("""COMPUTED_VALUE"""),6262920)</f>
        <v>6262920</v>
      </c>
      <c r="D403" s="193"/>
      <c r="E403" s="272" t="n">
        <f aca="false">IFERROR(__xludf.dummyfunction("""COMPUTED_VALUE"""),6576120)</f>
        <v>6576120</v>
      </c>
      <c r="F403" s="193"/>
      <c r="G403" s="272" t="n">
        <f aca="false">IFERROR(__xludf.dummyfunction("""COMPUTED_VALUE"""),6889320)</f>
        <v>6889320</v>
      </c>
      <c r="H403" s="193" t="str">
        <f aca="false">IFERROR(__xludf.dummyfunction("""COMPUTED_VALUE"""),"Club Option")</f>
        <v>Club Option</v>
      </c>
      <c r="I403" s="272" t="n">
        <f aca="false">IFERROR(__xludf.dummyfunction("""COMPUTED_VALUE"""),8763216)</f>
        <v>8763216</v>
      </c>
      <c r="J403" s="193" t="str">
        <f aca="false">IFERROR(__xludf.dummyfunction("""COMPUTED_VALUE"""),"Club Option")</f>
        <v>Club Option</v>
      </c>
      <c r="K403" s="272" t="n">
        <f aca="false">IFERROR(__xludf.dummyfunction("""COMPUTED_VALUE"""),26289648)</f>
        <v>26289648</v>
      </c>
      <c r="L403" s="193" t="str">
        <f aca="false">IFERROR(__xludf.dummyfunction("""COMPUTED_VALUE"""),"RFA - Bird")</f>
        <v>RFA - Bird</v>
      </c>
      <c r="M403" s="273"/>
      <c r="N403" s="193"/>
      <c r="O403" s="193" t="n">
        <f aca="false">IFERROR(__xludf.dummyfunction("""COMPUTED_VALUE"""),1)</f>
        <v>1</v>
      </c>
      <c r="P403" s="193"/>
      <c r="Q403" s="193"/>
      <c r="R403" s="193"/>
      <c r="S403" s="193"/>
      <c r="T403" s="193"/>
      <c r="U403" s="193"/>
      <c r="V403" s="193"/>
      <c r="W403" s="193"/>
      <c r="X403" s="193"/>
      <c r="Y403" s="193"/>
      <c r="Z403" s="193"/>
    </row>
    <row r="404" customFormat="false" ht="15.75" hidden="false" customHeight="false" outlineLevel="0" collapsed="false">
      <c r="A404" s="193" t="str">
        <f aca="false">IFERROR(__xludf.dummyfunction("""COMPUTED_VALUE"""),"Nique Clifford (R)")</f>
        <v>Nique Clifford (R)</v>
      </c>
      <c r="B404" s="271" t="str">
        <f aca="false">IFERROR(__xludf.dummyfunction("""COMPUTED_VALUE"""),"Minnesota Timberwolves")</f>
        <v>Minnesota Timberwolves</v>
      </c>
      <c r="C404" s="273"/>
      <c r="D404" s="193"/>
      <c r="E404" s="272" t="n">
        <f aca="false">IFERROR(__xludf.dummyfunction("""COMPUTED_VALUE"""),4201080)</f>
        <v>4201080</v>
      </c>
      <c r="F404" s="193"/>
      <c r="G404" s="272" t="n">
        <f aca="false">IFERROR(__xludf.dummyfunction("""COMPUTED_VALUE"""),4411200)</f>
        <v>4411200</v>
      </c>
      <c r="H404" s="193"/>
      <c r="I404" s="272" t="n">
        <f aca="false">IFERROR(__xludf.dummyfunction("""COMPUTED_VALUE"""),4621200)</f>
        <v>4621200</v>
      </c>
      <c r="J404" s="271" t="str">
        <f aca="false">IFERROR(__xludf.dummyfunction("""COMPUTED_VALUE"""),"Club Option")</f>
        <v>Club Option</v>
      </c>
      <c r="K404" s="272" t="n">
        <f aca="false">IFERROR(__xludf.dummyfunction("""COMPUTED_VALUE"""),7098163.2)</f>
        <v>7098163.2</v>
      </c>
      <c r="L404" s="271" t="str">
        <f aca="false">IFERROR(__xludf.dummyfunction("""COMPUTED_VALUE"""),"Club Option")</f>
        <v>Club Option</v>
      </c>
      <c r="M404" s="272" t="n">
        <f aca="false">IFERROR(__xludf.dummyfunction("""COMPUTED_VALUE"""),21294489.6)</f>
        <v>21294489.6</v>
      </c>
      <c r="N404" s="271" t="str">
        <f aca="false">IFERROR(__xludf.dummyfunction("""COMPUTED_VALUE"""),"RFA - Bird")</f>
        <v>RFA - Bird</v>
      </c>
      <c r="O404" s="193" t="n">
        <f aca="false">IFERROR(__xludf.dummyfunction("""COMPUTED_VALUE"""),1)</f>
        <v>1</v>
      </c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</row>
    <row r="405" customFormat="false" ht="15.75" hidden="false" customHeight="false" outlineLevel="0" collapsed="false">
      <c r="A405" s="193" t="str">
        <f aca="false">IFERROR(__xludf.dummyfunction("""COMPUTED_VALUE"""),"DaRon Holmes II")</f>
        <v>DaRon Holmes II</v>
      </c>
      <c r="B405" s="271" t="str">
        <f aca="false">IFERROR(__xludf.dummyfunction("""COMPUTED_VALUE"""),"Minnesota Timberwolves")</f>
        <v>Minnesota Timberwolves</v>
      </c>
      <c r="C405" s="273"/>
      <c r="D405" s="193"/>
      <c r="E405" s="272" t="n">
        <f aca="false">IFERROR(__xludf.dummyfunction("""COMPUTED_VALUE"""),3218760)</f>
        <v>3218760</v>
      </c>
      <c r="F405" s="193"/>
      <c r="G405" s="272" t="n">
        <f aca="false">IFERROR(__xludf.dummyfunction("""COMPUTED_VALUE"""),3372120)</f>
        <v>3372120</v>
      </c>
      <c r="H405" s="193" t="str">
        <f aca="false">IFERROR(__xludf.dummyfunction("""COMPUTED_VALUE"""),"Club Option")</f>
        <v>Club Option</v>
      </c>
      <c r="I405" s="272" t="n">
        <f aca="false">IFERROR(__xludf.dummyfunction("""COMPUTED_VALUE"""),5547138)</f>
        <v>5547138</v>
      </c>
      <c r="J405" s="193" t="str">
        <f aca="false">IFERROR(__xludf.dummyfunction("""COMPUTED_VALUE"""),"Club Option")</f>
        <v>Club Option</v>
      </c>
      <c r="K405" s="272" t="n">
        <f aca="false">IFERROR(__xludf.dummyfunction("""COMPUTED_VALUE"""),16641414)</f>
        <v>16641414</v>
      </c>
      <c r="L405" s="193" t="str">
        <f aca="false">IFERROR(__xludf.dummyfunction("""COMPUTED_VALUE"""),"RFA - Bird")</f>
        <v>RFA - Bird</v>
      </c>
      <c r="M405" s="273"/>
      <c r="N405" s="193"/>
      <c r="O405" s="193" t="n">
        <f aca="false">IFERROR(__xludf.dummyfunction("""COMPUTED_VALUE"""),1)</f>
        <v>1</v>
      </c>
      <c r="P405" s="193"/>
      <c r="Q405" s="193"/>
      <c r="R405" s="193"/>
      <c r="S405" s="193"/>
      <c r="T405" s="193"/>
      <c r="U405" s="193"/>
      <c r="V405" s="193"/>
      <c r="W405" s="193"/>
      <c r="X405" s="193"/>
      <c r="Y405" s="193"/>
      <c r="Z405" s="193"/>
    </row>
    <row r="406" customFormat="false" ht="15.75" hidden="false" customHeight="false" outlineLevel="0" collapsed="false">
      <c r="A406" s="193" t="str">
        <f aca="false">IFERROR(__xludf.dummyfunction("""COMPUTED_VALUE"""),"Terrence Shannon Jr.")</f>
        <v>Terrence Shannon Jr.</v>
      </c>
      <c r="B406" s="271" t="str">
        <f aca="false">IFERROR(__xludf.dummyfunction("""COMPUTED_VALUE"""),"Minnesota Timberwolves")</f>
        <v>Minnesota Timberwolves</v>
      </c>
      <c r="C406" s="272" t="n">
        <f aca="false">IFERROR(__xludf.dummyfunction("""COMPUTED_VALUE"""),2546640)</f>
        <v>2546640</v>
      </c>
      <c r="D406" s="193"/>
      <c r="E406" s="272" t="n">
        <f aca="false">IFERROR(__xludf.dummyfunction("""COMPUTED_VALUE"""),2674080)</f>
        <v>2674080</v>
      </c>
      <c r="F406" s="193"/>
      <c r="G406" s="272" t="n">
        <f aca="false">IFERROR(__xludf.dummyfunction("""COMPUTED_VALUE"""),2801640)</f>
        <v>2801640</v>
      </c>
      <c r="H406" s="193" t="str">
        <f aca="false">IFERROR(__xludf.dummyfunction("""COMPUTED_VALUE"""),"Club Option")</f>
        <v>Club Option</v>
      </c>
      <c r="I406" s="272" t="n">
        <f aca="false">IFERROR(__xludf.dummyfunction("""COMPUTED_VALUE"""),5054159)</f>
        <v>5054159</v>
      </c>
      <c r="J406" s="193" t="str">
        <f aca="false">IFERROR(__xludf.dummyfunction("""COMPUTED_VALUE"""),"Club Option")</f>
        <v>Club Option</v>
      </c>
      <c r="K406" s="272" t="n">
        <f aca="false">IFERROR(__xludf.dummyfunction("""COMPUTED_VALUE"""),15162477)</f>
        <v>15162477</v>
      </c>
      <c r="L406" s="193" t="str">
        <f aca="false">IFERROR(__xludf.dummyfunction("""COMPUTED_VALUE"""),"RFA - Bird")</f>
        <v>RFA - Bird</v>
      </c>
      <c r="M406" s="273"/>
      <c r="N406" s="193"/>
      <c r="O406" s="193" t="n">
        <f aca="false">IFERROR(__xludf.dummyfunction("""COMPUTED_VALUE"""),1)</f>
        <v>1</v>
      </c>
      <c r="P406" s="193"/>
      <c r="Q406" s="193"/>
      <c r="R406" s="193"/>
      <c r="S406" s="193"/>
      <c r="T406" s="193"/>
      <c r="U406" s="193"/>
      <c r="V406" s="193"/>
      <c r="W406" s="193"/>
      <c r="X406" s="193"/>
      <c r="Y406" s="193"/>
      <c r="Z406" s="193"/>
    </row>
    <row r="407" customFormat="false" ht="15.75" hidden="false" customHeight="false" outlineLevel="0" collapsed="false">
      <c r="A407" s="193" t="str">
        <f aca="false">IFERROR(__xludf.dummyfunction("""COMPUTED_VALUE"""),"Aaron Brooks")</f>
        <v>Aaron Brooks</v>
      </c>
      <c r="B407" s="271" t="str">
        <f aca="false">IFERROR(__xludf.dummyfunction("""COMPUTED_VALUE"""),"Minnesota Timberwolves")</f>
        <v>Minnesota Timberwolves</v>
      </c>
      <c r="C407" s="272" t="n">
        <f aca="false">IFERROR(__xludf.dummyfunction("""COMPUTED_VALUE"""),2087519)</f>
        <v>2087519</v>
      </c>
      <c r="D407" s="271" t="str">
        <f aca="false">IFERROR(__xludf.dummyfunction("""COMPUTED_VALUE"""),"UFA - Non-Bird")</f>
        <v>UFA - Non-Bird</v>
      </c>
      <c r="E407" s="272" t="n">
        <f aca="false">IFERROR(__xludf.dummyfunction("""COMPUTED_VALUE"""),2296274)</f>
        <v>2296274</v>
      </c>
      <c r="F407" s="271" t="str">
        <f aca="false">IFERROR(__xludf.dummyfunction("""COMPUTED_VALUE"""),"UFA - Non-Bird")</f>
        <v>UFA - Non-Bird</v>
      </c>
      <c r="G407" s="273"/>
      <c r="H407" s="193"/>
      <c r="I407" s="273"/>
      <c r="J407" s="193"/>
      <c r="K407" s="273"/>
      <c r="L407" s="193"/>
      <c r="M407" s="273"/>
      <c r="N407" s="193"/>
      <c r="O407" s="193" t="n">
        <f aca="false">IFERROR(__xludf.dummyfunction("""COMPUTED_VALUE"""),1)</f>
        <v>1</v>
      </c>
      <c r="P407" s="193"/>
      <c r="Q407" s="193"/>
      <c r="R407" s="193"/>
      <c r="S407" s="193"/>
      <c r="T407" s="193"/>
      <c r="U407" s="193"/>
      <c r="V407" s="193"/>
      <c r="W407" s="193"/>
      <c r="X407" s="193"/>
      <c r="Y407" s="193"/>
      <c r="Z407" s="193"/>
    </row>
    <row r="408" customFormat="false" ht="15.75" hidden="false" customHeight="false" outlineLevel="0" collapsed="false">
      <c r="A408" s="193" t="str">
        <f aca="false">IFERROR(__xludf.dummyfunction("""COMPUTED_VALUE"""),"Austin Rivers")</f>
        <v>Austin Rivers</v>
      </c>
      <c r="B408" s="271" t="str">
        <f aca="false">IFERROR(__xludf.dummyfunction("""COMPUTED_VALUE"""),"Minnesota Timberwolves")</f>
        <v>Minnesota Timberwolves</v>
      </c>
      <c r="C408" s="272" t="n">
        <f aca="false">IFERROR(__xludf.dummyfunction("""COMPUTED_VALUE"""),2087519)</f>
        <v>2087519</v>
      </c>
      <c r="D408" s="271" t="str">
        <f aca="false">IFERROR(__xludf.dummyfunction("""COMPUTED_VALUE"""),"UFA - Non-Bird")</f>
        <v>UFA - Non-Bird</v>
      </c>
      <c r="E408" s="272" t="n">
        <f aca="false">IFERROR(__xludf.dummyfunction("""COMPUTED_VALUE"""),2296274)</f>
        <v>2296274</v>
      </c>
      <c r="F408" s="271" t="str">
        <f aca="false">IFERROR(__xludf.dummyfunction("""COMPUTED_VALUE"""),"UFA - Non-Bird")</f>
        <v>UFA - Non-Bird</v>
      </c>
      <c r="G408" s="273"/>
      <c r="H408" s="193"/>
      <c r="I408" s="273"/>
      <c r="J408" s="193"/>
      <c r="K408" s="273"/>
      <c r="L408" s="193"/>
      <c r="M408" s="273"/>
      <c r="N408" s="193"/>
      <c r="O408" s="193" t="n">
        <f aca="false">IFERROR(__xludf.dummyfunction("""COMPUTED_VALUE"""),1)</f>
        <v>1</v>
      </c>
      <c r="P408" s="193"/>
      <c r="Q408" s="193"/>
      <c r="R408" s="193"/>
      <c r="S408" s="193"/>
      <c r="T408" s="193"/>
      <c r="U408" s="193"/>
      <c r="V408" s="193"/>
      <c r="W408" s="193"/>
      <c r="X408" s="193"/>
      <c r="Y408" s="193"/>
      <c r="Z408" s="193"/>
    </row>
    <row r="409" customFormat="false" ht="15.75" hidden="false" customHeight="false" outlineLevel="0" collapsed="false">
      <c r="A409" s="193" t="str">
        <f aca="false">IFERROR(__xludf.dummyfunction("""COMPUTED_VALUE"""),"Greg Monroe")</f>
        <v>Greg Monroe</v>
      </c>
      <c r="B409" s="271" t="str">
        <f aca="false">IFERROR(__xludf.dummyfunction("""COMPUTED_VALUE"""),"Minnesota Timberwolves")</f>
        <v>Minnesota Timberwolves</v>
      </c>
      <c r="C409" s="272" t="n">
        <f aca="false">IFERROR(__xludf.dummyfunction("""COMPUTED_VALUE"""),2087519)</f>
        <v>2087519</v>
      </c>
      <c r="D409" s="271" t="str">
        <f aca="false">IFERROR(__xludf.dummyfunction("""COMPUTED_VALUE"""),"UFA - Non-Bird")</f>
        <v>UFA - Non-Bird</v>
      </c>
      <c r="E409" s="272" t="n">
        <f aca="false">IFERROR(__xludf.dummyfunction("""COMPUTED_VALUE"""),2296274)</f>
        <v>2296274</v>
      </c>
      <c r="F409" s="271" t="str">
        <f aca="false">IFERROR(__xludf.dummyfunction("""COMPUTED_VALUE"""),"UFA - Non-Bird")</f>
        <v>UFA - Non-Bird</v>
      </c>
      <c r="G409" s="273"/>
      <c r="H409" s="193"/>
      <c r="I409" s="273"/>
      <c r="J409" s="193"/>
      <c r="K409" s="273"/>
      <c r="L409" s="193"/>
      <c r="M409" s="273"/>
      <c r="N409" s="193"/>
      <c r="O409" s="193" t="n">
        <f aca="false">IFERROR(__xludf.dummyfunction("""COMPUTED_VALUE"""),1)</f>
        <v>1</v>
      </c>
      <c r="P409" s="193"/>
      <c r="Q409" s="193"/>
      <c r="R409" s="193"/>
      <c r="S409" s="193"/>
      <c r="T409" s="193"/>
      <c r="U409" s="193"/>
      <c r="V409" s="193"/>
      <c r="W409" s="193"/>
      <c r="X409" s="193"/>
      <c r="Y409" s="193"/>
      <c r="Z409" s="193"/>
    </row>
    <row r="410" customFormat="false" ht="15.75" hidden="false" customHeight="false" outlineLevel="0" collapsed="false">
      <c r="A410" s="193" t="str">
        <f aca="false">IFERROR(__xludf.dummyfunction("""COMPUTED_VALUE"""),"Joe Ingles")</f>
        <v>Joe Ingles</v>
      </c>
      <c r="B410" s="271" t="str">
        <f aca="false">IFERROR(__xludf.dummyfunction("""COMPUTED_VALUE"""),"Minnesota Timberwolves")</f>
        <v>Minnesota Timberwolves</v>
      </c>
      <c r="C410" s="272" t="n">
        <f aca="false">IFERROR(__xludf.dummyfunction("""COMPUTED_VALUE"""),2087519)</f>
        <v>2087519</v>
      </c>
      <c r="D410" s="193"/>
      <c r="E410" s="272" t="n">
        <f aca="false">IFERROR(__xludf.dummyfunction("""COMPUTED_VALUE"""),2296274)</f>
        <v>2296274</v>
      </c>
      <c r="F410" s="271" t="str">
        <f aca="false">IFERROR(__xludf.dummyfunction("""COMPUTED_VALUE"""),"UFA - Non-Bird")</f>
        <v>UFA - Non-Bird</v>
      </c>
      <c r="G410" s="272" t="str">
        <f aca="false">IFERROR(__xludf.dummyfunction("""COMPUTED_VALUE"""),"")</f>
        <v/>
      </c>
      <c r="H410" s="193"/>
      <c r="I410" s="272" t="str">
        <f aca="false">IFERROR(__xludf.dummyfunction("""COMPUTED_VALUE"""),"")</f>
        <v/>
      </c>
      <c r="J410" s="193"/>
      <c r="K410" s="273"/>
      <c r="L410" s="193"/>
      <c r="M410" s="273"/>
      <c r="N410" s="193"/>
      <c r="O410" s="193" t="n">
        <f aca="false">IFERROR(__xludf.dummyfunction("""COMPUTED_VALUE"""),1)</f>
        <v>1</v>
      </c>
      <c r="P410" s="193"/>
      <c r="Q410" s="193"/>
      <c r="R410" s="193"/>
      <c r="S410" s="193"/>
      <c r="T410" s="193"/>
      <c r="U410" s="193"/>
      <c r="V410" s="193"/>
      <c r="W410" s="193"/>
      <c r="X410" s="193"/>
      <c r="Y410" s="193"/>
      <c r="Z410" s="193"/>
    </row>
    <row r="411" customFormat="false" ht="15.75" hidden="false" customHeight="false" outlineLevel="0" collapsed="false">
      <c r="A411" s="193" t="str">
        <f aca="false">IFERROR(__xludf.dummyfunction("""COMPUTED_VALUE"""),"Trey Lyles")</f>
        <v>Trey Lyles</v>
      </c>
      <c r="B411" s="271" t="str">
        <f aca="false">IFERROR(__xludf.dummyfunction("""COMPUTED_VALUE"""),"Minnesota Timberwolves")</f>
        <v>Minnesota Timberwolves</v>
      </c>
      <c r="C411" s="272" t="n">
        <f aca="false">IFERROR(__xludf.dummyfunction("""COMPUTED_VALUE"""),8000000)</f>
        <v>8000000</v>
      </c>
      <c r="D411" s="193"/>
      <c r="E411" s="272" t="n">
        <f aca="false">IFERROR(__xludf.dummyfunction("""COMPUTED_VALUE"""),2296271)</f>
        <v>2296271</v>
      </c>
      <c r="F411" s="193"/>
      <c r="G411" s="272" t="n">
        <f aca="false">IFERROR(__xludf.dummyfunction("""COMPUTED_VALUE"""),2525898.1)</f>
        <v>2525898.1</v>
      </c>
      <c r="H411" s="271" t="str">
        <f aca="false">IFERROR(__xludf.dummyfunction("""COMPUTED_VALUE"""),"UFA - Non-Bird")</f>
        <v>UFA - Non-Bird</v>
      </c>
      <c r="I411" s="273"/>
      <c r="J411" s="193"/>
      <c r="K411" s="273"/>
      <c r="L411" s="193"/>
      <c r="M411" s="273"/>
      <c r="N411" s="193"/>
      <c r="O411" s="193" t="n">
        <f aca="false">IFERROR(__xludf.dummyfunction("""COMPUTED_VALUE"""),1)</f>
        <v>1</v>
      </c>
      <c r="P411" s="193"/>
      <c r="Q411" s="193"/>
      <c r="R411" s="193"/>
      <c r="S411" s="193"/>
      <c r="T411" s="193"/>
      <c r="U411" s="193"/>
      <c r="V411" s="193"/>
      <c r="W411" s="193"/>
      <c r="X411" s="193"/>
      <c r="Y411" s="193"/>
      <c r="Z411" s="193"/>
    </row>
    <row r="412" customFormat="false" ht="15.75" hidden="false" customHeight="false" outlineLevel="0" collapsed="false">
      <c r="A412" s="193" t="str">
        <f aca="false">IFERROR(__xludf.dummyfunction("""COMPUTED_VALUE"""),"Andre Jackson Jr.")</f>
        <v>Andre Jackson Jr.</v>
      </c>
      <c r="B412" s="271" t="str">
        <f aca="false">IFERROR(__xludf.dummyfunction("""COMPUTED_VALUE"""),"Minnesota Timberwolves")</f>
        <v>Minnesota Timberwolves</v>
      </c>
      <c r="C412" s="272" t="n">
        <f aca="false">IFERROR(__xludf.dummyfunction("""COMPUTED_VALUE"""),1891857)</f>
        <v>1891857</v>
      </c>
      <c r="D412" s="193"/>
      <c r="E412" s="272" t="n">
        <f aca="false">IFERROR(__xludf.dummyfunction("""COMPUTED_VALUE"""),2221677)</f>
        <v>2221677</v>
      </c>
      <c r="F412" s="193"/>
      <c r="G412" s="272" t="n">
        <f aca="false">IFERROR(__xludf.dummyfunction("""COMPUTED_VALUE"""),2406205)</f>
        <v>2406205</v>
      </c>
      <c r="H412" s="271" t="str">
        <f aca="false">IFERROR(__xludf.dummyfunction("""COMPUTED_VALUE"""),"Non Guaranteed")</f>
        <v>Non Guaranteed</v>
      </c>
      <c r="I412" s="272" t="n">
        <f aca="false">IFERROR(__xludf.dummyfunction("""COMPUTED_VALUE"""),2957063)</f>
        <v>2957063</v>
      </c>
      <c r="J412" s="193" t="str">
        <f aca="false">IFERROR(__xludf.dummyfunction("""COMPUTED_VALUE"""),"UFA - Bird")</f>
        <v>UFA - Bird</v>
      </c>
      <c r="K412" s="273"/>
      <c r="L412" s="193"/>
      <c r="M412" s="273"/>
      <c r="N412" s="193"/>
      <c r="O412" s="193" t="n">
        <f aca="false">IFERROR(__xludf.dummyfunction("""COMPUTED_VALUE"""),1)</f>
        <v>1</v>
      </c>
      <c r="P412" s="193"/>
      <c r="Q412" s="193"/>
      <c r="R412" s="193"/>
      <c r="S412" s="193"/>
      <c r="T412" s="193"/>
      <c r="U412" s="193"/>
      <c r="V412" s="193"/>
      <c r="W412" s="193"/>
      <c r="X412" s="193"/>
      <c r="Y412" s="193"/>
      <c r="Z412" s="193"/>
    </row>
    <row r="413" customFormat="false" ht="15.75" hidden="false" customHeight="false" outlineLevel="0" collapsed="false">
      <c r="A413" s="193" t="str">
        <f aca="false">IFERROR(__xludf.dummyfunction("""COMPUTED_VALUE"""),"Jaylen Clark")</f>
        <v>Jaylen Clark</v>
      </c>
      <c r="B413" s="271" t="str">
        <f aca="false">IFERROR(__xludf.dummyfunction("""COMPUTED_VALUE"""),"Minnesota Timberwolves")</f>
        <v>Minnesota Timberwolves</v>
      </c>
      <c r="C413" s="272" t="n">
        <f aca="false">IFERROR(__xludf.dummyfunction("""COMPUTED_VALUE"""),492323)</f>
        <v>492323</v>
      </c>
      <c r="D413" s="193"/>
      <c r="E413" s="272" t="n">
        <f aca="false">IFERROR(__xludf.dummyfunction("""COMPUTED_VALUE"""),2191897)</f>
        <v>2191897</v>
      </c>
      <c r="F413" s="193"/>
      <c r="G413" s="272" t="n">
        <f aca="false">IFERROR(__xludf.dummyfunction("""COMPUTED_VALUE"""),2959061)</f>
        <v>2959061</v>
      </c>
      <c r="H413" s="193" t="str">
        <f aca="false">IFERROR(__xludf.dummyfunction("""COMPUTED_VALUE"""),"RFA - Bird")</f>
        <v>RFA - Bird</v>
      </c>
      <c r="I413" s="272" t="str">
        <f aca="false">IFERROR(__xludf.dummyfunction("""COMPUTED_VALUE"""),"")</f>
        <v/>
      </c>
      <c r="J413" s="193"/>
      <c r="K413" s="273"/>
      <c r="L413" s="193"/>
      <c r="M413" s="273"/>
      <c r="N413" s="193"/>
      <c r="O413" s="193" t="n">
        <f aca="false">IFERROR(__xludf.dummyfunction("""COMPUTED_VALUE"""),1)</f>
        <v>1</v>
      </c>
      <c r="P413" s="193"/>
      <c r="Q413" s="193"/>
      <c r="R413" s="193"/>
      <c r="S413" s="193"/>
      <c r="T413" s="193"/>
      <c r="U413" s="193"/>
      <c r="V413" s="193"/>
      <c r="W413" s="193"/>
      <c r="X413" s="193"/>
      <c r="Y413" s="193"/>
      <c r="Z413" s="193"/>
    </row>
    <row r="414" customFormat="false" ht="15.75" hidden="false" customHeight="false" outlineLevel="0" collapsed="false">
      <c r="A414" s="193" t="str">
        <f aca="false">IFERROR(__xludf.dummyfunction("""COMPUTED_VALUE"""),"Bogoljub Markovic (R)")</f>
        <v>Bogoljub Markovic (R)</v>
      </c>
      <c r="B414" s="271" t="str">
        <f aca="false">IFERROR(__xludf.dummyfunction("""COMPUTED_VALUE"""),"Minnesota Timberwolves")</f>
        <v>Minnesota Timberwolves</v>
      </c>
      <c r="C414" s="273"/>
      <c r="D414" s="193"/>
      <c r="E414" s="272" t="n">
        <f aca="false">IFERROR(__xludf.dummyfunction("""COMPUTED_VALUE"""),1272869)</f>
        <v>1272869</v>
      </c>
      <c r="F414" s="193"/>
      <c r="G414" s="272" t="n">
        <f aca="false">IFERROR(__xludf.dummyfunction("""COMPUTED_VALUE"""),2150915.55)</f>
        <v>2150915.55</v>
      </c>
      <c r="H414" s="271" t="str">
        <f aca="false">IFERROR(__xludf.dummyfunction("""COMPUTED_VALUE"""),"Non Guaranteed")</f>
        <v>Non Guaranteed</v>
      </c>
      <c r="I414" s="272" t="n">
        <f aca="false">IFERROR(__xludf.dummyfunction("""COMPUTED_VALUE"""),2525899)</f>
        <v>2525899</v>
      </c>
      <c r="J414" s="271" t="str">
        <f aca="false">IFERROR(__xludf.dummyfunction("""COMPUTED_VALUE"""),"Club Option")</f>
        <v>Club Option</v>
      </c>
      <c r="K414" s="272" t="n">
        <f aca="false">IFERROR(__xludf.dummyfunction("""COMPUTED_VALUE"""),4799206.2)</f>
        <v>4799206.2</v>
      </c>
      <c r="L414" s="271" t="str">
        <f aca="false">IFERROR(__xludf.dummyfunction("""COMPUTED_VALUE"""),"UFA - Bird")</f>
        <v>UFA - Bird</v>
      </c>
      <c r="M414" s="273"/>
      <c r="N414" s="193"/>
      <c r="O414" s="193" t="n">
        <f aca="false">IFERROR(__xludf.dummyfunction("""COMPUTED_VALUE"""),1)</f>
        <v>1</v>
      </c>
      <c r="P414" s="193"/>
      <c r="Q414" s="193"/>
      <c r="R414" s="193"/>
      <c r="S414" s="193"/>
      <c r="T414" s="193"/>
      <c r="U414" s="193"/>
      <c r="V414" s="193"/>
      <c r="W414" s="193"/>
      <c r="X414" s="193"/>
      <c r="Y414" s="193"/>
      <c r="Z414" s="193"/>
    </row>
    <row r="415" customFormat="false" ht="15.75" hidden="false" customHeight="false" outlineLevel="0" collapsed="false">
      <c r="A415" s="193" t="str">
        <f aca="false">IFERROR(__xludf.dummyfunction("""COMPUTED_VALUE"""),"Lester Quinones")</f>
        <v>Lester Quinones</v>
      </c>
      <c r="B415" s="271" t="str">
        <f aca="false">IFERROR(__xludf.dummyfunction("""COMPUTED_VALUE"""),"New Orleans Pelicans")</f>
        <v>New Orleans Pelicans</v>
      </c>
      <c r="C415" s="272" t="str">
        <f aca="false">IFERROR(__xludf.dummyfunction("""COMPUTED_VALUE"""),"Two-way")</f>
        <v>Two-way</v>
      </c>
      <c r="D415" s="271" t="str">
        <f aca="false">IFERROR(__xludf.dummyfunction("""COMPUTED_VALUE"""),"Two-way")</f>
        <v>Two-way</v>
      </c>
      <c r="E415" s="272" t="str">
        <f aca="false">IFERROR(__xludf.dummyfunction("""COMPUTED_VALUE"""),"Two-way")</f>
        <v>Two-way</v>
      </c>
      <c r="F415" s="271" t="str">
        <f aca="false">IFERROR(__xludf.dummyfunction("""COMPUTED_VALUE"""),"Two-way")</f>
        <v>Two-way</v>
      </c>
      <c r="G415" s="272" t="n">
        <f aca="false">IFERROR(__xludf.dummyfunction("""COMPUTED_VALUE"""),2253346)</f>
        <v>2253346</v>
      </c>
      <c r="H415" s="271" t="str">
        <f aca="false">IFERROR(__xludf.dummyfunction("""COMPUTED_VALUE"""),"UFA - Two-way")</f>
        <v>UFA - Two-way</v>
      </c>
      <c r="I415" s="273"/>
      <c r="J415" s="193"/>
      <c r="K415" s="273"/>
      <c r="L415" s="193"/>
      <c r="M415" s="273"/>
      <c r="N415" s="193"/>
      <c r="O415" s="193" t="n">
        <f aca="false">IFERROR(__xludf.dummyfunction("""COMPUTED_VALUE"""),1)</f>
        <v>1</v>
      </c>
      <c r="P415" s="193"/>
      <c r="Q415" s="193"/>
      <c r="R415" s="193"/>
      <c r="S415" s="193"/>
      <c r="T415" s="193"/>
      <c r="U415" s="193"/>
      <c r="V415" s="193"/>
      <c r="W415" s="193"/>
      <c r="X415" s="193"/>
      <c r="Y415" s="193"/>
      <c r="Z415" s="193"/>
    </row>
    <row r="416" customFormat="false" ht="15.75" hidden="false" customHeight="false" outlineLevel="0" collapsed="false">
      <c r="A416" s="193" t="str">
        <f aca="false">IFERROR(__xludf.dummyfunction("""COMPUTED_VALUE"""),"Jalen Hood-Schfino")</f>
        <v>Jalen Hood-Schfino</v>
      </c>
      <c r="B416" s="271" t="str">
        <f aca="false">IFERROR(__xludf.dummyfunction("""COMPUTED_VALUE"""),"New Orleans Pelicans")</f>
        <v>New Orleans Pelicans</v>
      </c>
      <c r="C416" s="272" t="str">
        <f aca="false">IFERROR(__xludf.dummyfunction("""COMPUTED_VALUE"""),"Two-way")</f>
        <v>Two-way</v>
      </c>
      <c r="D416" s="271" t="str">
        <f aca="false">IFERROR(__xludf.dummyfunction("""COMPUTED_VALUE"""),"Two-way")</f>
        <v>Two-way</v>
      </c>
      <c r="E416" s="272" t="str">
        <f aca="false">IFERROR(__xludf.dummyfunction("""COMPUTED_VALUE"""),"Two-way")</f>
        <v>Two-way</v>
      </c>
      <c r="F416" s="271" t="str">
        <f aca="false">IFERROR(__xludf.dummyfunction("""COMPUTED_VALUE"""),"Two-way")</f>
        <v>Two-way</v>
      </c>
      <c r="G416" s="272" t="n">
        <f aca="false">IFERROR(__xludf.dummyfunction("""COMPUTED_VALUE"""),2253346)</f>
        <v>2253346</v>
      </c>
      <c r="H416" s="193" t="str">
        <f aca="false">IFERROR(__xludf.dummyfunction("""COMPUTED_VALUE"""),"UFA - Two-way")</f>
        <v>UFA - Two-way</v>
      </c>
      <c r="I416" s="273"/>
      <c r="J416" s="193"/>
      <c r="K416" s="273"/>
      <c r="L416" s="193"/>
      <c r="M416" s="273"/>
      <c r="N416" s="193"/>
      <c r="O416" s="193" t="n">
        <f aca="false">IFERROR(__xludf.dummyfunction("""COMPUTED_VALUE"""),1)</f>
        <v>1</v>
      </c>
      <c r="P416" s="193"/>
      <c r="Q416" s="193"/>
      <c r="R416" s="193"/>
      <c r="S416" s="193"/>
      <c r="T416" s="193"/>
      <c r="U416" s="193"/>
      <c r="V416" s="193"/>
      <c r="W416" s="193"/>
      <c r="X416" s="193"/>
      <c r="Y416" s="193"/>
      <c r="Z416" s="193"/>
    </row>
    <row r="417" customFormat="false" ht="15.75" hidden="false" customHeight="false" outlineLevel="0" collapsed="false">
      <c r="A417" s="193" t="str">
        <f aca="false">IFERROR(__xludf.dummyfunction("""COMPUTED_VALUE"""),"Zion Williamson")</f>
        <v>Zion Williamson</v>
      </c>
      <c r="B417" s="271" t="str">
        <f aca="false">IFERROR(__xludf.dummyfunction("""COMPUTED_VALUE"""),"New Orleans Pelicans")</f>
        <v>New Orleans Pelicans</v>
      </c>
      <c r="C417" s="272" t="n">
        <f aca="false">IFERROR(__xludf.dummyfunction("""COMPUTED_VALUE"""),36725670)</f>
        <v>36725670</v>
      </c>
      <c r="D417" s="193"/>
      <c r="E417" s="272" t="n">
        <f aca="false">IFERROR(__xludf.dummyfunction("""COMPUTED_VALUE"""),39446090)</f>
        <v>39446090</v>
      </c>
      <c r="F417" s="193"/>
      <c r="G417" s="272" t="n">
        <f aca="false">IFERROR(__xludf.dummyfunction("""COMPUTED_VALUE"""),42166510)</f>
        <v>42166510</v>
      </c>
      <c r="H417" s="193"/>
      <c r="I417" s="272" t="n">
        <f aca="false">IFERROR(__xludf.dummyfunction("""COMPUTED_VALUE"""),44886930)</f>
        <v>44886930</v>
      </c>
      <c r="J417" s="271" t="str">
        <f aca="false">IFERROR(__xludf.dummyfunction("""COMPUTED_VALUE"""),"Non Guaranteed")</f>
        <v>Non Guaranteed</v>
      </c>
      <c r="K417" s="272" t="n">
        <f aca="false">IFERROR(__xludf.dummyfunction("""COMPUTED_VALUE"""),53864316)</f>
        <v>53864316</v>
      </c>
      <c r="L417" s="271" t="str">
        <f aca="false">IFERROR(__xludf.dummyfunction("""COMPUTED_VALUE"""),"UFA - Bird")</f>
        <v>UFA - Bird</v>
      </c>
      <c r="M417" s="273"/>
      <c r="N417" s="193"/>
      <c r="O417" s="193" t="n">
        <f aca="false">IFERROR(__xludf.dummyfunction("""COMPUTED_VALUE"""),1)</f>
        <v>1</v>
      </c>
      <c r="P417" s="193"/>
      <c r="Q417" s="193"/>
      <c r="R417" s="193"/>
      <c r="S417" s="193"/>
      <c r="T417" s="193"/>
      <c r="U417" s="193"/>
      <c r="V417" s="193"/>
      <c r="W417" s="193"/>
      <c r="X417" s="193"/>
      <c r="Y417" s="193"/>
      <c r="Z417" s="193"/>
    </row>
    <row r="418" customFormat="false" ht="15.75" hidden="false" customHeight="false" outlineLevel="0" collapsed="false">
      <c r="A418" s="193" t="str">
        <f aca="false">IFERROR(__xludf.dummyfunction("""COMPUTED_VALUE"""),"C.J. McCollum")</f>
        <v>C.J. McCollum</v>
      </c>
      <c r="B418" s="271" t="str">
        <f aca="false">IFERROR(__xludf.dummyfunction("""COMPUTED_VALUE"""),"New Orleans Pelicans")</f>
        <v>New Orleans Pelicans</v>
      </c>
      <c r="C418" s="272" t="n">
        <f aca="false">IFERROR(__xludf.dummyfunction("""COMPUTED_VALUE"""),33333333)</f>
        <v>33333333</v>
      </c>
      <c r="D418" s="193"/>
      <c r="E418" s="272" t="n">
        <f aca="false">IFERROR(__xludf.dummyfunction("""COMPUTED_VALUE"""),30666666)</f>
        <v>30666666</v>
      </c>
      <c r="F418" s="193"/>
      <c r="G418" s="272" t="n">
        <f aca="false">IFERROR(__xludf.dummyfunction("""COMPUTED_VALUE"""),45999999)</f>
        <v>45999999</v>
      </c>
      <c r="H418" s="271" t="str">
        <f aca="false">IFERROR(__xludf.dummyfunction("""COMPUTED_VALUE"""),"UFA - Bird")</f>
        <v>UFA - Bird</v>
      </c>
      <c r="I418" s="272" t="str">
        <f aca="false">IFERROR(__xludf.dummyfunction("""COMPUTED_VALUE"""),"")</f>
        <v/>
      </c>
      <c r="J418" s="193"/>
      <c r="K418" s="273"/>
      <c r="L418" s="193"/>
      <c r="M418" s="273"/>
      <c r="N418" s="193"/>
      <c r="O418" s="193" t="n">
        <f aca="false">IFERROR(__xludf.dummyfunction("""COMPUTED_VALUE"""),1)</f>
        <v>1</v>
      </c>
      <c r="P418" s="193"/>
      <c r="Q418" s="193"/>
      <c r="R418" s="193"/>
      <c r="S418" s="193"/>
      <c r="T418" s="193"/>
      <c r="U418" s="193"/>
      <c r="V418" s="193"/>
      <c r="W418" s="193"/>
      <c r="X418" s="193"/>
      <c r="Y418" s="193"/>
      <c r="Z418" s="193"/>
    </row>
    <row r="419" customFormat="false" ht="15.75" hidden="false" customHeight="false" outlineLevel="0" collapsed="false">
      <c r="A419" s="193" t="str">
        <f aca="false">IFERROR(__xludf.dummyfunction("""COMPUTED_VALUE"""),"Trey Murphy III")</f>
        <v>Trey Murphy III</v>
      </c>
      <c r="B419" s="271" t="str">
        <f aca="false">IFERROR(__xludf.dummyfunction("""COMPUTED_VALUE"""),"New Orleans Pelicans")</f>
        <v>New Orleans Pelicans</v>
      </c>
      <c r="C419" s="272" t="n">
        <f aca="false">IFERROR(__xludf.dummyfunction("""COMPUTED_VALUE"""),5159855)</f>
        <v>5159855</v>
      </c>
      <c r="D419" s="193"/>
      <c r="E419" s="272" t="n">
        <f aca="false">IFERROR(__xludf.dummyfunction("""COMPUTED_VALUE"""),25000000)</f>
        <v>25000000</v>
      </c>
      <c r="F419" s="193"/>
      <c r="G419" s="272" t="n">
        <f aca="false">IFERROR(__xludf.dummyfunction("""COMPUTED_VALUE"""),27000000)</f>
        <v>27000000</v>
      </c>
      <c r="H419" s="193"/>
      <c r="I419" s="272" t="n">
        <f aca="false">IFERROR(__xludf.dummyfunction("""COMPUTED_VALUE"""),29000000)</f>
        <v>29000000</v>
      </c>
      <c r="J419" s="193"/>
      <c r="K419" s="272" t="n">
        <f aca="false">IFERROR(__xludf.dummyfunction("""COMPUTED_VALUE"""),31000000)</f>
        <v>31000000</v>
      </c>
      <c r="L419" s="193"/>
      <c r="M419" s="272" t="n">
        <f aca="false">IFERROR(__xludf.dummyfunction("""COMPUTED_VALUE"""),46500000)</f>
        <v>46500000</v>
      </c>
      <c r="N419" s="271" t="str">
        <f aca="false">IFERROR(__xludf.dummyfunction("""COMPUTED_VALUE"""),"UFA - Bird")</f>
        <v>UFA - Bird</v>
      </c>
      <c r="O419" s="193" t="n">
        <f aca="false">IFERROR(__xludf.dummyfunction("""COMPUTED_VALUE"""),1)</f>
        <v>1</v>
      </c>
      <c r="P419" s="193"/>
      <c r="Q419" s="193"/>
      <c r="R419" s="193"/>
      <c r="S419" s="193"/>
      <c r="T419" s="193"/>
      <c r="U419" s="193"/>
      <c r="V419" s="193"/>
      <c r="W419" s="193"/>
      <c r="X419" s="193"/>
      <c r="Y419" s="193"/>
      <c r="Z419" s="193"/>
    </row>
    <row r="420" customFormat="false" ht="15.75" hidden="false" customHeight="false" outlineLevel="0" collapsed="false">
      <c r="A420" s="193" t="str">
        <f aca="false">IFERROR(__xludf.dummyfunction("""COMPUTED_VALUE"""),"Malik Monk")</f>
        <v>Malik Monk</v>
      </c>
      <c r="B420" s="271" t="str">
        <f aca="false">IFERROR(__xludf.dummyfunction("""COMPUTED_VALUE"""),"New Orleans Pelicans")</f>
        <v>New Orleans Pelicans</v>
      </c>
      <c r="C420" s="272" t="n">
        <f aca="false">IFERROR(__xludf.dummyfunction("""COMPUTED_VALUE"""),17405203)</f>
        <v>17405203</v>
      </c>
      <c r="D420" s="193"/>
      <c r="E420" s="272" t="n">
        <f aca="false">IFERROR(__xludf.dummyfunction("""COMPUTED_VALUE"""),18797619)</f>
        <v>18797619</v>
      </c>
      <c r="F420" s="193"/>
      <c r="G420" s="272" t="n">
        <f aca="false">IFERROR(__xludf.dummyfunction("""COMPUTED_VALUE"""),20190035)</f>
        <v>20190035</v>
      </c>
      <c r="H420" s="193"/>
      <c r="I420" s="272" t="n">
        <f aca="false">IFERROR(__xludf.dummyfunction("""COMPUTED_VALUE"""),21582451)</f>
        <v>21582451</v>
      </c>
      <c r="J420" s="271" t="str">
        <f aca="false">IFERROR(__xludf.dummyfunction("""COMPUTED_VALUE"""),"Player Option")</f>
        <v>Player Option</v>
      </c>
      <c r="K420" s="272" t="n">
        <f aca="false">IFERROR(__xludf.dummyfunction("""COMPUTED_VALUE"""),32373677)</f>
        <v>32373677</v>
      </c>
      <c r="L420" s="271" t="str">
        <f aca="false">IFERROR(__xludf.dummyfunction("""COMPUTED_VALUE"""),"UFA - Bird")</f>
        <v>UFA - Bird</v>
      </c>
      <c r="M420" s="273"/>
      <c r="N420" s="193"/>
      <c r="O420" s="193" t="n">
        <f aca="false">IFERROR(__xludf.dummyfunction("""COMPUTED_VALUE"""),1)</f>
        <v>1</v>
      </c>
      <c r="P420" s="193"/>
      <c r="Q420" s="193"/>
      <c r="R420" s="193"/>
      <c r="S420" s="193"/>
      <c r="T420" s="193"/>
      <c r="U420" s="193"/>
      <c r="V420" s="193"/>
      <c r="W420" s="193"/>
      <c r="X420" s="193"/>
      <c r="Y420" s="193"/>
      <c r="Z420" s="193"/>
    </row>
    <row r="421" customFormat="false" ht="15.75" hidden="false" customHeight="false" outlineLevel="0" collapsed="false">
      <c r="A421" s="193" t="str">
        <f aca="false">IFERROR(__xludf.dummyfunction("""COMPUTED_VALUE"""),"Kelly Olynyk")</f>
        <v>Kelly Olynyk</v>
      </c>
      <c r="B421" s="271" t="str">
        <f aca="false">IFERROR(__xludf.dummyfunction("""COMPUTED_VALUE"""),"New Orleans Pelicans")</f>
        <v>New Orleans Pelicans</v>
      </c>
      <c r="C421" s="272" t="n">
        <f aca="false">IFERROR(__xludf.dummyfunction("""COMPUTED_VALUE"""),12804878)</f>
        <v>12804878</v>
      </c>
      <c r="D421" s="193"/>
      <c r="E421" s="272" t="n">
        <f aca="false">IFERROR(__xludf.dummyfunction("""COMPUTED_VALUE"""),13445122)</f>
        <v>13445122</v>
      </c>
      <c r="F421" s="193"/>
      <c r="G421" s="272" t="n">
        <f aca="false">IFERROR(__xludf.dummyfunction("""COMPUTED_VALUE"""),25545732)</f>
        <v>25545732</v>
      </c>
      <c r="H421" s="271" t="str">
        <f aca="false">IFERROR(__xludf.dummyfunction("""COMPUTED_VALUE"""),"UFA - Bird")</f>
        <v>UFA - Bird</v>
      </c>
      <c r="I421" s="272" t="str">
        <f aca="false">IFERROR(__xludf.dummyfunction("""COMPUTED_VALUE"""),"")</f>
        <v/>
      </c>
      <c r="J421" s="193"/>
      <c r="K421" s="273"/>
      <c r="L421" s="193"/>
      <c r="M421" s="273"/>
      <c r="N421" s="193"/>
      <c r="O421" s="193" t="n">
        <f aca="false">IFERROR(__xludf.dummyfunction("""COMPUTED_VALUE"""),1)</f>
        <v>1</v>
      </c>
      <c r="P421" s="193"/>
      <c r="Q421" s="193"/>
      <c r="R421" s="193"/>
      <c r="S421" s="193"/>
      <c r="T421" s="193"/>
      <c r="U421" s="193"/>
      <c r="V421" s="193"/>
      <c r="W421" s="193"/>
      <c r="X421" s="193"/>
      <c r="Y421" s="193"/>
      <c r="Z421" s="193"/>
    </row>
    <row r="422" customFormat="false" ht="15.75" hidden="false" customHeight="false" outlineLevel="0" collapsed="false">
      <c r="A422" s="193" t="str">
        <f aca="false">IFERROR(__xludf.dummyfunction("""COMPUTED_VALUE"""),"Ziaire Williams")</f>
        <v>Ziaire Williams</v>
      </c>
      <c r="B422" s="271" t="str">
        <f aca="false">IFERROR(__xludf.dummyfunction("""COMPUTED_VALUE"""),"New Orleans Pelicans")</f>
        <v>New Orleans Pelicans</v>
      </c>
      <c r="C422" s="272" t="n">
        <f aca="false">IFERROR(__xludf.dummyfunction("""COMPUTED_VALUE"""),6133005)</f>
        <v>6133005</v>
      </c>
      <c r="D422" s="193"/>
      <c r="E422" s="272" t="n">
        <f aca="false">IFERROR(__xludf.dummyfunction("""COMPUTED_VALUE"""),11500000)</f>
        <v>11500000</v>
      </c>
      <c r="F422" s="193"/>
      <c r="G422" s="272" t="n">
        <f aca="false">IFERROR(__xludf.dummyfunction("""COMPUTED_VALUE"""),12075000)</f>
        <v>12075000</v>
      </c>
      <c r="H422" s="193"/>
      <c r="I422" s="272" t="n">
        <f aca="false">IFERROR(__xludf.dummyfunction("""COMPUTED_VALUE"""),12650000)</f>
        <v>12650000</v>
      </c>
      <c r="J422" s="193"/>
      <c r="K422" s="272" t="n">
        <f aca="false">IFERROR(__xludf.dummyfunction("""COMPUTED_VALUE"""),13225000)</f>
        <v>13225000</v>
      </c>
      <c r="L422" s="271" t="str">
        <f aca="false">IFERROR(__xludf.dummyfunction("""COMPUTED_VALUE"""),"Player Option")</f>
        <v>Player Option</v>
      </c>
      <c r="M422" s="272" t="n">
        <f aca="false">IFERROR(__xludf.dummyfunction("""COMPUTED_VALUE"""),25127500)</f>
        <v>25127500</v>
      </c>
      <c r="N422" s="271" t="str">
        <f aca="false">IFERROR(__xludf.dummyfunction("""COMPUTED_VALUE"""),"UFA - Bird")</f>
        <v>UFA - Bird</v>
      </c>
      <c r="O422" s="193" t="n">
        <f aca="false">IFERROR(__xludf.dummyfunction("""COMPUTED_VALUE"""),1)</f>
        <v>1</v>
      </c>
      <c r="P422" s="193"/>
      <c r="Q422" s="193"/>
      <c r="R422" s="193"/>
      <c r="S422" s="193"/>
      <c r="T422" s="193"/>
      <c r="U422" s="193"/>
      <c r="V422" s="193"/>
      <c r="W422" s="193"/>
      <c r="X422" s="193"/>
      <c r="Y422" s="193"/>
      <c r="Z422" s="193"/>
    </row>
    <row r="423" customFormat="false" ht="15.75" hidden="false" customHeight="false" outlineLevel="0" collapsed="false">
      <c r="A423" s="193" t="str">
        <f aca="false">IFERROR(__xludf.dummyfunction("""COMPUTED_VALUE"""),"Khaman Maluach (R)")</f>
        <v>Khaman Maluach (R)</v>
      </c>
      <c r="B423" s="271" t="str">
        <f aca="false">IFERROR(__xludf.dummyfunction("""COMPUTED_VALUE"""),"New Orleans Pelicans")</f>
        <v>New Orleans Pelicans</v>
      </c>
      <c r="C423" s="273"/>
      <c r="D423" s="193"/>
      <c r="E423" s="272" t="n">
        <f aca="false">IFERROR(__xludf.dummyfunction("""COMPUTED_VALUE"""),7520040)</f>
        <v>7520040</v>
      </c>
      <c r="F423" s="193"/>
      <c r="G423" s="272" t="n">
        <f aca="false">IFERROR(__xludf.dummyfunction("""COMPUTED_VALUE"""),7896240)</f>
        <v>7896240</v>
      </c>
      <c r="H423" s="193"/>
      <c r="I423" s="272" t="n">
        <f aca="false">IFERROR(__xludf.dummyfunction("""COMPUTED_VALUE"""),8271960)</f>
        <v>8271960</v>
      </c>
      <c r="J423" s="271" t="str">
        <f aca="false">IFERROR(__xludf.dummyfunction("""COMPUTED_VALUE"""),"Club Option")</f>
        <v>Club Option</v>
      </c>
      <c r="K423" s="272" t="n">
        <f aca="false">IFERROR(__xludf.dummyfunction("""COMPUTED_VALUE"""),10505389.2)</f>
        <v>10505389.2</v>
      </c>
      <c r="L423" s="271" t="str">
        <f aca="false">IFERROR(__xludf.dummyfunction("""COMPUTED_VALUE"""),"Club Option")</f>
        <v>Club Option</v>
      </c>
      <c r="M423" s="272" t="n">
        <f aca="false">IFERROR(__xludf.dummyfunction("""COMPUTED_VALUE"""),31516167.6)</f>
        <v>31516167.6</v>
      </c>
      <c r="N423" s="271" t="str">
        <f aca="false">IFERROR(__xludf.dummyfunction("""COMPUTED_VALUE"""),"RFA - Bird")</f>
        <v>RFA - Bird</v>
      </c>
      <c r="O423" s="193" t="n">
        <f aca="false">IFERROR(__xludf.dummyfunction("""COMPUTED_VALUE"""),1)</f>
        <v>1</v>
      </c>
      <c r="P423" s="193"/>
      <c r="Q423" s="193"/>
      <c r="R423" s="193"/>
      <c r="S423" s="193"/>
      <c r="T423" s="193"/>
      <c r="U423" s="193"/>
      <c r="V423" s="193"/>
      <c r="W423" s="193"/>
      <c r="X423" s="193"/>
      <c r="Y423" s="193"/>
      <c r="Z423" s="193"/>
    </row>
    <row r="424" customFormat="false" ht="15.75" hidden="false" customHeight="false" outlineLevel="0" collapsed="false">
      <c r="A424" s="193" t="str">
        <f aca="false">IFERROR(__xludf.dummyfunction("""COMPUTED_VALUE"""),"Saddiq Bey")</f>
        <v>Saddiq Bey</v>
      </c>
      <c r="B424" s="271" t="str">
        <f aca="false">IFERROR(__xludf.dummyfunction("""COMPUTED_VALUE"""),"New Orleans Pelicans")</f>
        <v>New Orleans Pelicans</v>
      </c>
      <c r="C424" s="272" t="n">
        <f aca="false">IFERROR(__xludf.dummyfunction("""COMPUTED_VALUE"""),6440678)</f>
        <v>6440678</v>
      </c>
      <c r="D424" s="193"/>
      <c r="E424" s="272" t="n">
        <f aca="false">IFERROR(__xludf.dummyfunction("""COMPUTED_VALUE"""),6118644)</f>
        <v>6118644</v>
      </c>
      <c r="F424" s="193"/>
      <c r="G424" s="272" t="n">
        <f aca="false">IFERROR(__xludf.dummyfunction("""COMPUTED_VALUE"""),6440678)</f>
        <v>6440678</v>
      </c>
      <c r="H424" s="193"/>
      <c r="I424" s="272" t="n">
        <f aca="false">IFERROR(__xludf.dummyfunction("""COMPUTED_VALUE"""),12237288)</f>
        <v>12237288</v>
      </c>
      <c r="J424" s="193" t="str">
        <f aca="false">IFERROR(__xludf.dummyfunction("""COMPUTED_VALUE"""),"UFA - Bird")</f>
        <v>UFA - Bird</v>
      </c>
      <c r="K424" s="273"/>
      <c r="L424" s="193"/>
      <c r="M424" s="273"/>
      <c r="N424" s="193"/>
      <c r="O424" s="193" t="n">
        <f aca="false">IFERROR(__xludf.dummyfunction("""COMPUTED_VALUE"""),1)</f>
        <v>1</v>
      </c>
      <c r="P424" s="193"/>
      <c r="Q424" s="193"/>
      <c r="R424" s="193"/>
      <c r="S424" s="193"/>
      <c r="T424" s="193"/>
      <c r="U424" s="193"/>
      <c r="V424" s="193"/>
      <c r="W424" s="193"/>
      <c r="X424" s="193"/>
      <c r="Y424" s="193"/>
      <c r="Z424" s="193"/>
    </row>
    <row r="425" customFormat="false" ht="15.75" hidden="false" customHeight="false" outlineLevel="0" collapsed="false">
      <c r="A425" s="193" t="str">
        <f aca="false">IFERROR(__xludf.dummyfunction("""COMPUTED_VALUE"""),"Jett Howard")</f>
        <v>Jett Howard</v>
      </c>
      <c r="B425" s="271" t="str">
        <f aca="false">IFERROR(__xludf.dummyfunction("""COMPUTED_VALUE"""),"New Orleans Pelicans")</f>
        <v>New Orleans Pelicans</v>
      </c>
      <c r="C425" s="272" t="n">
        <f aca="false">IFERROR(__xludf.dummyfunction("""COMPUTED_VALUE"""),5278320)</f>
        <v>5278320</v>
      </c>
      <c r="D425" s="193"/>
      <c r="E425" s="272" t="n">
        <f aca="false">IFERROR(__xludf.dummyfunction("""COMPUTED_VALUE"""),5529720)</f>
        <v>5529720</v>
      </c>
      <c r="F425" s="193"/>
      <c r="G425" s="272" t="n">
        <f aca="false">IFERROR(__xludf.dummyfunction("""COMPUTED_VALUE"""),7337939)</f>
        <v>7337939</v>
      </c>
      <c r="H425" s="193" t="str">
        <f aca="false">IFERROR(__xludf.dummyfunction("""COMPUTED_VALUE"""),"Club Option")</f>
        <v>Club Option</v>
      </c>
      <c r="I425" s="272" t="n">
        <f aca="false">IFERROR(__xludf.dummyfunction("""COMPUTED_VALUE"""),22013817)</f>
        <v>22013817</v>
      </c>
      <c r="J425" s="271" t="str">
        <f aca="false">IFERROR(__xludf.dummyfunction("""COMPUTED_VALUE"""),"RFA - Bird")</f>
        <v>RFA - Bird</v>
      </c>
      <c r="K425" s="273"/>
      <c r="L425" s="193"/>
      <c r="M425" s="273"/>
      <c r="N425" s="193"/>
      <c r="O425" s="193" t="n">
        <f aca="false">IFERROR(__xludf.dummyfunction("""COMPUTED_VALUE"""),1)</f>
        <v>1</v>
      </c>
      <c r="P425" s="193"/>
      <c r="Q425" s="193"/>
      <c r="R425" s="193"/>
      <c r="S425" s="193"/>
      <c r="T425" s="193"/>
      <c r="U425" s="193"/>
      <c r="V425" s="193"/>
      <c r="W425" s="193"/>
      <c r="X425" s="193"/>
      <c r="Y425" s="193"/>
      <c r="Z425" s="193"/>
    </row>
    <row r="426" customFormat="false" ht="15.75" hidden="false" customHeight="false" outlineLevel="0" collapsed="false">
      <c r="A426" s="193" t="str">
        <f aca="false">IFERROR(__xludf.dummyfunction("""COMPUTED_VALUE"""),"Nikola Topic")</f>
        <v>Nikola Topic</v>
      </c>
      <c r="B426" s="271" t="str">
        <f aca="false">IFERROR(__xludf.dummyfunction("""COMPUTED_VALUE"""),"New Orleans Pelicans")</f>
        <v>New Orleans Pelicans</v>
      </c>
      <c r="C426" s="272" t="n">
        <f aca="false">IFERROR(__xludf.dummyfunction("""COMPUTED_VALUE"""),4935960)</f>
        <v>4935960</v>
      </c>
      <c r="D426" s="193"/>
      <c r="E426" s="272" t="n">
        <f aca="false">IFERROR(__xludf.dummyfunction("""COMPUTED_VALUE"""),5182920)</f>
        <v>5182920</v>
      </c>
      <c r="F426" s="193"/>
      <c r="G426" s="272" t="n">
        <f aca="false">IFERROR(__xludf.dummyfunction("""COMPUTED_VALUE"""),5429760)</f>
        <v>5429760</v>
      </c>
      <c r="H426" s="193" t="str">
        <f aca="false">IFERROR(__xludf.dummyfunction("""COMPUTED_VALUE"""),"Club Option")</f>
        <v>Club Option</v>
      </c>
      <c r="I426" s="272" t="n">
        <f aca="false">IFERROR(__xludf.dummyfunction("""COMPUTED_VALUE"""),7482210)</f>
        <v>7482210</v>
      </c>
      <c r="J426" s="193" t="str">
        <f aca="false">IFERROR(__xludf.dummyfunction("""COMPUTED_VALUE"""),"Club Option")</f>
        <v>Club Option</v>
      </c>
      <c r="K426" s="272" t="n">
        <f aca="false">IFERROR(__xludf.dummyfunction("""COMPUTED_VALUE"""),22446630)</f>
        <v>22446630</v>
      </c>
      <c r="L426" s="271" t="str">
        <f aca="false">IFERROR(__xludf.dummyfunction("""COMPUTED_VALUE"""),"RFA - Bird")</f>
        <v>RFA - Bird</v>
      </c>
      <c r="M426" s="273"/>
      <c r="N426" s="193"/>
      <c r="O426" s="193" t="n">
        <f aca="false">IFERROR(__xludf.dummyfunction("""COMPUTED_VALUE"""),1)</f>
        <v>1</v>
      </c>
      <c r="P426" s="193"/>
      <c r="Q426" s="193"/>
      <c r="R426" s="193"/>
      <c r="S426" s="193"/>
      <c r="T426" s="193"/>
      <c r="U426" s="193"/>
      <c r="V426" s="193"/>
      <c r="W426" s="193"/>
      <c r="X426" s="193"/>
      <c r="Y426" s="193"/>
      <c r="Z426" s="193"/>
    </row>
    <row r="427" customFormat="false" ht="15.75" hidden="false" customHeight="false" outlineLevel="0" collapsed="false">
      <c r="A427" s="193" t="str">
        <f aca="false">IFERROR(__xludf.dummyfunction("""COMPUTED_VALUE"""),"Devin Carter")</f>
        <v>Devin Carter</v>
      </c>
      <c r="B427" s="271" t="str">
        <f aca="false">IFERROR(__xludf.dummyfunction("""COMPUTED_VALUE"""),"New Orleans Pelicans")</f>
        <v>New Orleans Pelicans</v>
      </c>
      <c r="C427" s="272" t="n">
        <f aca="false">IFERROR(__xludf.dummyfunction("""COMPUTED_VALUE"""),4689000)</f>
        <v>4689000</v>
      </c>
      <c r="D427" s="193"/>
      <c r="E427" s="272" t="n">
        <f aca="false">IFERROR(__xludf.dummyfunction("""COMPUTED_VALUE"""),4923720)</f>
        <v>4923720</v>
      </c>
      <c r="F427" s="193"/>
      <c r="G427" s="272" t="n">
        <f aca="false">IFERROR(__xludf.dummyfunction("""COMPUTED_VALUE"""),5158080)</f>
        <v>5158080</v>
      </c>
      <c r="H427" s="193" t="str">
        <f aca="false">IFERROR(__xludf.dummyfunction("""COMPUTED_VALUE"""),"Club Option")</f>
        <v>Club Option</v>
      </c>
      <c r="I427" s="272" t="n">
        <f aca="false">IFERROR(__xludf.dummyfunction("""COMPUTED_VALUE"""),7370897)</f>
        <v>7370897</v>
      </c>
      <c r="J427" s="193" t="str">
        <f aca="false">IFERROR(__xludf.dummyfunction("""COMPUTED_VALUE"""),"Club Option")</f>
        <v>Club Option</v>
      </c>
      <c r="K427" s="272" t="n">
        <f aca="false">IFERROR(__xludf.dummyfunction("""COMPUTED_VALUE"""),22112691)</f>
        <v>22112691</v>
      </c>
      <c r="L427" s="271" t="str">
        <f aca="false">IFERROR(__xludf.dummyfunction("""COMPUTED_VALUE"""),"RFA - Bird")</f>
        <v>RFA - Bird</v>
      </c>
      <c r="M427" s="273"/>
      <c r="N427" s="193"/>
      <c r="O427" s="193" t="n">
        <f aca="false">IFERROR(__xludf.dummyfunction("""COMPUTED_VALUE"""),1)</f>
        <v>1</v>
      </c>
      <c r="P427" s="193"/>
      <c r="Q427" s="193"/>
      <c r="R427" s="193"/>
      <c r="S427" s="193"/>
      <c r="T427" s="193"/>
      <c r="U427" s="193"/>
      <c r="V427" s="193"/>
      <c r="W427" s="193"/>
      <c r="X427" s="193"/>
      <c r="Y427" s="193"/>
      <c r="Z427" s="193"/>
    </row>
    <row r="428" customFormat="false" ht="15.75" hidden="false" customHeight="false" outlineLevel="0" collapsed="false">
      <c r="A428" s="193" t="str">
        <f aca="false">IFERROR(__xludf.dummyfunction("""COMPUTED_VALUE"""),"Jordan Hawkins")</f>
        <v>Jordan Hawkins</v>
      </c>
      <c r="B428" s="271" t="str">
        <f aca="false">IFERROR(__xludf.dummyfunction("""COMPUTED_VALUE"""),"New Orleans Pelicans")</f>
        <v>New Orleans Pelicans</v>
      </c>
      <c r="C428" s="272" t="n">
        <f aca="false">IFERROR(__xludf.dummyfunction("""COMPUTED_VALUE"""),4525680)</f>
        <v>4525680</v>
      </c>
      <c r="D428" s="193"/>
      <c r="E428" s="272" t="n">
        <f aca="false">IFERROR(__xludf.dummyfunction("""COMPUTED_VALUE"""),4741320)</f>
        <v>4741320</v>
      </c>
      <c r="F428" s="193"/>
      <c r="G428" s="272" t="n">
        <f aca="false">IFERROR(__xludf.dummyfunction("""COMPUTED_VALUE"""),7021895)</f>
        <v>7021895</v>
      </c>
      <c r="H428" s="193" t="str">
        <f aca="false">IFERROR(__xludf.dummyfunction("""COMPUTED_VALUE"""),"Club Option")</f>
        <v>Club Option</v>
      </c>
      <c r="I428" s="272" t="str">
        <f aca="false">IFERROR(__xludf.dummyfunction("""COMPUTED_VALUE"""),"")</f>
        <v/>
      </c>
      <c r="J428" s="193"/>
      <c r="K428" s="273"/>
      <c r="L428" s="193"/>
      <c r="M428" s="273"/>
      <c r="N428" s="193"/>
      <c r="O428" s="193" t="n">
        <f aca="false">IFERROR(__xludf.dummyfunction("""COMPUTED_VALUE"""),1)</f>
        <v>1</v>
      </c>
      <c r="P428" s="193"/>
      <c r="Q428" s="193"/>
      <c r="R428" s="193"/>
      <c r="S428" s="193"/>
      <c r="T428" s="193"/>
      <c r="U428" s="193"/>
      <c r="V428" s="193"/>
      <c r="W428" s="193"/>
      <c r="X428" s="193"/>
      <c r="Y428" s="193"/>
      <c r="Z428" s="193"/>
    </row>
    <row r="429" customFormat="false" ht="15.75" hidden="false" customHeight="false" outlineLevel="0" collapsed="false">
      <c r="A429" s="193" t="str">
        <f aca="false">IFERROR(__xludf.dummyfunction("""COMPUTED_VALUE"""),"Egor Demin (R)")</f>
        <v>Egor Demin (R)</v>
      </c>
      <c r="B429" s="271" t="str">
        <f aca="false">IFERROR(__xludf.dummyfunction("""COMPUTED_VALUE"""),"New Orleans Pelicans")</f>
        <v>New Orleans Pelicans</v>
      </c>
      <c r="C429" s="273"/>
      <c r="D429" s="193"/>
      <c r="E429" s="272" t="n">
        <f aca="false">IFERROR(__xludf.dummyfunction("""COMPUTED_VALUE"""),4655040)</f>
        <v>4655040</v>
      </c>
      <c r="F429" s="193"/>
      <c r="G429" s="272" t="n">
        <f aca="false">IFERROR(__xludf.dummyfunction("""COMPUTED_VALUE"""),4887720)</f>
        <v>4887720</v>
      </c>
      <c r="H429" s="193"/>
      <c r="I429" s="272" t="n">
        <f aca="false">IFERROR(__xludf.dummyfunction("""COMPUTED_VALUE"""),5120400)</f>
        <v>5120400</v>
      </c>
      <c r="J429" s="271" t="str">
        <f aca="false">IFERROR(__xludf.dummyfunction("""COMPUTED_VALUE"""),"Club Option")</f>
        <v>Club Option</v>
      </c>
      <c r="K429" s="272" t="n">
        <f aca="false">IFERROR(__xludf.dummyfunction("""COMPUTED_VALUE"""),7849573.2)</f>
        <v>7849573.2</v>
      </c>
      <c r="L429" s="271" t="str">
        <f aca="false">IFERROR(__xludf.dummyfunction("""COMPUTED_VALUE"""),"Club Option")</f>
        <v>Club Option</v>
      </c>
      <c r="M429" s="272" t="n">
        <f aca="false">IFERROR(__xludf.dummyfunction("""COMPUTED_VALUE"""),23548719.6)</f>
        <v>23548719.6</v>
      </c>
      <c r="N429" s="271" t="str">
        <f aca="false">IFERROR(__xludf.dummyfunction("""COMPUTED_VALUE"""),"RFA - Bird")</f>
        <v>RFA - Bird</v>
      </c>
      <c r="O429" s="193" t="n">
        <f aca="false">IFERROR(__xludf.dummyfunction("""COMPUTED_VALUE"""),1)</f>
        <v>1</v>
      </c>
      <c r="P429" s="193"/>
      <c r="Q429" s="193"/>
      <c r="R429" s="193"/>
      <c r="S429" s="193"/>
      <c r="T429" s="193"/>
      <c r="U429" s="193"/>
      <c r="V429" s="193"/>
      <c r="W429" s="193"/>
      <c r="X429" s="193"/>
      <c r="Y429" s="193"/>
      <c r="Z429" s="193"/>
    </row>
    <row r="430" customFormat="false" ht="15.75" hidden="false" customHeight="false" outlineLevel="0" collapsed="false">
      <c r="A430" s="193" t="str">
        <f aca="false">IFERROR(__xludf.dummyfunction("""COMPUTED_VALUE"""),"Willy Hernangomez")</f>
        <v>Willy Hernangomez</v>
      </c>
      <c r="B430" s="271" t="str">
        <f aca="false">IFERROR(__xludf.dummyfunction("""COMPUTED_VALUE"""),"New Orleans Pelicans")</f>
        <v>New Orleans Pelicans</v>
      </c>
      <c r="C430" s="272" t="n">
        <f aca="false">IFERROR(__xludf.dummyfunction("""COMPUTED_VALUE"""),4642804)</f>
        <v>4642804</v>
      </c>
      <c r="D430" s="271" t="str">
        <f aca="false">IFERROR(__xludf.dummyfunction("""COMPUTED_VALUE"""),"UFA - Bird")</f>
        <v>UFA - Bird</v>
      </c>
      <c r="E430" s="272" t="n">
        <f aca="false">IFERROR(__xludf.dummyfunction("""COMPUTED_VALUE"""),4642804)</f>
        <v>4642804</v>
      </c>
      <c r="F430" s="271" t="str">
        <f aca="false">IFERROR(__xludf.dummyfunction("""COMPUTED_VALUE"""),"UFA - Bird")</f>
        <v>UFA - Bird</v>
      </c>
      <c r="G430" s="273"/>
      <c r="H430" s="193"/>
      <c r="I430" s="273"/>
      <c r="J430" s="193"/>
      <c r="K430" s="273"/>
      <c r="L430" s="193"/>
      <c r="M430" s="273"/>
      <c r="N430" s="193"/>
      <c r="O430" s="193" t="n">
        <f aca="false">IFERROR(__xludf.dummyfunction("""COMPUTED_VALUE"""),1)</f>
        <v>1</v>
      </c>
      <c r="P430" s="193"/>
      <c r="Q430" s="193"/>
      <c r="R430" s="193"/>
      <c r="S430" s="193"/>
      <c r="T430" s="193"/>
      <c r="U430" s="193"/>
      <c r="V430" s="193"/>
      <c r="W430" s="193"/>
      <c r="X430" s="193"/>
      <c r="Y430" s="193"/>
      <c r="Z430" s="193"/>
    </row>
    <row r="431" customFormat="false" ht="15.75" hidden="false" customHeight="false" outlineLevel="0" collapsed="false">
      <c r="A431" s="193" t="str">
        <f aca="false">IFERROR(__xludf.dummyfunction("""COMPUTED_VALUE"""),"Jose Alvarado")</f>
        <v>Jose Alvarado</v>
      </c>
      <c r="B431" s="271" t="str">
        <f aca="false">IFERROR(__xludf.dummyfunction("""COMPUTED_VALUE"""),"New Orleans Pelicans")</f>
        <v>New Orleans Pelicans</v>
      </c>
      <c r="C431" s="272" t="n">
        <f aca="false">IFERROR(__xludf.dummyfunction("""COMPUTED_VALUE"""),1988598)</f>
        <v>1988598</v>
      </c>
      <c r="D431" s="193"/>
      <c r="E431" s="272" t="n">
        <f aca="false">IFERROR(__xludf.dummyfunction("""COMPUTED_VALUE"""),4500000)</f>
        <v>4500000</v>
      </c>
      <c r="F431" s="193"/>
      <c r="G431" s="272" t="n">
        <f aca="false">IFERROR(__xludf.dummyfunction("""COMPUTED_VALUE"""),4500000)</f>
        <v>4500000</v>
      </c>
      <c r="H431" s="193" t="str">
        <f aca="false">IFERROR(__xludf.dummyfunction("""COMPUTED_VALUE"""),"Player Option")</f>
        <v>Player Option</v>
      </c>
      <c r="I431" s="272" t="n">
        <f aca="false">IFERROR(__xludf.dummyfunction("""COMPUTED_VALUE"""),8550000)</f>
        <v>8550000</v>
      </c>
      <c r="J431" s="271" t="str">
        <f aca="false">IFERROR(__xludf.dummyfunction("""COMPUTED_VALUE"""),"UFA - Bird")</f>
        <v>UFA - Bird</v>
      </c>
      <c r="K431" s="273"/>
      <c r="L431" s="193"/>
      <c r="M431" s="273"/>
      <c r="N431" s="193"/>
      <c r="O431" s="193" t="n">
        <f aca="false">IFERROR(__xludf.dummyfunction("""COMPUTED_VALUE"""),1)</f>
        <v>1</v>
      </c>
      <c r="P431" s="193"/>
      <c r="Q431" s="193"/>
      <c r="R431" s="193"/>
      <c r="S431" s="193"/>
      <c r="T431" s="193"/>
      <c r="U431" s="193"/>
      <c r="V431" s="193"/>
      <c r="W431" s="193"/>
      <c r="X431" s="193"/>
      <c r="Y431" s="193"/>
      <c r="Z431" s="193"/>
    </row>
    <row r="432" customFormat="false" ht="15.75" hidden="false" customHeight="false" outlineLevel="0" collapsed="false">
      <c r="A432" s="193" t="str">
        <f aca="false">IFERROR(__xludf.dummyfunction("""COMPUTED_VALUE"""),"Yves Missi")</f>
        <v>Yves Missi</v>
      </c>
      <c r="B432" s="271" t="str">
        <f aca="false">IFERROR(__xludf.dummyfunction("""COMPUTED_VALUE"""),"New Orleans Pelicans")</f>
        <v>New Orleans Pelicans</v>
      </c>
      <c r="C432" s="272" t="n">
        <f aca="false">IFERROR(__xludf.dummyfunction("""COMPUTED_VALUE"""),3193200)</f>
        <v>3193200</v>
      </c>
      <c r="D432" s="193"/>
      <c r="E432" s="272" t="n">
        <f aca="false">IFERROR(__xludf.dummyfunction("""COMPUTED_VALUE"""),3353040)</f>
        <v>3353040</v>
      </c>
      <c r="F432" s="193"/>
      <c r="G432" s="272" t="n">
        <f aca="false">IFERROR(__xludf.dummyfunction("""COMPUTED_VALUE"""),3512760)</f>
        <v>3512760</v>
      </c>
      <c r="H432" s="193" t="str">
        <f aca="false">IFERROR(__xludf.dummyfunction("""COMPUTED_VALUE"""),"Club Option")</f>
        <v>Club Option</v>
      </c>
      <c r="I432" s="272" t="n">
        <f aca="false">IFERROR(__xludf.dummyfunction("""COMPUTED_VALUE"""),5595827)</f>
        <v>5595827</v>
      </c>
      <c r="J432" s="193" t="str">
        <f aca="false">IFERROR(__xludf.dummyfunction("""COMPUTED_VALUE"""),"Club Option")</f>
        <v>Club Option</v>
      </c>
      <c r="K432" s="272" t="n">
        <f aca="false">IFERROR(__xludf.dummyfunction("""COMPUTED_VALUE"""),16787481)</f>
        <v>16787481</v>
      </c>
      <c r="L432" s="271" t="str">
        <f aca="false">IFERROR(__xludf.dummyfunction("""COMPUTED_VALUE"""),"RFA - Bird")</f>
        <v>RFA - Bird</v>
      </c>
      <c r="M432" s="273"/>
      <c r="N432" s="193"/>
      <c r="O432" s="193" t="n">
        <f aca="false">IFERROR(__xludf.dummyfunction("""COMPUTED_VALUE"""),1)</f>
        <v>1</v>
      </c>
      <c r="P432" s="193"/>
      <c r="Q432" s="193"/>
      <c r="R432" s="193"/>
      <c r="S432" s="193"/>
      <c r="T432" s="193"/>
      <c r="U432" s="193"/>
      <c r="V432" s="193"/>
      <c r="W432" s="193"/>
      <c r="X432" s="193"/>
      <c r="Y432" s="193"/>
      <c r="Z432" s="193"/>
    </row>
    <row r="433" customFormat="false" ht="15.75" hidden="false" customHeight="false" outlineLevel="0" collapsed="false">
      <c r="A433" s="193" t="str">
        <f aca="false">IFERROR(__xludf.dummyfunction("""COMPUTED_VALUE"""),"Elfrid Payton")</f>
        <v>Elfrid Payton</v>
      </c>
      <c r="B433" s="271" t="str">
        <f aca="false">IFERROR(__xludf.dummyfunction("""COMPUTED_VALUE"""),"New Orleans Pelicans")</f>
        <v>New Orleans Pelicans</v>
      </c>
      <c r="C433" s="272" t="n">
        <f aca="false">IFERROR(__xludf.dummyfunction("""COMPUTED_VALUE"""),119972)</f>
        <v>119972</v>
      </c>
      <c r="D433" s="193"/>
      <c r="E433" s="272" t="n">
        <f aca="false">IFERROR(__xludf.dummyfunction("""COMPUTED_VALUE"""),3153598)</f>
        <v>3153598</v>
      </c>
      <c r="F433" s="271" t="str">
        <f aca="false">IFERROR(__xludf.dummyfunction("""COMPUTED_VALUE"""),"UFA - Non-Bird")</f>
        <v>UFA - Non-Bird</v>
      </c>
      <c r="G433" s="273"/>
      <c r="H433" s="193"/>
      <c r="I433" s="272" t="str">
        <f aca="false">IFERROR(__xludf.dummyfunction("""COMPUTED_VALUE"""),"")</f>
        <v/>
      </c>
      <c r="J433" s="193"/>
      <c r="K433" s="273"/>
      <c r="L433" s="193"/>
      <c r="M433" s="273"/>
      <c r="N433" s="193"/>
      <c r="O433" s="193" t="n">
        <f aca="false">IFERROR(__xludf.dummyfunction("""COMPUTED_VALUE"""),1)</f>
        <v>1</v>
      </c>
      <c r="P433" s="193"/>
      <c r="Q433" s="193"/>
      <c r="R433" s="193"/>
      <c r="S433" s="193"/>
      <c r="T433" s="193"/>
      <c r="U433" s="193"/>
      <c r="V433" s="193"/>
      <c r="W433" s="193"/>
      <c r="X433" s="193"/>
      <c r="Y433" s="193"/>
      <c r="Z433" s="193"/>
    </row>
    <row r="434" customFormat="false" ht="15.75" hidden="false" customHeight="false" outlineLevel="0" collapsed="false">
      <c r="A434" s="193" t="str">
        <f aca="false">IFERROR(__xludf.dummyfunction("""COMPUTED_VALUE"""),"Noah Penda (R)")</f>
        <v>Noah Penda (R)</v>
      </c>
      <c r="B434" s="271" t="str">
        <f aca="false">IFERROR(__xludf.dummyfunction("""COMPUTED_VALUE"""),"New Orleans Pelicans")</f>
        <v>New Orleans Pelicans</v>
      </c>
      <c r="C434" s="273"/>
      <c r="D434" s="193"/>
      <c r="E434" s="272" t="n">
        <f aca="false">IFERROR(__xludf.dummyfunction("""COMPUTED_VALUE"""),2743800)</f>
        <v>2743800</v>
      </c>
      <c r="F434" s="193"/>
      <c r="G434" s="272" t="n">
        <f aca="false">IFERROR(__xludf.dummyfunction("""COMPUTED_VALUE"""),2880960)</f>
        <v>2880960</v>
      </c>
      <c r="H434" s="193"/>
      <c r="I434" s="272" t="n">
        <f aca="false">IFERROR(__xludf.dummyfunction("""COMPUTED_VALUE"""),3018480)</f>
        <v>3018480</v>
      </c>
      <c r="J434" s="271" t="str">
        <f aca="false">IFERROR(__xludf.dummyfunction("""COMPUTED_VALUE"""),"Club Option")</f>
        <v>Club Option</v>
      </c>
      <c r="K434" s="272" t="n">
        <f aca="false">IFERROR(__xludf.dummyfunction("""COMPUTED_VALUE"""),5448356.4)</f>
        <v>5448356.4</v>
      </c>
      <c r="L434" s="271" t="str">
        <f aca="false">IFERROR(__xludf.dummyfunction("""COMPUTED_VALUE"""),"Club Option")</f>
        <v>Club Option</v>
      </c>
      <c r="M434" s="272" t="n">
        <f aca="false">IFERROR(__xludf.dummyfunction("""COMPUTED_VALUE"""),16345069.2)</f>
        <v>16345069.2</v>
      </c>
      <c r="N434" s="271" t="str">
        <f aca="false">IFERROR(__xludf.dummyfunction("""COMPUTED_VALUE"""),"RFA - Bird")</f>
        <v>RFA - Bird</v>
      </c>
      <c r="O434" s="193" t="n">
        <f aca="false">IFERROR(__xludf.dummyfunction("""COMPUTED_VALUE"""),1)</f>
        <v>1</v>
      </c>
      <c r="P434" s="193"/>
      <c r="Q434" s="193"/>
      <c r="R434" s="193"/>
      <c r="S434" s="193"/>
      <c r="T434" s="193"/>
      <c r="U434" s="193"/>
      <c r="V434" s="193"/>
      <c r="W434" s="193"/>
      <c r="X434" s="193"/>
      <c r="Y434" s="193"/>
      <c r="Z434" s="193"/>
    </row>
    <row r="435" customFormat="false" ht="15.75" hidden="false" customHeight="false" outlineLevel="0" collapsed="false">
      <c r="A435" s="193" t="str">
        <f aca="false">IFERROR(__xludf.dummyfunction("""COMPUTED_VALUE"""),"Jeremiah Robinson-Earl")</f>
        <v>Jeremiah Robinson-Earl</v>
      </c>
      <c r="B435" s="271" t="str">
        <f aca="false">IFERROR(__xludf.dummyfunction("""COMPUTED_VALUE"""),"New Orleans Pelicans")</f>
        <v>New Orleans Pelicans</v>
      </c>
      <c r="C435" s="272" t="n">
        <f aca="false">IFERROR(__xludf.dummyfunction("""COMPUTED_VALUE"""),2196970)</f>
        <v>2196970</v>
      </c>
      <c r="D435" s="193"/>
      <c r="E435" s="272" t="n">
        <f aca="false">IFERROR(__xludf.dummyfunction("""COMPUTED_VALUE"""),2303001)</f>
        <v>2303001</v>
      </c>
      <c r="F435" s="193" t="str">
        <f aca="false">IFERROR(__xludf.dummyfunction("""COMPUTED_VALUE"""),"UFA - Early Bird")</f>
        <v>UFA - Early Bird</v>
      </c>
      <c r="G435" s="272" t="str">
        <f aca="false">IFERROR(__xludf.dummyfunction("""COMPUTED_VALUE"""),"")</f>
        <v/>
      </c>
      <c r="H435" s="193"/>
      <c r="I435" s="272" t="str">
        <f aca="false">IFERROR(__xludf.dummyfunction("""COMPUTED_VALUE"""),"")</f>
        <v/>
      </c>
      <c r="J435" s="193"/>
      <c r="K435" s="273"/>
      <c r="L435" s="193"/>
      <c r="M435" s="273"/>
      <c r="N435" s="193"/>
      <c r="O435" s="193" t="n">
        <f aca="false">IFERROR(__xludf.dummyfunction("""COMPUTED_VALUE"""),1)</f>
        <v>1</v>
      </c>
      <c r="P435" s="193"/>
      <c r="Q435" s="193"/>
      <c r="R435" s="193"/>
      <c r="S435" s="193"/>
      <c r="T435" s="193"/>
      <c r="U435" s="193"/>
      <c r="V435" s="193"/>
      <c r="W435" s="193"/>
      <c r="X435" s="193"/>
      <c r="Y435" s="193"/>
      <c r="Z435" s="193"/>
    </row>
    <row r="436" customFormat="false" ht="15.75" hidden="false" customHeight="false" outlineLevel="0" collapsed="false">
      <c r="A436" s="193" t="str">
        <f aca="false">IFERROR(__xludf.dummyfunction("""COMPUTED_VALUE"""),"Tony Snell")</f>
        <v>Tony Snell</v>
      </c>
      <c r="B436" s="271" t="str">
        <f aca="false">IFERROR(__xludf.dummyfunction("""COMPUTED_VALUE"""),"New Orleans Pelicans")</f>
        <v>New Orleans Pelicans</v>
      </c>
      <c r="C436" s="272" t="n">
        <f aca="false">IFERROR(__xludf.dummyfunction("""COMPUTED_VALUE"""),2087519)</f>
        <v>2087519</v>
      </c>
      <c r="D436" s="271" t="str">
        <f aca="false">IFERROR(__xludf.dummyfunction("""COMPUTED_VALUE"""),"UFA - Non-Bird")</f>
        <v>UFA - Non-Bird</v>
      </c>
      <c r="E436" s="272" t="n">
        <f aca="false">IFERROR(__xludf.dummyfunction("""COMPUTED_VALUE"""),2296274)</f>
        <v>2296274</v>
      </c>
      <c r="F436" s="271" t="str">
        <f aca="false">IFERROR(__xludf.dummyfunction("""COMPUTED_VALUE"""),"UFA - Non-Bird")</f>
        <v>UFA - Non-Bird</v>
      </c>
      <c r="G436" s="273"/>
      <c r="H436" s="193"/>
      <c r="I436" s="273"/>
      <c r="J436" s="193"/>
      <c r="K436" s="273"/>
      <c r="L436" s="193"/>
      <c r="M436" s="273"/>
      <c r="N436" s="193"/>
      <c r="O436" s="193" t="n">
        <f aca="false">IFERROR(__xludf.dummyfunction("""COMPUTED_VALUE"""),1)</f>
        <v>1</v>
      </c>
      <c r="P436" s="193"/>
      <c r="Q436" s="193"/>
      <c r="R436" s="193"/>
      <c r="S436" s="193"/>
      <c r="T436" s="193"/>
      <c r="U436" s="193"/>
      <c r="V436" s="193"/>
      <c r="W436" s="193"/>
      <c r="X436" s="193"/>
      <c r="Y436" s="193"/>
      <c r="Z436" s="193"/>
    </row>
    <row r="437" customFormat="false" ht="15.75" hidden="false" customHeight="false" outlineLevel="0" collapsed="false">
      <c r="A437" s="193" t="str">
        <f aca="false">IFERROR(__xludf.dummyfunction("""COMPUTED_VALUE"""),"Gary Clark")</f>
        <v>Gary Clark</v>
      </c>
      <c r="B437" s="271" t="str">
        <f aca="false">IFERROR(__xludf.dummyfunction("""COMPUTED_VALUE"""),"New Orleans Pelicans")</f>
        <v>New Orleans Pelicans</v>
      </c>
      <c r="C437" s="272" t="n">
        <f aca="false">IFERROR(__xludf.dummyfunction("""COMPUTED_VALUE"""),1862265)</f>
        <v>1862265</v>
      </c>
      <c r="D437" s="271" t="str">
        <f aca="false">IFERROR(__xludf.dummyfunction("""COMPUTED_VALUE"""),"UFA - Two-way")</f>
        <v>UFA - Two-way</v>
      </c>
      <c r="E437" s="272" t="n">
        <f aca="false">IFERROR(__xludf.dummyfunction("""COMPUTED_VALUE"""),2048491)</f>
        <v>2048491</v>
      </c>
      <c r="F437" s="271" t="str">
        <f aca="false">IFERROR(__xludf.dummyfunction("""COMPUTED_VALUE"""),"UFA - Two-way")</f>
        <v>UFA - Two-way</v>
      </c>
      <c r="G437" s="273"/>
      <c r="H437" s="193"/>
      <c r="I437" s="273"/>
      <c r="J437" s="193"/>
      <c r="K437" s="273"/>
      <c r="L437" s="193"/>
      <c r="M437" s="273"/>
      <c r="N437" s="193"/>
      <c r="O437" s="193" t="n">
        <f aca="false">IFERROR(__xludf.dummyfunction("""COMPUTED_VALUE"""),1)</f>
        <v>1</v>
      </c>
      <c r="P437" s="193"/>
      <c r="Q437" s="193"/>
      <c r="R437" s="193"/>
      <c r="S437" s="193"/>
      <c r="T437" s="193"/>
      <c r="U437" s="193"/>
      <c r="V437" s="193"/>
      <c r="W437" s="193"/>
      <c r="X437" s="193"/>
      <c r="Y437" s="193"/>
      <c r="Z437" s="193"/>
    </row>
    <row r="438" customFormat="false" ht="15.75" hidden="false" customHeight="false" outlineLevel="0" collapsed="false">
      <c r="A438" s="193" t="str">
        <f aca="false">IFERROR(__xludf.dummyfunction("""COMPUTED_VALUE"""),"Jamal Cain")</f>
        <v>Jamal Cain</v>
      </c>
      <c r="B438" s="271" t="str">
        <f aca="false">IFERROR(__xludf.dummyfunction("""COMPUTED_VALUE"""),"New Orleans Pelicans")</f>
        <v>New Orleans Pelicans</v>
      </c>
      <c r="C438" s="272" t="str">
        <f aca="false">IFERROR(__xludf.dummyfunction("""COMPUTED_VALUE"""),"Two-way")</f>
        <v>Two-way</v>
      </c>
      <c r="D438" s="271" t="str">
        <f aca="false">IFERROR(__xludf.dummyfunction("""COMPUTED_VALUE"""),"Two-way")</f>
        <v>Two-way</v>
      </c>
      <c r="E438" s="272" t="n">
        <f aca="false">IFERROR(__xludf.dummyfunction("""COMPUTED_VALUE"""),2048491)</f>
        <v>2048491</v>
      </c>
      <c r="F438" s="271" t="str">
        <f aca="false">IFERROR(__xludf.dummyfunction("""COMPUTED_VALUE"""),"UFA - Two-way")</f>
        <v>UFA - Two-way</v>
      </c>
      <c r="G438" s="273"/>
      <c r="H438" s="193"/>
      <c r="I438" s="273"/>
      <c r="J438" s="193"/>
      <c r="K438" s="273"/>
      <c r="L438" s="193"/>
      <c r="M438" s="273"/>
      <c r="N438" s="193"/>
      <c r="O438" s="193" t="n">
        <f aca="false">IFERROR(__xludf.dummyfunction("""COMPUTED_VALUE"""),1)</f>
        <v>1</v>
      </c>
      <c r="P438" s="193"/>
      <c r="Q438" s="193"/>
      <c r="R438" s="193"/>
      <c r="S438" s="193"/>
      <c r="T438" s="193"/>
      <c r="U438" s="193"/>
      <c r="V438" s="193"/>
      <c r="W438" s="193"/>
      <c r="X438" s="193"/>
      <c r="Y438" s="193"/>
      <c r="Z438" s="193"/>
    </row>
    <row r="439" customFormat="false" ht="15.75" hidden="false" customHeight="false" outlineLevel="0" collapsed="false">
      <c r="A439" s="193" t="str">
        <f aca="false">IFERROR(__xludf.dummyfunction("""COMPUTED_VALUE"""),"James Nunnally")</f>
        <v>James Nunnally</v>
      </c>
      <c r="B439" s="271" t="str">
        <f aca="false">IFERROR(__xludf.dummyfunction("""COMPUTED_VALUE"""),"New Orleans Pelicans")</f>
        <v>New Orleans Pelicans</v>
      </c>
      <c r="C439" s="272" t="n">
        <f aca="false">IFERROR(__xludf.dummyfunction("""COMPUTED_VALUE"""),1862265)</f>
        <v>1862265</v>
      </c>
      <c r="D439" s="271" t="str">
        <f aca="false">IFERROR(__xludf.dummyfunction("""COMPUTED_VALUE"""),"UFA - Two-way")</f>
        <v>UFA - Two-way</v>
      </c>
      <c r="E439" s="272" t="n">
        <f aca="false">IFERROR(__xludf.dummyfunction("""COMPUTED_VALUE"""),2048491)</f>
        <v>2048491</v>
      </c>
      <c r="F439" s="271" t="str">
        <f aca="false">IFERROR(__xludf.dummyfunction("""COMPUTED_VALUE"""),"UFA - Two-way")</f>
        <v>UFA - Two-way</v>
      </c>
      <c r="G439" s="273"/>
      <c r="H439" s="193"/>
      <c r="I439" s="273"/>
      <c r="J439" s="193"/>
      <c r="K439" s="273"/>
      <c r="L439" s="193"/>
      <c r="M439" s="273"/>
      <c r="N439" s="193"/>
      <c r="O439" s="193" t="n">
        <f aca="false">IFERROR(__xludf.dummyfunction("""COMPUTED_VALUE"""),1)</f>
        <v>1</v>
      </c>
      <c r="P439" s="193"/>
      <c r="Q439" s="193"/>
      <c r="R439" s="193"/>
      <c r="S439" s="193"/>
      <c r="T439" s="193"/>
      <c r="U439" s="193"/>
      <c r="V439" s="193"/>
      <c r="W439" s="193"/>
      <c r="X439" s="193"/>
      <c r="Y439" s="193"/>
      <c r="Z439" s="193"/>
    </row>
    <row r="440" customFormat="false" ht="15.75" hidden="false" customHeight="false" outlineLevel="0" collapsed="false">
      <c r="A440" s="193" t="str">
        <f aca="false">IFERROR(__xludf.dummyfunction("""COMPUTED_VALUE"""),"Jared Harper")</f>
        <v>Jared Harper</v>
      </c>
      <c r="B440" s="271" t="str">
        <f aca="false">IFERROR(__xludf.dummyfunction("""COMPUTED_VALUE"""),"New Orleans Pelicans")</f>
        <v>New Orleans Pelicans</v>
      </c>
      <c r="C440" s="272" t="n">
        <f aca="false">IFERROR(__xludf.dummyfunction("""COMPUTED_VALUE"""),1862265)</f>
        <v>1862265</v>
      </c>
      <c r="D440" s="271" t="str">
        <f aca="false">IFERROR(__xludf.dummyfunction("""COMPUTED_VALUE"""),"UFA - Two-way")</f>
        <v>UFA - Two-way</v>
      </c>
      <c r="E440" s="272" t="n">
        <f aca="false">IFERROR(__xludf.dummyfunction("""COMPUTED_VALUE"""),2048491)</f>
        <v>2048491</v>
      </c>
      <c r="F440" s="271" t="str">
        <f aca="false">IFERROR(__xludf.dummyfunction("""COMPUTED_VALUE"""),"UFA - Two-way")</f>
        <v>UFA - Two-way</v>
      </c>
      <c r="G440" s="273"/>
      <c r="H440" s="193"/>
      <c r="I440" s="273"/>
      <c r="J440" s="193"/>
      <c r="K440" s="273"/>
      <c r="L440" s="193"/>
      <c r="M440" s="273"/>
      <c r="N440" s="193"/>
      <c r="O440" s="193" t="n">
        <f aca="false">IFERROR(__xludf.dummyfunction("""COMPUTED_VALUE"""),1)</f>
        <v>1</v>
      </c>
      <c r="P440" s="193"/>
      <c r="Q440" s="193"/>
      <c r="R440" s="193"/>
      <c r="S440" s="193"/>
      <c r="T440" s="193"/>
      <c r="U440" s="193"/>
      <c r="V440" s="193"/>
      <c r="W440" s="193"/>
      <c r="X440" s="193"/>
      <c r="Y440" s="193"/>
      <c r="Z440" s="193"/>
    </row>
    <row r="441" customFormat="false" ht="15.75" hidden="false" customHeight="false" outlineLevel="0" collapsed="false">
      <c r="A441" s="193" t="str">
        <f aca="false">IFERROR(__xludf.dummyfunction("""COMPUTED_VALUE"""),"Cameron Christie")</f>
        <v>Cameron Christie</v>
      </c>
      <c r="B441" s="271" t="str">
        <f aca="false">IFERROR(__xludf.dummyfunction("""COMPUTED_VALUE"""),"New Orleans Pelicans")</f>
        <v>New Orleans Pelicans</v>
      </c>
      <c r="C441" s="272" t="n">
        <f aca="false">IFERROR(__xludf.dummyfunction("""COMPUTED_VALUE"""),1157153)</f>
        <v>1157153</v>
      </c>
      <c r="D441" s="193"/>
      <c r="E441" s="272" t="n">
        <f aca="false">IFERROR(__xludf.dummyfunction("""COMPUTED_VALUE"""),1955377)</f>
        <v>1955377</v>
      </c>
      <c r="F441" s="193"/>
      <c r="G441" s="272" t="n">
        <f aca="false">IFERROR(__xludf.dummyfunction("""COMPUTED_VALUE"""),2296271)</f>
        <v>2296271</v>
      </c>
      <c r="H441" s="271" t="str">
        <f aca="false">IFERROR(__xludf.dummyfunction("""COMPUTED_VALUE"""),"Non Guaranteed")</f>
        <v>Non Guaranteed</v>
      </c>
      <c r="I441" s="272" t="n">
        <f aca="false">IFERROR(__xludf.dummyfunction("""COMPUTED_VALUE"""),2486995)</f>
        <v>2486995</v>
      </c>
      <c r="J441" s="271" t="str">
        <f aca="false">IFERROR(__xludf.dummyfunction("""COMPUTED_VALUE"""),"Club Option")</f>
        <v>Club Option</v>
      </c>
      <c r="K441" s="272" t="n">
        <f aca="false">IFERROR(__xludf.dummyfunction("""COMPUTED_VALUE"""),3056337)</f>
        <v>3056337</v>
      </c>
      <c r="L441" s="271" t="str">
        <f aca="false">IFERROR(__xludf.dummyfunction("""COMPUTED_VALUE"""),"UFA - Bird")</f>
        <v>UFA - Bird</v>
      </c>
      <c r="M441" s="273"/>
      <c r="N441" s="193"/>
      <c r="O441" s="193" t="n">
        <f aca="false">IFERROR(__xludf.dummyfunction("""COMPUTED_VALUE"""),1)</f>
        <v>1</v>
      </c>
      <c r="P441" s="193"/>
      <c r="Q441" s="193"/>
      <c r="R441" s="193"/>
      <c r="S441" s="193"/>
      <c r="T441" s="193"/>
      <c r="U441" s="193"/>
      <c r="V441" s="193"/>
      <c r="W441" s="193"/>
      <c r="X441" s="193"/>
      <c r="Y441" s="193"/>
      <c r="Z441" s="193"/>
    </row>
    <row r="442" customFormat="false" ht="15.75" hidden="false" customHeight="false" outlineLevel="0" collapsed="false">
      <c r="A442" s="193" t="str">
        <f aca="false">IFERROR(__xludf.dummyfunction("""COMPUTED_VALUE"""),"Drew Eubanks")</f>
        <v>Drew Eubanks</v>
      </c>
      <c r="B442" s="271" t="str">
        <f aca="false">IFERROR(__xludf.dummyfunction("""COMPUTED_VALUE"""),"New Orleans Pelicans")</f>
        <v>New Orleans Pelicans</v>
      </c>
      <c r="C442" s="272" t="n">
        <f aca="false">IFERROR(__xludf.dummyfunction("""COMPUTED_VALUE"""),5000000)</f>
        <v>5000000</v>
      </c>
      <c r="D442" s="271" t="str">
        <f aca="false">IFERROR(__xludf.dummyfunction("""COMPUTED_VALUE"""),"Dead Cap")</f>
        <v>Dead Cap</v>
      </c>
      <c r="E442" s="272" t="n">
        <f aca="false">IFERROR(__xludf.dummyfunction("""COMPUTED_VALUE"""),1583333.33333333)</f>
        <v>1583333.333</v>
      </c>
      <c r="F442" s="271" t="str">
        <f aca="false">IFERROR(__xludf.dummyfunction("""COMPUTED_VALUE"""),"Dead Cap")</f>
        <v>Dead Cap</v>
      </c>
      <c r="G442" s="272" t="n">
        <f aca="false">IFERROR(__xludf.dummyfunction("""COMPUTED_VALUE"""),1583333.33333333)</f>
        <v>1583333.333</v>
      </c>
      <c r="H442" s="271" t="str">
        <f aca="false">IFERROR(__xludf.dummyfunction("""COMPUTED_VALUE"""),"Dead Cap")</f>
        <v>Dead Cap</v>
      </c>
      <c r="I442" s="272" t="n">
        <f aca="false">IFERROR(__xludf.dummyfunction("""COMPUTED_VALUE"""),1583333.33333333)</f>
        <v>1583333.333</v>
      </c>
      <c r="J442" s="271" t="str">
        <f aca="false">IFERROR(__xludf.dummyfunction("""COMPUTED_VALUE"""),"Dead Cap")</f>
        <v>Dead Cap</v>
      </c>
      <c r="K442" s="273"/>
      <c r="L442" s="193"/>
      <c r="M442" s="273"/>
      <c r="N442" s="193"/>
      <c r="O442" s="193" t="n">
        <f aca="false">IFERROR(__xludf.dummyfunction("""COMPUTED_VALUE"""),1)</f>
        <v>1</v>
      </c>
      <c r="P442" s="193"/>
      <c r="Q442" s="193"/>
      <c r="R442" s="193"/>
      <c r="S442" s="193"/>
      <c r="T442" s="193"/>
      <c r="U442" s="193"/>
      <c r="V442" s="193"/>
      <c r="W442" s="193"/>
      <c r="X442" s="193"/>
      <c r="Y442" s="193"/>
      <c r="Z442" s="193"/>
    </row>
    <row r="443" customFormat="false" ht="15.75" hidden="false" customHeight="false" outlineLevel="0" collapsed="false">
      <c r="A443" s="193" t="str">
        <f aca="false">IFERROR(__xludf.dummyfunction("""COMPUTED_VALUE"""),"Karl-Anthony Towns")</f>
        <v>Karl-Anthony Towns</v>
      </c>
      <c r="B443" s="271" t="str">
        <f aca="false">IFERROR(__xludf.dummyfunction("""COMPUTED_VALUE"""),"New York Knicks")</f>
        <v>New York Knicks</v>
      </c>
      <c r="C443" s="272" t="n">
        <f aca="false">IFERROR(__xludf.dummyfunction("""COMPUTED_VALUE"""),49205800)</f>
        <v>49205800</v>
      </c>
      <c r="D443" s="193"/>
      <c r="E443" s="272" t="n">
        <f aca="false">IFERROR(__xludf.dummyfunction("""COMPUTED_VALUE"""),53142264)</f>
        <v>53142264</v>
      </c>
      <c r="F443" s="193"/>
      <c r="G443" s="272" t="n">
        <f aca="false">IFERROR(__xludf.dummyfunction("""COMPUTED_VALUE"""),57078728)</f>
        <v>57078728</v>
      </c>
      <c r="H443" s="193"/>
      <c r="I443" s="272" t="n">
        <f aca="false">IFERROR(__xludf.dummyfunction("""COMPUTED_VALUE"""),61015192)</f>
        <v>61015192</v>
      </c>
      <c r="J443" s="271" t="str">
        <f aca="false">IFERROR(__xludf.dummyfunction("""COMPUTED_VALUE"""),"Player Option")</f>
        <v>Player Option</v>
      </c>
      <c r="K443" s="272" t="n">
        <f aca="false">IFERROR(__xludf.dummyfunction("""COMPUTED_VALUE"""),72042212)</f>
        <v>72042212</v>
      </c>
      <c r="L443" s="271" t="str">
        <f aca="false">IFERROR(__xludf.dummyfunction("""COMPUTED_VALUE"""),"UFA - Bird")</f>
        <v>UFA - Bird</v>
      </c>
      <c r="M443" s="273"/>
      <c r="N443" s="193"/>
      <c r="O443" s="193" t="n">
        <f aca="false">IFERROR(__xludf.dummyfunction("""COMPUTED_VALUE"""),1)</f>
        <v>1</v>
      </c>
      <c r="P443" s="193"/>
      <c r="Q443" s="193"/>
      <c r="R443" s="193"/>
      <c r="S443" s="193"/>
      <c r="T443" s="193"/>
      <c r="U443" s="193"/>
      <c r="V443" s="193"/>
      <c r="W443" s="193"/>
      <c r="X443" s="193"/>
      <c r="Y443" s="193"/>
      <c r="Z443" s="193"/>
    </row>
    <row r="444" customFormat="false" ht="15.75" hidden="false" customHeight="false" outlineLevel="0" collapsed="false">
      <c r="A444" s="193" t="str">
        <f aca="false">IFERROR(__xludf.dummyfunction("""COMPUTED_VALUE"""),"OG Anunoby")</f>
        <v>OG Anunoby</v>
      </c>
      <c r="B444" s="271" t="str">
        <f aca="false">IFERROR(__xludf.dummyfunction("""COMPUTED_VALUE"""),"New York Knicks")</f>
        <v>New York Knicks</v>
      </c>
      <c r="C444" s="272" t="n">
        <f aca="false">IFERROR(__xludf.dummyfunction("""COMPUTED_VALUE"""),36637932)</f>
        <v>36637932</v>
      </c>
      <c r="D444" s="193"/>
      <c r="E444" s="272" t="n">
        <f aca="false">IFERROR(__xludf.dummyfunction("""COMPUTED_VALUE"""),39568966)</f>
        <v>39568966</v>
      </c>
      <c r="F444" s="193"/>
      <c r="G444" s="272" t="n">
        <f aca="false">IFERROR(__xludf.dummyfunction("""COMPUTED_VALUE"""),42500000)</f>
        <v>42500000</v>
      </c>
      <c r="H444" s="193"/>
      <c r="I444" s="272" t="n">
        <f aca="false">IFERROR(__xludf.dummyfunction("""COMPUTED_VALUE"""),45431034)</f>
        <v>45431034</v>
      </c>
      <c r="J444" s="193"/>
      <c r="K444" s="272" t="n">
        <f aca="false">IFERROR(__xludf.dummyfunction("""COMPUTED_VALUE"""),48362068)</f>
        <v>48362068</v>
      </c>
      <c r="L444" s="271" t="str">
        <f aca="false">IFERROR(__xludf.dummyfunction("""COMPUTED_VALUE"""),"Player Option")</f>
        <v>Player Option</v>
      </c>
      <c r="M444" s="272" t="n">
        <f aca="false">IFERROR(__xludf.dummyfunction("""COMPUTED_VALUE"""),72543104)</f>
        <v>72543104</v>
      </c>
      <c r="N444" s="271" t="str">
        <f aca="false">IFERROR(__xludf.dummyfunction("""COMPUTED_VALUE"""),"UFA - Bird")</f>
        <v>UFA - Bird</v>
      </c>
      <c r="O444" s="193" t="n">
        <f aca="false">IFERROR(__xludf.dummyfunction("""COMPUTED_VALUE"""),1)</f>
        <v>1</v>
      </c>
      <c r="P444" s="193"/>
      <c r="Q444" s="193"/>
      <c r="R444" s="193"/>
      <c r="S444" s="193"/>
      <c r="T444" s="193"/>
      <c r="U444" s="193"/>
      <c r="V444" s="193"/>
      <c r="W444" s="193"/>
      <c r="X444" s="193"/>
      <c r="Y444" s="193"/>
      <c r="Z444" s="193"/>
    </row>
    <row r="445" customFormat="false" ht="15.75" hidden="false" customHeight="false" outlineLevel="0" collapsed="false">
      <c r="A445" s="193" t="str">
        <f aca="false">IFERROR(__xludf.dummyfunction("""COMPUTED_VALUE"""),"Jalen Brunson")</f>
        <v>Jalen Brunson</v>
      </c>
      <c r="B445" s="271" t="str">
        <f aca="false">IFERROR(__xludf.dummyfunction("""COMPUTED_VALUE"""),"New York Knicks")</f>
        <v>New York Knicks</v>
      </c>
      <c r="C445" s="272" t="n">
        <f aca="false">IFERROR(__xludf.dummyfunction("""COMPUTED_VALUE"""),24960001)</f>
        <v>24960001</v>
      </c>
      <c r="D445" s="193"/>
      <c r="E445" s="272" t="n">
        <f aca="false">IFERROR(__xludf.dummyfunction("""COMPUTED_VALUE"""),34944001)</f>
        <v>34944001</v>
      </c>
      <c r="F445" s="193"/>
      <c r="G445" s="272" t="n">
        <f aca="false">IFERROR(__xludf.dummyfunction("""COMPUTED_VALUE"""),37739521)</f>
        <v>37739521</v>
      </c>
      <c r="H445" s="193"/>
      <c r="I445" s="272" t="n">
        <f aca="false">IFERROR(__xludf.dummyfunction("""COMPUTED_VALUE"""),40535041)</f>
        <v>40535041</v>
      </c>
      <c r="J445" s="193"/>
      <c r="K445" s="272" t="n">
        <f aca="false">IFERROR(__xludf.dummyfunction("""COMPUTED_VALUE"""),43330561)</f>
        <v>43330561</v>
      </c>
      <c r="L445" s="271" t="str">
        <f aca="false">IFERROR(__xludf.dummyfunction("""COMPUTED_VALUE"""),"Player Option")</f>
        <v>Player Option</v>
      </c>
      <c r="M445" s="272" t="n">
        <f aca="false">IFERROR(__xludf.dummyfunction("""COMPUTED_VALUE"""),64995842)</f>
        <v>64995842</v>
      </c>
      <c r="N445" s="271" t="str">
        <f aca="false">IFERROR(__xludf.dummyfunction("""COMPUTED_VALUE"""),"UFA - Bird")</f>
        <v>UFA - Bird</v>
      </c>
      <c r="O445" s="193" t="n">
        <f aca="false">IFERROR(__xludf.dummyfunction("""COMPUTED_VALUE"""),1)</f>
        <v>1</v>
      </c>
      <c r="P445" s="193"/>
      <c r="Q445" s="193"/>
      <c r="R445" s="193"/>
      <c r="S445" s="193"/>
      <c r="T445" s="193"/>
      <c r="U445" s="193"/>
      <c r="V445" s="193"/>
      <c r="W445" s="193"/>
      <c r="X445" s="193"/>
      <c r="Y445" s="193"/>
      <c r="Z445" s="193"/>
    </row>
    <row r="446" customFormat="false" ht="15.75" hidden="false" customHeight="false" outlineLevel="0" collapsed="false">
      <c r="A446" s="193" t="str">
        <f aca="false">IFERROR(__xludf.dummyfunction("""COMPUTED_VALUE"""),"Mikal Bridges")</f>
        <v>Mikal Bridges</v>
      </c>
      <c r="B446" s="271" t="str">
        <f aca="false">IFERROR(__xludf.dummyfunction("""COMPUTED_VALUE"""),"New York Knicks")</f>
        <v>New York Knicks</v>
      </c>
      <c r="C446" s="272" t="n">
        <f aca="false">IFERROR(__xludf.dummyfunction("""COMPUTED_VALUE"""),23300000)</f>
        <v>23300000</v>
      </c>
      <c r="D446" s="193"/>
      <c r="E446" s="272" t="n">
        <f aca="false">IFERROR(__xludf.dummyfunction("""COMPUTED_VALUE"""),24900000)</f>
        <v>24900000</v>
      </c>
      <c r="F446" s="193"/>
      <c r="G446" s="272" t="n">
        <f aca="false">IFERROR(__xludf.dummyfunction("""COMPUTED_VALUE"""),37350000)</f>
        <v>37350000</v>
      </c>
      <c r="H446" s="271" t="str">
        <f aca="false">IFERROR(__xludf.dummyfunction("""COMPUTED_VALUE"""),"UFA - Bird")</f>
        <v>UFA - Bird</v>
      </c>
      <c r="I446" s="272" t="str">
        <f aca="false">IFERROR(__xludf.dummyfunction("""COMPUTED_VALUE"""),"")</f>
        <v/>
      </c>
      <c r="J446" s="193"/>
      <c r="K446" s="273"/>
      <c r="L446" s="193"/>
      <c r="M446" s="273"/>
      <c r="N446" s="193"/>
      <c r="O446" s="193" t="n">
        <f aca="false">IFERROR(__xludf.dummyfunction("""COMPUTED_VALUE"""),1)</f>
        <v>1</v>
      </c>
      <c r="P446" s="193"/>
      <c r="Q446" s="193"/>
      <c r="R446" s="193"/>
      <c r="S446" s="193"/>
      <c r="T446" s="193"/>
      <c r="U446" s="193"/>
      <c r="V446" s="193"/>
      <c r="W446" s="193"/>
      <c r="X446" s="193"/>
      <c r="Y446" s="193"/>
      <c r="Z446" s="193"/>
    </row>
    <row r="447" customFormat="false" ht="15.75" hidden="false" customHeight="false" outlineLevel="0" collapsed="false">
      <c r="A447" s="193" t="str">
        <f aca="false">IFERROR(__xludf.dummyfunction("""COMPUTED_VALUE"""),"Josh Hart")</f>
        <v>Josh Hart</v>
      </c>
      <c r="B447" s="271" t="str">
        <f aca="false">IFERROR(__xludf.dummyfunction("""COMPUTED_VALUE"""),"New York Knicks")</f>
        <v>New York Knicks</v>
      </c>
      <c r="C447" s="272" t="n">
        <f aca="false">IFERROR(__xludf.dummyfunction("""COMPUTED_VALUE"""),18144000)</f>
        <v>18144000</v>
      </c>
      <c r="D447" s="193"/>
      <c r="E447" s="272" t="n">
        <f aca="false">IFERROR(__xludf.dummyfunction("""COMPUTED_VALUE"""),19472240)</f>
        <v>19472240</v>
      </c>
      <c r="F447" s="193"/>
      <c r="G447" s="272" t="n">
        <f aca="false">IFERROR(__xludf.dummyfunction("""COMPUTED_VALUE"""),20923760)</f>
        <v>20923760</v>
      </c>
      <c r="H447" s="193"/>
      <c r="I447" s="272" t="n">
        <f aca="false">IFERROR(__xludf.dummyfunction("""COMPUTED_VALUE"""),22375280)</f>
        <v>22375280</v>
      </c>
      <c r="J447" s="193" t="str">
        <f aca="false">IFERROR(__xludf.dummyfunction("""COMPUTED_VALUE"""),"Club Option")</f>
        <v>Club Option</v>
      </c>
      <c r="K447" s="272" t="n">
        <f aca="false">IFERROR(__xludf.dummyfunction("""COMPUTED_VALUE"""),33562920)</f>
        <v>33562920</v>
      </c>
      <c r="L447" s="271" t="str">
        <f aca="false">IFERROR(__xludf.dummyfunction("""COMPUTED_VALUE"""),"UFA - Bird")</f>
        <v>UFA - Bird</v>
      </c>
      <c r="M447" s="273"/>
      <c r="N447" s="193"/>
      <c r="O447" s="193" t="n">
        <f aca="false">IFERROR(__xludf.dummyfunction("""COMPUTED_VALUE"""),1)</f>
        <v>1</v>
      </c>
      <c r="P447" s="193"/>
      <c r="Q447" s="193"/>
      <c r="R447" s="193"/>
      <c r="S447" s="193"/>
      <c r="T447" s="193"/>
      <c r="U447" s="193"/>
      <c r="V447" s="193"/>
      <c r="W447" s="193"/>
      <c r="X447" s="193"/>
      <c r="Y447" s="193"/>
      <c r="Z447" s="193"/>
    </row>
    <row r="448" customFormat="false" ht="15.75" hidden="false" customHeight="false" outlineLevel="0" collapsed="false">
      <c r="A448" s="193" t="str">
        <f aca="false">IFERROR(__xludf.dummyfunction("""COMPUTED_VALUE"""),"Mitchell Robinson")</f>
        <v>Mitchell Robinson</v>
      </c>
      <c r="B448" s="271" t="str">
        <f aca="false">IFERROR(__xludf.dummyfunction("""COMPUTED_VALUE"""),"New York Knicks")</f>
        <v>New York Knicks</v>
      </c>
      <c r="C448" s="272" t="n">
        <f aca="false">IFERROR(__xludf.dummyfunction("""COMPUTED_VALUE"""),14318182)</f>
        <v>14318182</v>
      </c>
      <c r="D448" s="193"/>
      <c r="E448" s="272" t="n">
        <f aca="false">IFERROR(__xludf.dummyfunction("""COMPUTED_VALUE"""),12954546)</f>
        <v>12954546</v>
      </c>
      <c r="F448" s="193"/>
      <c r="G448" s="272" t="n">
        <f aca="false">IFERROR(__xludf.dummyfunction("""COMPUTED_VALUE"""),24613637)</f>
        <v>24613637</v>
      </c>
      <c r="H448" s="271" t="str">
        <f aca="false">IFERROR(__xludf.dummyfunction("""COMPUTED_VALUE"""),"UFA - Bird")</f>
        <v>UFA - Bird</v>
      </c>
      <c r="I448" s="272" t="str">
        <f aca="false">IFERROR(__xludf.dummyfunction("""COMPUTED_VALUE"""),"")</f>
        <v/>
      </c>
      <c r="J448" s="193"/>
      <c r="K448" s="273"/>
      <c r="L448" s="193"/>
      <c r="M448" s="273"/>
      <c r="N448" s="193"/>
      <c r="O448" s="193" t="n">
        <f aca="false">IFERROR(__xludf.dummyfunction("""COMPUTED_VALUE"""),1)</f>
        <v>1</v>
      </c>
      <c r="P448" s="193"/>
      <c r="Q448" s="193"/>
      <c r="R448" s="193"/>
      <c r="S448" s="193"/>
      <c r="T448" s="193"/>
      <c r="U448" s="193"/>
      <c r="V448" s="193"/>
      <c r="W448" s="193"/>
      <c r="X448" s="193"/>
      <c r="Y448" s="193"/>
      <c r="Z448" s="193"/>
    </row>
    <row r="449" customFormat="false" ht="15.75" hidden="false" customHeight="false" outlineLevel="0" collapsed="false">
      <c r="A449" s="193" t="str">
        <f aca="false">IFERROR(__xludf.dummyfunction("""COMPUTED_VALUE"""),"Precious Achiuwa")</f>
        <v>Precious Achiuwa</v>
      </c>
      <c r="B449" s="271" t="str">
        <f aca="false">IFERROR(__xludf.dummyfunction("""COMPUTED_VALUE"""),"New York Knicks")</f>
        <v>New York Knicks</v>
      </c>
      <c r="C449" s="272" t="n">
        <f aca="false">IFERROR(__xludf.dummyfunction("""COMPUTED_VALUE"""),6000000)</f>
        <v>6000000</v>
      </c>
      <c r="D449" s="193"/>
      <c r="E449" s="272" t="n">
        <f aca="false">IFERROR(__xludf.dummyfunction("""COMPUTED_VALUE"""),5684666)</f>
        <v>5684666</v>
      </c>
      <c r="F449" s="193"/>
      <c r="G449" s="272" t="n">
        <f aca="false">IFERROR(__xludf.dummyfunction("""COMPUTED_VALUE"""),5684666)</f>
        <v>5684666</v>
      </c>
      <c r="H449" s="193" t="str">
        <f aca="false">IFERROR(__xludf.dummyfunction("""COMPUTED_VALUE"""),"Player Option")</f>
        <v>Player Option</v>
      </c>
      <c r="I449" s="272" t="n">
        <f aca="false">IFERROR(__xludf.dummyfunction("""COMPUTED_VALUE"""),7390065.8)</f>
        <v>7390065.8</v>
      </c>
      <c r="J449" s="271" t="str">
        <f aca="false">IFERROR(__xludf.dummyfunction("""COMPUTED_VALUE"""),"UFA - Early Bird")</f>
        <v>UFA - Early Bird</v>
      </c>
      <c r="K449" s="273"/>
      <c r="L449" s="193"/>
      <c r="M449" s="273"/>
      <c r="N449" s="193"/>
      <c r="O449" s="193" t="n">
        <f aca="false">IFERROR(__xludf.dummyfunction("""COMPUTED_VALUE"""),1)</f>
        <v>1</v>
      </c>
      <c r="P449" s="193"/>
      <c r="Q449" s="193"/>
      <c r="R449" s="193"/>
      <c r="S449" s="193"/>
      <c r="T449" s="193"/>
      <c r="U449" s="193"/>
      <c r="V449" s="193"/>
      <c r="W449" s="193"/>
      <c r="X449" s="193"/>
      <c r="Y449" s="193"/>
      <c r="Z449" s="193"/>
    </row>
    <row r="450" customFormat="false" ht="15.75" hidden="false" customHeight="false" outlineLevel="0" collapsed="false">
      <c r="A450" s="193" t="str">
        <f aca="false">IFERROR(__xludf.dummyfunction("""COMPUTED_VALUE"""),"Miles McBride")</f>
        <v>Miles McBride</v>
      </c>
      <c r="B450" s="271" t="str">
        <f aca="false">IFERROR(__xludf.dummyfunction("""COMPUTED_VALUE"""),"New York Knicks")</f>
        <v>New York Knicks</v>
      </c>
      <c r="C450" s="272" t="n">
        <f aca="false">IFERROR(__xludf.dummyfunction("""COMPUTED_VALUE"""),4710144)</f>
        <v>4710144</v>
      </c>
      <c r="D450" s="193"/>
      <c r="E450" s="272" t="n">
        <f aca="false">IFERROR(__xludf.dummyfunction("""COMPUTED_VALUE"""),4333333)</f>
        <v>4333333</v>
      </c>
      <c r="F450" s="193"/>
      <c r="G450" s="272" t="n">
        <f aca="false">IFERROR(__xludf.dummyfunction("""COMPUTED_VALUE"""),3956523)</f>
        <v>3956523</v>
      </c>
      <c r="H450" s="193"/>
      <c r="I450" s="272" t="n">
        <f aca="false">IFERROR(__xludf.dummyfunction("""COMPUTED_VALUE"""),7517394)</f>
        <v>7517394</v>
      </c>
      <c r="J450" s="271" t="str">
        <f aca="false">IFERROR(__xludf.dummyfunction("""COMPUTED_VALUE"""),"UFA - Bird")</f>
        <v>UFA - Bird</v>
      </c>
      <c r="K450" s="273"/>
      <c r="L450" s="193"/>
      <c r="M450" s="273"/>
      <c r="N450" s="193"/>
      <c r="O450" s="193" t="n">
        <f aca="false">IFERROR(__xludf.dummyfunction("""COMPUTED_VALUE"""),1)</f>
        <v>1</v>
      </c>
      <c r="P450" s="193"/>
      <c r="Q450" s="193"/>
      <c r="R450" s="193"/>
      <c r="S450" s="193"/>
      <c r="T450" s="193"/>
      <c r="U450" s="193"/>
      <c r="V450" s="193"/>
      <c r="W450" s="193"/>
      <c r="X450" s="193"/>
      <c r="Y450" s="193"/>
      <c r="Z450" s="193"/>
    </row>
    <row r="451" customFormat="false" ht="15.75" hidden="false" customHeight="false" outlineLevel="0" collapsed="false">
      <c r="A451" s="193" t="str">
        <f aca="false">IFERROR(__xludf.dummyfunction("""COMPUTED_VALUE"""),"P.J. Tucker")</f>
        <v>P.J. Tucker</v>
      </c>
      <c r="B451" s="271" t="str">
        <f aca="false">IFERROR(__xludf.dummyfunction("""COMPUTED_VALUE"""),"New York Knicks")</f>
        <v>New York Knicks</v>
      </c>
      <c r="C451" s="272" t="n">
        <f aca="false">IFERROR(__xludf.dummyfunction("""COMPUTED_VALUE"""),246833)</f>
        <v>246833</v>
      </c>
      <c r="D451" s="193"/>
      <c r="E451" s="272" t="n">
        <f aca="false">IFERROR(__xludf.dummyfunction("""COMPUTED_VALUE"""),3468960)</f>
        <v>3468960</v>
      </c>
      <c r="F451" s="271" t="str">
        <f aca="false">IFERROR(__xludf.dummyfunction("""COMPUTED_VALUE"""),"UFA - Non-Bird")</f>
        <v>UFA - Non-Bird</v>
      </c>
      <c r="G451" s="273"/>
      <c r="H451" s="193"/>
      <c r="I451" s="272" t="str">
        <f aca="false">IFERROR(__xludf.dummyfunction("""COMPUTED_VALUE"""),"")</f>
        <v/>
      </c>
      <c r="J451" s="193"/>
      <c r="K451" s="273"/>
      <c r="L451" s="193"/>
      <c r="M451" s="273"/>
      <c r="N451" s="193"/>
      <c r="O451" s="193" t="n">
        <f aca="false">IFERROR(__xludf.dummyfunction("""COMPUTED_VALUE"""),1)</f>
        <v>1</v>
      </c>
      <c r="P451" s="193"/>
      <c r="Q451" s="193"/>
      <c r="R451" s="193"/>
      <c r="S451" s="193"/>
      <c r="T451" s="193"/>
      <c r="U451" s="193"/>
      <c r="V451" s="193"/>
      <c r="W451" s="193"/>
      <c r="X451" s="193"/>
      <c r="Y451" s="193"/>
      <c r="Z451" s="193"/>
    </row>
    <row r="452" customFormat="false" ht="15.75" hidden="false" customHeight="false" outlineLevel="0" collapsed="false">
      <c r="A452" s="193" t="str">
        <f aca="false">IFERROR(__xludf.dummyfunction("""COMPUTED_VALUE"""),"Pacome Dadiet")</f>
        <v>Pacome Dadiet</v>
      </c>
      <c r="B452" s="271" t="str">
        <f aca="false">IFERROR(__xludf.dummyfunction("""COMPUTED_VALUE"""),"New York Knicks")</f>
        <v>New York Knicks</v>
      </c>
      <c r="C452" s="272" t="n">
        <f aca="false">IFERROR(__xludf.dummyfunction("""COMPUTED_VALUE"""),1808080)</f>
        <v>1808080</v>
      </c>
      <c r="D452" s="193"/>
      <c r="E452" s="272" t="n">
        <f aca="false">IFERROR(__xludf.dummyfunction("""COMPUTED_VALUE"""),2847600)</f>
        <v>2847600</v>
      </c>
      <c r="F452" s="193"/>
      <c r="G452" s="272" t="n">
        <f aca="false">IFERROR(__xludf.dummyfunction("""COMPUTED_VALUE"""),2983680)</f>
        <v>2983680</v>
      </c>
      <c r="H452" s="193" t="str">
        <f aca="false">IFERROR(__xludf.dummyfunction("""COMPUTED_VALUE"""),"Club Option")</f>
        <v>Club Option</v>
      </c>
      <c r="I452" s="272" t="n">
        <f aca="false">IFERROR(__xludf.dummyfunction("""COMPUTED_VALUE"""),5373608)</f>
        <v>5373608</v>
      </c>
      <c r="J452" s="193" t="str">
        <f aca="false">IFERROR(__xludf.dummyfunction("""COMPUTED_VALUE"""),"Club Option")</f>
        <v>Club Option</v>
      </c>
      <c r="K452" s="272" t="n">
        <f aca="false">IFERROR(__xludf.dummyfunction("""COMPUTED_VALUE"""),16120824)</f>
        <v>16120824</v>
      </c>
      <c r="L452" s="271" t="str">
        <f aca="false">IFERROR(__xludf.dummyfunction("""COMPUTED_VALUE"""),"RFA - Bird")</f>
        <v>RFA - Bird</v>
      </c>
      <c r="M452" s="273"/>
      <c r="N452" s="193"/>
      <c r="O452" s="193" t="n">
        <f aca="false">IFERROR(__xludf.dummyfunction("""COMPUTED_VALUE"""),1)</f>
        <v>1</v>
      </c>
      <c r="P452" s="193"/>
      <c r="Q452" s="193"/>
      <c r="R452" s="193"/>
      <c r="S452" s="193"/>
      <c r="T452" s="193"/>
      <c r="U452" s="193"/>
      <c r="V452" s="193"/>
      <c r="W452" s="193"/>
      <c r="X452" s="193"/>
      <c r="Y452" s="193"/>
      <c r="Z452" s="193"/>
    </row>
    <row r="453" customFormat="false" ht="15.75" hidden="false" customHeight="false" outlineLevel="0" collapsed="false">
      <c r="A453" s="193" t="str">
        <f aca="false">IFERROR(__xludf.dummyfunction("""COMPUTED_VALUE"""),"Cameron Payne")</f>
        <v>Cameron Payne</v>
      </c>
      <c r="B453" s="271" t="str">
        <f aca="false">IFERROR(__xludf.dummyfunction("""COMPUTED_VALUE"""),"New York Knicks")</f>
        <v>New York Knicks</v>
      </c>
      <c r="C453" s="272" t="n">
        <f aca="false">IFERROR(__xludf.dummyfunction("""COMPUTED_VALUE"""),2087519)</f>
        <v>2087519</v>
      </c>
      <c r="D453" s="193"/>
      <c r="E453" s="272" t="n">
        <f aca="false">IFERROR(__xludf.dummyfunction("""COMPUTED_VALUE"""),2296274)</f>
        <v>2296274</v>
      </c>
      <c r="F453" s="271" t="str">
        <f aca="false">IFERROR(__xludf.dummyfunction("""COMPUTED_VALUE"""),"UFA - Non-Bird")</f>
        <v>UFA - Non-Bird</v>
      </c>
      <c r="G453" s="272" t="str">
        <f aca="false">IFERROR(__xludf.dummyfunction("""COMPUTED_VALUE"""),"")</f>
        <v/>
      </c>
      <c r="H453" s="193"/>
      <c r="I453" s="272" t="str">
        <f aca="false">IFERROR(__xludf.dummyfunction("""COMPUTED_VALUE"""),"")</f>
        <v/>
      </c>
      <c r="J453" s="193"/>
      <c r="K453" s="273"/>
      <c r="L453" s="193"/>
      <c r="M453" s="273"/>
      <c r="N453" s="193"/>
      <c r="O453" s="193" t="n">
        <f aca="false">IFERROR(__xludf.dummyfunction("""COMPUTED_VALUE"""),1)</f>
        <v>1</v>
      </c>
      <c r="P453" s="193"/>
      <c r="Q453" s="193"/>
      <c r="R453" s="193"/>
      <c r="S453" s="193"/>
      <c r="T453" s="193"/>
      <c r="U453" s="193"/>
      <c r="V453" s="193"/>
      <c r="W453" s="193"/>
      <c r="X453" s="193"/>
      <c r="Y453" s="193"/>
      <c r="Z453" s="193"/>
    </row>
    <row r="454" customFormat="false" ht="15.75" hidden="false" customHeight="false" outlineLevel="0" collapsed="false">
      <c r="A454" s="193" t="str">
        <f aca="false">IFERROR(__xludf.dummyfunction("""COMPUTED_VALUE"""),"Delon Wright")</f>
        <v>Delon Wright</v>
      </c>
      <c r="B454" s="271" t="str">
        <f aca="false">IFERROR(__xludf.dummyfunction("""COMPUTED_VALUE"""),"New York Knicks")</f>
        <v>New York Knicks</v>
      </c>
      <c r="C454" s="272" t="n">
        <f aca="false">IFERROR(__xludf.dummyfunction("""COMPUTED_VALUE"""),2087519)</f>
        <v>2087519</v>
      </c>
      <c r="D454" s="193"/>
      <c r="E454" s="272" t="n">
        <f aca="false">IFERROR(__xludf.dummyfunction("""COMPUTED_VALUE"""),2296271)</f>
        <v>2296271</v>
      </c>
      <c r="F454" s="193"/>
      <c r="G454" s="272" t="n">
        <f aca="false">IFERROR(__xludf.dummyfunction("""COMPUTED_VALUE"""),2525898.1)</f>
        <v>2525898.1</v>
      </c>
      <c r="H454" s="193" t="str">
        <f aca="false">IFERROR(__xludf.dummyfunction("""COMPUTED_VALUE"""),"UFA - Non-Bird")</f>
        <v>UFA - Non-Bird</v>
      </c>
      <c r="I454" s="273"/>
      <c r="J454" s="193"/>
      <c r="K454" s="273"/>
      <c r="L454" s="193"/>
      <c r="M454" s="273"/>
      <c r="N454" s="193"/>
      <c r="O454" s="193" t="n">
        <f aca="false">IFERROR(__xludf.dummyfunction("""COMPUTED_VALUE"""),1)</f>
        <v>1</v>
      </c>
      <c r="P454" s="193"/>
      <c r="Q454" s="193"/>
      <c r="R454" s="193"/>
      <c r="S454" s="193"/>
      <c r="T454" s="193"/>
      <c r="U454" s="193"/>
      <c r="V454" s="193"/>
      <c r="W454" s="193"/>
      <c r="X454" s="193"/>
      <c r="Y454" s="193"/>
      <c r="Z454" s="193"/>
    </row>
    <row r="455" customFormat="false" ht="15.75" hidden="false" customHeight="false" outlineLevel="0" collapsed="false">
      <c r="A455" s="193" t="str">
        <f aca="false">IFERROR(__xludf.dummyfunction("""COMPUTED_VALUE"""),"MarJon Beauchamp")</f>
        <v>MarJon Beauchamp</v>
      </c>
      <c r="B455" s="271" t="str">
        <f aca="false">IFERROR(__xludf.dummyfunction("""COMPUTED_VALUE"""),"New York Knicks")</f>
        <v>New York Knicks</v>
      </c>
      <c r="C455" s="273"/>
      <c r="D455" s="193"/>
      <c r="E455" s="272" t="n">
        <f aca="false">IFERROR(__xludf.dummyfunction("""COMPUTED_VALUE"""),2296271)</f>
        <v>2296271</v>
      </c>
      <c r="F455" s="193"/>
      <c r="G455" s="272" t="n">
        <f aca="false">IFERROR(__xludf.dummyfunction("""COMPUTED_VALUE"""),2525898)</f>
        <v>2525898</v>
      </c>
      <c r="H455" s="271" t="str">
        <f aca="false">IFERROR(__xludf.dummyfunction("""COMPUTED_VALUE"""),"UFA - Non-Bird")</f>
        <v>UFA - Non-Bird</v>
      </c>
      <c r="I455" s="273"/>
      <c r="J455" s="193"/>
      <c r="K455" s="273"/>
      <c r="L455" s="193"/>
      <c r="M455" s="273"/>
      <c r="N455" s="193"/>
      <c r="O455" s="193" t="n">
        <f aca="false">IFERROR(__xludf.dummyfunction("""COMPUTED_VALUE"""),1)</f>
        <v>1</v>
      </c>
      <c r="P455" s="193"/>
      <c r="Q455" s="193"/>
      <c r="R455" s="193"/>
      <c r="S455" s="193"/>
      <c r="T455" s="193"/>
      <c r="U455" s="193"/>
      <c r="V455" s="193"/>
      <c r="W455" s="193"/>
      <c r="X455" s="193"/>
      <c r="Y455" s="193"/>
      <c r="Z455" s="193"/>
    </row>
    <row r="456" customFormat="false" ht="15.75" hidden="false" customHeight="false" outlineLevel="0" collapsed="false">
      <c r="A456" s="193" t="str">
        <f aca="false">IFERROR(__xludf.dummyfunction("""COMPUTED_VALUE"""),"Tyler Kolek")</f>
        <v>Tyler Kolek</v>
      </c>
      <c r="B456" s="271" t="str">
        <f aca="false">IFERROR(__xludf.dummyfunction("""COMPUTED_VALUE"""),"New York Knicks")</f>
        <v>New York Knicks</v>
      </c>
      <c r="C456" s="272" t="n">
        <f aca="false">IFERROR(__xludf.dummyfunction("""COMPUTED_VALUE"""),2087519)</f>
        <v>2087519</v>
      </c>
      <c r="D456" s="193"/>
      <c r="E456" s="272" t="n">
        <f aca="false">IFERROR(__xludf.dummyfunction("""COMPUTED_VALUE"""),2191897)</f>
        <v>2191897</v>
      </c>
      <c r="F456" s="193"/>
      <c r="G456" s="272" t="n">
        <f aca="false">IFERROR(__xludf.dummyfunction("""COMPUTED_VALUE"""),2296271)</f>
        <v>2296271</v>
      </c>
      <c r="H456" s="193"/>
      <c r="I456" s="272" t="n">
        <f aca="false">IFERROR(__xludf.dummyfunction("""COMPUTED_VALUE"""),2486995)</f>
        <v>2486995</v>
      </c>
      <c r="J456" s="193" t="str">
        <f aca="false">IFERROR(__xludf.dummyfunction("""COMPUTED_VALUE"""),"Club Option")</f>
        <v>Club Option</v>
      </c>
      <c r="K456" s="272" t="n">
        <f aca="false">IFERROR(__xludf.dummyfunction("""COMPUTED_VALUE"""),3056337)</f>
        <v>3056337</v>
      </c>
      <c r="L456" s="271" t="str">
        <f aca="false">IFERROR(__xludf.dummyfunction("""COMPUTED_VALUE"""),"UFA - Bird")</f>
        <v>UFA - Bird</v>
      </c>
      <c r="M456" s="273"/>
      <c r="N456" s="193"/>
      <c r="O456" s="193" t="n">
        <f aca="false">IFERROR(__xludf.dummyfunction("""COMPUTED_VALUE"""),1)</f>
        <v>1</v>
      </c>
      <c r="P456" s="193"/>
      <c r="Q456" s="193"/>
      <c r="R456" s="193"/>
      <c r="S456" s="193"/>
      <c r="T456" s="193"/>
      <c r="U456" s="193"/>
      <c r="V456" s="193"/>
      <c r="W456" s="193"/>
      <c r="X456" s="193"/>
      <c r="Y456" s="193"/>
      <c r="Z456" s="193"/>
    </row>
    <row r="457" customFormat="false" ht="15.75" hidden="false" customHeight="false" outlineLevel="0" collapsed="false">
      <c r="A457" s="193" t="str">
        <f aca="false">IFERROR(__xludf.dummyfunction("""COMPUTED_VALUE"""),"Anton Watson")</f>
        <v>Anton Watson</v>
      </c>
      <c r="B457" s="271" t="str">
        <f aca="false">IFERROR(__xludf.dummyfunction("""COMPUTED_VALUE"""),"New York Knicks")</f>
        <v>New York Knicks</v>
      </c>
      <c r="C457" s="272" t="str">
        <f aca="false">IFERROR(__xludf.dummyfunction("""COMPUTED_VALUE"""),"Two-way")</f>
        <v>Two-way</v>
      </c>
      <c r="D457" s="271" t="str">
        <f aca="false">IFERROR(__xludf.dummyfunction("""COMPUTED_VALUE"""),"Two-way")</f>
        <v>Two-way</v>
      </c>
      <c r="E457" s="272" t="n">
        <f aca="false">IFERROR(__xludf.dummyfunction("""COMPUTED_VALUE"""),2048491)</f>
        <v>2048491</v>
      </c>
      <c r="F457" s="271" t="str">
        <f aca="false">IFERROR(__xludf.dummyfunction("""COMPUTED_VALUE"""),"UFA - Two-way")</f>
        <v>UFA - Two-way</v>
      </c>
      <c r="G457" s="273"/>
      <c r="H457" s="193"/>
      <c r="I457" s="273"/>
      <c r="J457" s="193"/>
      <c r="K457" s="273"/>
      <c r="L457" s="193"/>
      <c r="M457" s="273"/>
      <c r="N457" s="193"/>
      <c r="O457" s="193" t="n">
        <f aca="false">IFERROR(__xludf.dummyfunction("""COMPUTED_VALUE"""),1)</f>
        <v>1</v>
      </c>
      <c r="P457" s="193"/>
      <c r="Q457" s="193"/>
      <c r="R457" s="193"/>
      <c r="S457" s="193"/>
      <c r="T457" s="193"/>
      <c r="U457" s="193"/>
      <c r="V457" s="193"/>
      <c r="W457" s="193"/>
      <c r="X457" s="193"/>
      <c r="Y457" s="193"/>
      <c r="Z457" s="193"/>
    </row>
    <row r="458" customFormat="false" ht="15.75" hidden="false" customHeight="false" outlineLevel="0" collapsed="false">
      <c r="A458" s="193" t="str">
        <f aca="false">IFERROR(__xludf.dummyfunction("""COMPUTED_VALUE"""),"Kevin McCullar Jr. ")</f>
        <v>Kevin McCullar Jr.</v>
      </c>
      <c r="B458" s="271" t="str">
        <f aca="false">IFERROR(__xludf.dummyfunction("""COMPUTED_VALUE"""),"New York Knicks")</f>
        <v>New York Knicks</v>
      </c>
      <c r="C458" s="272" t="str">
        <f aca="false">IFERROR(__xludf.dummyfunction("""COMPUTED_VALUE"""),"Two-way")</f>
        <v>Two-way</v>
      </c>
      <c r="D458" s="271" t="str">
        <f aca="false">IFERROR(__xludf.dummyfunction("""COMPUTED_VALUE"""),"Two-way")</f>
        <v>Two-way</v>
      </c>
      <c r="E458" s="272" t="n">
        <f aca="false">IFERROR(__xludf.dummyfunction("""COMPUTED_VALUE"""),2048491)</f>
        <v>2048491</v>
      </c>
      <c r="F458" s="271" t="str">
        <f aca="false">IFERROR(__xludf.dummyfunction("""COMPUTED_VALUE"""),"UFA - Two-way")</f>
        <v>UFA - Two-way</v>
      </c>
      <c r="G458" s="273"/>
      <c r="H458" s="193"/>
      <c r="I458" s="273"/>
      <c r="J458" s="193"/>
      <c r="K458" s="273"/>
      <c r="L458" s="193"/>
      <c r="M458" s="273"/>
      <c r="N458" s="193"/>
      <c r="O458" s="193" t="n">
        <f aca="false">IFERROR(__xludf.dummyfunction("""COMPUTED_VALUE"""),1)</f>
        <v>1</v>
      </c>
      <c r="P458" s="193"/>
      <c r="Q458" s="193"/>
      <c r="R458" s="193"/>
      <c r="S458" s="193"/>
      <c r="T458" s="193"/>
      <c r="U458" s="193"/>
      <c r="V458" s="193"/>
      <c r="W458" s="193"/>
      <c r="X458" s="193"/>
      <c r="Y458" s="193"/>
      <c r="Z458" s="193"/>
    </row>
    <row r="459" customFormat="false" ht="15.75" hidden="false" customHeight="false" outlineLevel="0" collapsed="false">
      <c r="A459" s="193" t="str">
        <f aca="false">IFERROR(__xludf.dummyfunction("""COMPUTED_VALUE"""),"Ariel Hukporti")</f>
        <v>Ariel Hukporti</v>
      </c>
      <c r="B459" s="271" t="str">
        <f aca="false">IFERROR(__xludf.dummyfunction("""COMPUTED_VALUE"""),"New York Knicks")</f>
        <v>New York Knicks</v>
      </c>
      <c r="C459" s="272" t="n">
        <f aca="false">IFERROR(__xludf.dummyfunction("""COMPUTED_VALUE"""),1064049)</f>
        <v>1064049</v>
      </c>
      <c r="D459" s="193"/>
      <c r="E459" s="272" t="n">
        <f aca="false">IFERROR(__xludf.dummyfunction("""COMPUTED_VALUE"""),1955377)</f>
        <v>1955377</v>
      </c>
      <c r="F459" s="193"/>
      <c r="G459" s="272" t="n">
        <f aca="false">IFERROR(__xludf.dummyfunction("""COMPUTED_VALUE"""),2296271)</f>
        <v>2296271</v>
      </c>
      <c r="H459" s="193"/>
      <c r="I459" s="272" t="n">
        <f aca="false">IFERROR(__xludf.dummyfunction("""COMPUTED_VALUE"""),2486995)</f>
        <v>2486995</v>
      </c>
      <c r="J459" s="193" t="str">
        <f aca="false">IFERROR(__xludf.dummyfunction("""COMPUTED_VALUE"""),"Club Option")</f>
        <v>Club Option</v>
      </c>
      <c r="K459" s="272" t="n">
        <f aca="false">IFERROR(__xludf.dummyfunction("""COMPUTED_VALUE"""),3056337)</f>
        <v>3056337</v>
      </c>
      <c r="L459" s="271" t="str">
        <f aca="false">IFERROR(__xludf.dummyfunction("""COMPUTED_VALUE"""),"UFA - Bird")</f>
        <v>UFA - Bird</v>
      </c>
      <c r="M459" s="273"/>
      <c r="N459" s="193"/>
      <c r="O459" s="193" t="n">
        <f aca="false">IFERROR(__xludf.dummyfunction("""COMPUTED_VALUE"""),1)</f>
        <v>1</v>
      </c>
      <c r="P459" s="193"/>
      <c r="Q459" s="193"/>
      <c r="R459" s="193"/>
      <c r="S459" s="193"/>
      <c r="T459" s="193"/>
      <c r="U459" s="193"/>
      <c r="V459" s="193"/>
      <c r="W459" s="193"/>
      <c r="X459" s="193"/>
      <c r="Y459" s="193"/>
      <c r="Z459" s="193"/>
    </row>
    <row r="460" customFormat="false" ht="15.75" hidden="false" customHeight="false" outlineLevel="0" collapsed="false">
      <c r="A460" s="193" t="str">
        <f aca="false">IFERROR(__xludf.dummyfunction("""COMPUTED_VALUE"""),"Dink Pate (R)")</f>
        <v>Dink Pate (R)</v>
      </c>
      <c r="B460" s="271" t="str">
        <f aca="false">IFERROR(__xludf.dummyfunction("""COMPUTED_VALUE"""),"New York Knicks")</f>
        <v>New York Knicks</v>
      </c>
      <c r="C460" s="273"/>
      <c r="D460" s="193"/>
      <c r="E460" s="272" t="n">
        <f aca="false">IFERROR(__xludf.dummyfunction("""COMPUTED_VALUE"""),1272869)</f>
        <v>1272869</v>
      </c>
      <c r="F460" s="193"/>
      <c r="G460" s="272" t="n">
        <f aca="false">IFERROR(__xludf.dummyfunction("""COMPUTED_VALUE"""),2150915.55)</f>
        <v>2150915.55</v>
      </c>
      <c r="H460" s="271" t="str">
        <f aca="false">IFERROR(__xludf.dummyfunction("""COMPUTED_VALUE"""),"Non Guaranteed")</f>
        <v>Non Guaranteed</v>
      </c>
      <c r="I460" s="272" t="n">
        <f aca="false">IFERROR(__xludf.dummyfunction("""COMPUTED_VALUE"""),2525899)</f>
        <v>2525899</v>
      </c>
      <c r="J460" s="271" t="str">
        <f aca="false">IFERROR(__xludf.dummyfunction("""COMPUTED_VALUE"""),"Non Guaranteed")</f>
        <v>Non Guaranteed</v>
      </c>
      <c r="K460" s="272" t="n">
        <f aca="false">IFERROR(__xludf.dummyfunction("""COMPUTED_VALUE"""),2735801.21)</f>
        <v>2735801.21</v>
      </c>
      <c r="L460" s="271" t="str">
        <f aca="false">IFERROR(__xludf.dummyfunction("""COMPUTED_VALUE"""),"Club Option")</f>
        <v>Club Option</v>
      </c>
      <c r="M460" s="272" t="n">
        <f aca="false">IFERROR(__xludf.dummyfunction("""COMPUTED_VALUE"""),5197819.55)</f>
        <v>5197819.55</v>
      </c>
      <c r="N460" s="271" t="str">
        <f aca="false">IFERROR(__xludf.dummyfunction("""COMPUTED_VALUE"""),"UFA - Bird")</f>
        <v>UFA - Bird</v>
      </c>
      <c r="O460" s="193" t="n">
        <f aca="false">IFERROR(__xludf.dummyfunction("""COMPUTED_VALUE"""),1)</f>
        <v>1</v>
      </c>
      <c r="P460" s="193"/>
      <c r="Q460" s="193"/>
      <c r="R460" s="193"/>
      <c r="S460" s="193"/>
      <c r="T460" s="193"/>
      <c r="U460" s="193"/>
      <c r="V460" s="193"/>
      <c r="W460" s="193"/>
      <c r="X460" s="193"/>
      <c r="Y460" s="193"/>
      <c r="Z460" s="193"/>
    </row>
    <row r="461" customFormat="false" ht="15.75" hidden="false" customHeight="false" outlineLevel="0" collapsed="false">
      <c r="A461" s="193" t="str">
        <f aca="false">IFERROR(__xludf.dummyfunction("""COMPUTED_VALUE"""),"Blake Griffin")</f>
        <v>Blake Griffin</v>
      </c>
      <c r="B461" s="271" t="str">
        <f aca="false">IFERROR(__xludf.dummyfunction("""COMPUTED_VALUE"""),"None")</f>
        <v>None</v>
      </c>
      <c r="C461" s="272" t="n">
        <f aca="false">IFERROR(__xludf.dummyfunction("""COMPUTED_VALUE"""),2087519)</f>
        <v>2087519</v>
      </c>
      <c r="D461" s="193" t="str">
        <f aca="false">IFERROR(__xludf.dummyfunction("""COMPUTED_VALUE"""),"UFA - Non-Bird")</f>
        <v>UFA - Non-Bird</v>
      </c>
      <c r="E461" s="272" t="n">
        <f aca="false">IFERROR(__xludf.dummyfunction("""COMPUTED_VALUE"""),2296274)</f>
        <v>2296274</v>
      </c>
      <c r="F461" s="193" t="str">
        <f aca="false">IFERROR(__xludf.dummyfunction("""COMPUTED_VALUE"""),"UFA - Non-Bird")</f>
        <v>UFA - Non-Bird</v>
      </c>
      <c r="G461" s="273"/>
      <c r="H461" s="193"/>
      <c r="I461" s="273"/>
      <c r="J461" s="193"/>
      <c r="K461" s="273"/>
      <c r="L461" s="193"/>
      <c r="M461" s="273"/>
      <c r="N461" s="193"/>
      <c r="O461" s="193" t="n">
        <f aca="false">IFERROR(__xludf.dummyfunction("""COMPUTED_VALUE"""),1)</f>
        <v>1</v>
      </c>
      <c r="P461" s="193"/>
      <c r="Q461" s="193"/>
      <c r="R461" s="193"/>
      <c r="S461" s="193"/>
      <c r="T461" s="193"/>
      <c r="U461" s="193"/>
      <c r="V461" s="193"/>
      <c r="W461" s="193"/>
      <c r="X461" s="193"/>
      <c r="Y461" s="193"/>
      <c r="Z461" s="193"/>
    </row>
    <row r="462" customFormat="false" ht="15.75" hidden="false" customHeight="false" outlineLevel="0" collapsed="false">
      <c r="A462" s="193" t="str">
        <f aca="false">IFERROR(__xludf.dummyfunction("""COMPUTED_VALUE"""),"Oshae Brissett")</f>
        <v>Oshae Brissett</v>
      </c>
      <c r="B462" s="271" t="str">
        <f aca="false">IFERROR(__xludf.dummyfunction("""COMPUTED_VALUE"""),"None")</f>
        <v>None</v>
      </c>
      <c r="C462" s="272" t="n">
        <f aca="false">IFERROR(__xludf.dummyfunction("""COMPUTED_VALUE"""),2087519)</f>
        <v>2087519</v>
      </c>
      <c r="D462" s="193" t="str">
        <f aca="false">IFERROR(__xludf.dummyfunction("""COMPUTED_VALUE"""),"UFA - Non-Bird")</f>
        <v>UFA - Non-Bird</v>
      </c>
      <c r="E462" s="272" t="n">
        <f aca="false">IFERROR(__xludf.dummyfunction("""COMPUTED_VALUE"""),2296274)</f>
        <v>2296274</v>
      </c>
      <c r="F462" s="193" t="str">
        <f aca="false">IFERROR(__xludf.dummyfunction("""COMPUTED_VALUE"""),"UFA - Non-Bird")</f>
        <v>UFA - Non-Bird</v>
      </c>
      <c r="G462" s="273"/>
      <c r="H462" s="193"/>
      <c r="I462" s="273"/>
      <c r="J462" s="193"/>
      <c r="K462" s="273"/>
      <c r="L462" s="193"/>
      <c r="M462" s="273"/>
      <c r="N462" s="193"/>
      <c r="O462" s="193" t="n">
        <f aca="false">IFERROR(__xludf.dummyfunction("""COMPUTED_VALUE"""),1)</f>
        <v>1</v>
      </c>
      <c r="P462" s="193"/>
      <c r="Q462" s="193"/>
      <c r="R462" s="193"/>
      <c r="S462" s="193"/>
      <c r="T462" s="193"/>
      <c r="U462" s="193"/>
      <c r="V462" s="193"/>
      <c r="W462" s="193"/>
      <c r="X462" s="193"/>
      <c r="Y462" s="193"/>
      <c r="Z462" s="193"/>
    </row>
    <row r="463" customFormat="false" ht="15.75" hidden="false" customHeight="false" outlineLevel="0" collapsed="false">
      <c r="A463" s="193" t="str">
        <f aca="false">IFERROR(__xludf.dummyfunction("""COMPUTED_VALUE"""),"Mifondu Kabengele")</f>
        <v>Mifondu Kabengele</v>
      </c>
      <c r="B463" s="271" t="str">
        <f aca="false">IFERROR(__xludf.dummyfunction("""COMPUTED_VALUE"""),"None")</f>
        <v>None</v>
      </c>
      <c r="C463" s="272" t="n">
        <f aca="false">IFERROR(__xludf.dummyfunction("""COMPUTED_VALUE"""),1862265)</f>
        <v>1862265</v>
      </c>
      <c r="D463" s="193" t="str">
        <f aca="false">IFERROR(__xludf.dummyfunction("""COMPUTED_VALUE"""),"UFA - Two-way")</f>
        <v>UFA - Two-way</v>
      </c>
      <c r="E463" s="272" t="n">
        <f aca="false">IFERROR(__xludf.dummyfunction("""COMPUTED_VALUE"""),2048494)</f>
        <v>2048494</v>
      </c>
      <c r="F463" s="193" t="str">
        <f aca="false">IFERROR(__xludf.dummyfunction("""COMPUTED_VALUE"""),"UFA - Two-way")</f>
        <v>UFA - Two-way</v>
      </c>
      <c r="G463" s="273"/>
      <c r="H463" s="193"/>
      <c r="I463" s="273"/>
      <c r="J463" s="193"/>
      <c r="K463" s="273"/>
      <c r="L463" s="193"/>
      <c r="M463" s="273"/>
      <c r="N463" s="193"/>
      <c r="O463" s="193" t="n">
        <f aca="false">IFERROR(__xludf.dummyfunction("""COMPUTED_VALUE"""),1)</f>
        <v>1</v>
      </c>
      <c r="P463" s="193"/>
      <c r="Q463" s="193"/>
      <c r="R463" s="193"/>
      <c r="S463" s="193"/>
      <c r="T463" s="193"/>
      <c r="U463" s="193"/>
      <c r="V463" s="193"/>
      <c r="W463" s="193"/>
      <c r="X463" s="193"/>
      <c r="Y463" s="193"/>
      <c r="Z463" s="193"/>
    </row>
    <row r="464" customFormat="false" ht="15.75" hidden="false" customHeight="false" outlineLevel="0" collapsed="false">
      <c r="A464" s="193" t="str">
        <f aca="false">IFERROR(__xludf.dummyfunction("""COMPUTED_VALUE"""),"Shai Gilgeous-Alexander")</f>
        <v>Shai Gilgeous-Alexander</v>
      </c>
      <c r="B464" s="271" t="str">
        <f aca="false">IFERROR(__xludf.dummyfunction("""COMPUTED_VALUE"""),"Oklahoma City Thunder")</f>
        <v>Oklahoma City Thunder</v>
      </c>
      <c r="C464" s="272" t="n">
        <f aca="false">IFERROR(__xludf.dummyfunction("""COMPUTED_VALUE"""),35859950)</f>
        <v>35859950</v>
      </c>
      <c r="D464" s="193"/>
      <c r="E464" s="272" t="n">
        <f aca="false">IFERROR(__xludf.dummyfunction("""COMPUTED_VALUE"""),38333050)</f>
        <v>38333050</v>
      </c>
      <c r="F464" s="193"/>
      <c r="G464" s="272" t="n">
        <f aca="false">IFERROR(__xludf.dummyfunction("""COMPUTED_VALUE"""),40806150)</f>
        <v>40806150</v>
      </c>
      <c r="H464" s="193"/>
      <c r="I464" s="272" t="n">
        <f aca="false">IFERROR(__xludf.dummyfunction("""COMPUTED_VALUE"""),47345400)</f>
        <v>47345400</v>
      </c>
      <c r="J464" s="193" t="str">
        <f aca="false">IFERROR(__xludf.dummyfunction("""COMPUTED_VALUE"""),"UFA - Bird")</f>
        <v>UFA - Bird</v>
      </c>
      <c r="K464" s="273"/>
      <c r="L464" s="193"/>
      <c r="M464" s="273"/>
      <c r="N464" s="193"/>
      <c r="O464" s="193" t="n">
        <f aca="false">IFERROR(__xludf.dummyfunction("""COMPUTED_VALUE"""),1)</f>
        <v>1</v>
      </c>
      <c r="P464" s="193"/>
      <c r="Q464" s="193"/>
      <c r="R464" s="193"/>
      <c r="S464" s="193"/>
      <c r="T464" s="193"/>
      <c r="U464" s="193"/>
      <c r="V464" s="193"/>
      <c r="W464" s="193"/>
      <c r="X464" s="193"/>
      <c r="Y464" s="193"/>
      <c r="Z464" s="193"/>
    </row>
    <row r="465" customFormat="false" ht="15.75" hidden="false" customHeight="false" outlineLevel="0" collapsed="false">
      <c r="A465" s="193" t="str">
        <f aca="false">IFERROR(__xludf.dummyfunction("""COMPUTED_VALUE"""),"Isaiah Hartenstein")</f>
        <v>Isaiah Hartenstein</v>
      </c>
      <c r="B465" s="271" t="str">
        <f aca="false">IFERROR(__xludf.dummyfunction("""COMPUTED_VALUE"""),"Oklahoma City Thunder")</f>
        <v>Oklahoma City Thunder</v>
      </c>
      <c r="C465" s="272" t="n">
        <f aca="false">IFERROR(__xludf.dummyfunction("""COMPUTED_VALUE"""),30000000)</f>
        <v>30000000</v>
      </c>
      <c r="D465" s="193"/>
      <c r="E465" s="272" t="n">
        <f aca="false">IFERROR(__xludf.dummyfunction("""COMPUTED_VALUE"""),28500000)</f>
        <v>28500000</v>
      </c>
      <c r="F465" s="193"/>
      <c r="G465" s="272" t="n">
        <f aca="false">IFERROR(__xludf.dummyfunction("""COMPUTED_VALUE"""),28500000)</f>
        <v>28500000</v>
      </c>
      <c r="H465" s="193" t="str">
        <f aca="false">IFERROR(__xludf.dummyfunction("""COMPUTED_VALUE"""),"Club Option")</f>
        <v>Club Option</v>
      </c>
      <c r="I465" s="272" t="n">
        <f aca="false">IFERROR(__xludf.dummyfunction("""COMPUTED_VALUE"""),42750000)</f>
        <v>42750000</v>
      </c>
      <c r="J465" s="193" t="str">
        <f aca="false">IFERROR(__xludf.dummyfunction("""COMPUTED_VALUE"""),"UFA - Bird")</f>
        <v>UFA - Bird</v>
      </c>
      <c r="K465" s="273"/>
      <c r="L465" s="193"/>
      <c r="M465" s="273"/>
      <c r="N465" s="193"/>
      <c r="O465" s="193" t="n">
        <f aca="false">IFERROR(__xludf.dummyfunction("""COMPUTED_VALUE"""),1)</f>
        <v>1</v>
      </c>
      <c r="P465" s="193"/>
      <c r="Q465" s="193"/>
      <c r="R465" s="193"/>
      <c r="S465" s="193"/>
      <c r="T465" s="193"/>
      <c r="U465" s="193"/>
      <c r="V465" s="193"/>
      <c r="W465" s="193"/>
      <c r="X465" s="193"/>
      <c r="Y465" s="193"/>
      <c r="Z465" s="193"/>
    </row>
    <row r="466" customFormat="false" ht="15.75" hidden="false" customHeight="false" outlineLevel="0" collapsed="false">
      <c r="A466" s="193" t="str">
        <f aca="false">IFERROR(__xludf.dummyfunction("""COMPUTED_VALUE"""),"Nicolas Claxton")</f>
        <v>Nicolas Claxton</v>
      </c>
      <c r="B466" s="271" t="str">
        <f aca="false">IFERROR(__xludf.dummyfunction("""COMPUTED_VALUE"""),"Oklahoma City Thunder")</f>
        <v>Oklahoma City Thunder</v>
      </c>
      <c r="C466" s="272" t="n">
        <f aca="false">IFERROR(__xludf.dummyfunction("""COMPUTED_VALUE"""),27556817)</f>
        <v>27556817</v>
      </c>
      <c r="D466" s="193"/>
      <c r="E466" s="272" t="n">
        <f aca="false">IFERROR(__xludf.dummyfunction("""COMPUTED_VALUE"""),25352272)</f>
        <v>25352272</v>
      </c>
      <c r="F466" s="193"/>
      <c r="G466" s="272" t="n">
        <f aca="false">IFERROR(__xludf.dummyfunction("""COMPUTED_VALUE"""),23147727)</f>
        <v>23147727</v>
      </c>
      <c r="H466" s="193"/>
      <c r="I466" s="272" t="n">
        <f aca="false">IFERROR(__xludf.dummyfunction("""COMPUTED_VALUE"""),20943184)</f>
        <v>20943184</v>
      </c>
      <c r="J466" s="193"/>
      <c r="K466" s="272" t="n">
        <f aca="false">IFERROR(__xludf.dummyfunction("""COMPUTED_VALUE"""),32386380)</f>
        <v>32386380</v>
      </c>
      <c r="L466" s="193" t="str">
        <f aca="false">IFERROR(__xludf.dummyfunction("""COMPUTED_VALUE"""),"UFA - Bird")</f>
        <v>UFA - Bird</v>
      </c>
      <c r="M466" s="273"/>
      <c r="N466" s="193"/>
      <c r="O466" s="193" t="n">
        <f aca="false">IFERROR(__xludf.dummyfunction("""COMPUTED_VALUE"""),1)</f>
        <v>1</v>
      </c>
      <c r="P466" s="193"/>
      <c r="Q466" s="193"/>
      <c r="R466" s="193"/>
      <c r="S466" s="193"/>
      <c r="T466" s="193"/>
      <c r="U466" s="193"/>
      <c r="V466" s="193"/>
      <c r="W466" s="193"/>
      <c r="X466" s="193"/>
      <c r="Y466" s="193"/>
      <c r="Z466" s="193"/>
    </row>
    <row r="467" customFormat="false" ht="15.75" hidden="false" customHeight="false" outlineLevel="0" collapsed="false">
      <c r="A467" s="193" t="str">
        <f aca="false">IFERROR(__xludf.dummyfunction("""COMPUTED_VALUE"""),"Alex Caruso")</f>
        <v>Alex Caruso</v>
      </c>
      <c r="B467" s="271" t="str">
        <f aca="false">IFERROR(__xludf.dummyfunction("""COMPUTED_VALUE"""),"Oklahoma City Thunder")</f>
        <v>Oklahoma City Thunder</v>
      </c>
      <c r="C467" s="272" t="n">
        <f aca="false">IFERROR(__xludf.dummyfunction("""COMPUTED_VALUE"""),9890000)</f>
        <v>9890000</v>
      </c>
      <c r="D467" s="193"/>
      <c r="E467" s="272" t="n">
        <f aca="false">IFERROR(__xludf.dummyfunction("""COMPUTED_VALUE"""),18102000)</f>
        <v>18102000</v>
      </c>
      <c r="F467" s="193"/>
      <c r="G467" s="272" t="n">
        <f aca="false">IFERROR(__xludf.dummyfunction("""COMPUTED_VALUE"""),19550160)</f>
        <v>19550160</v>
      </c>
      <c r="H467" s="193"/>
      <c r="I467" s="272" t="n">
        <f aca="false">IFERROR(__xludf.dummyfunction("""COMPUTED_VALUE"""),20998320)</f>
        <v>20998320</v>
      </c>
      <c r="J467" s="193"/>
      <c r="K467" s="272" t="n">
        <f aca="false">IFERROR(__xludf.dummyfunction("""COMPUTED_VALUE"""),22446480)</f>
        <v>22446480</v>
      </c>
      <c r="L467" s="193"/>
      <c r="M467" s="272" t="n">
        <f aca="false">IFERROR(__xludf.dummyfunction("""COMPUTED_VALUE"""),33669720)</f>
        <v>33669720</v>
      </c>
      <c r="N467" s="193" t="str">
        <f aca="false">IFERROR(__xludf.dummyfunction("""COMPUTED_VALUE"""),"UFA - Bird")</f>
        <v>UFA - Bird</v>
      </c>
      <c r="O467" s="193" t="n">
        <f aca="false">IFERROR(__xludf.dummyfunction("""COMPUTED_VALUE"""),1)</f>
        <v>1</v>
      </c>
      <c r="P467" s="193"/>
      <c r="Q467" s="193"/>
      <c r="R467" s="193"/>
      <c r="S467" s="193"/>
      <c r="T467" s="193"/>
      <c r="U467" s="193"/>
      <c r="V467" s="193"/>
      <c r="W467" s="193"/>
      <c r="X467" s="193"/>
      <c r="Y467" s="193"/>
      <c r="Z467" s="193"/>
    </row>
    <row r="468" customFormat="false" ht="15.75" hidden="false" customHeight="false" outlineLevel="0" collapsed="false">
      <c r="A468" s="193" t="str">
        <f aca="false">IFERROR(__xludf.dummyfunction("""COMPUTED_VALUE"""),"Luguentz Dort")</f>
        <v>Luguentz Dort</v>
      </c>
      <c r="B468" s="271" t="str">
        <f aca="false">IFERROR(__xludf.dummyfunction("""COMPUTED_VALUE"""),"Oklahoma City Thunder")</f>
        <v>Oklahoma City Thunder</v>
      </c>
      <c r="C468" s="272" t="n">
        <f aca="false">IFERROR(__xludf.dummyfunction("""COMPUTED_VALUE"""),16500000)</f>
        <v>16500000</v>
      </c>
      <c r="D468" s="193"/>
      <c r="E468" s="272" t="n">
        <f aca="false">IFERROR(__xludf.dummyfunction("""COMPUTED_VALUE"""),17722222)</f>
        <v>17722222</v>
      </c>
      <c r="F468" s="193"/>
      <c r="G468" s="272" t="n">
        <f aca="false">IFERROR(__xludf.dummyfunction("""COMPUTED_VALUE"""),17722222)</f>
        <v>17722222</v>
      </c>
      <c r="H468" s="193" t="str">
        <f aca="false">IFERROR(__xludf.dummyfunction("""COMPUTED_VALUE"""),"Club Option")</f>
        <v>Club Option</v>
      </c>
      <c r="I468" s="272" t="n">
        <f aca="false">IFERROR(__xludf.dummyfunction("""COMPUTED_VALUE"""),26583333)</f>
        <v>26583333</v>
      </c>
      <c r="J468" s="193" t="str">
        <f aca="false">IFERROR(__xludf.dummyfunction("""COMPUTED_VALUE"""),"UFA - Bird")</f>
        <v>UFA - Bird</v>
      </c>
      <c r="K468" s="273"/>
      <c r="L468" s="193"/>
      <c r="M468" s="273"/>
      <c r="N468" s="193"/>
      <c r="O468" s="193" t="n">
        <f aca="false">IFERROR(__xludf.dummyfunction("""COMPUTED_VALUE"""),1)</f>
        <v>1</v>
      </c>
      <c r="P468" s="193"/>
      <c r="Q468" s="193"/>
      <c r="R468" s="193"/>
      <c r="S468" s="193"/>
      <c r="T468" s="193"/>
      <c r="U468" s="193"/>
      <c r="V468" s="193"/>
      <c r="W468" s="193"/>
      <c r="X468" s="193"/>
      <c r="Y468" s="193"/>
      <c r="Z468" s="193"/>
    </row>
    <row r="469" customFormat="false" ht="15.75" hidden="false" customHeight="false" outlineLevel="0" collapsed="false">
      <c r="A469" s="193" t="str">
        <f aca="false">IFERROR(__xludf.dummyfunction("""COMPUTED_VALUE"""),"Herb Jones")</f>
        <v>Herb Jones</v>
      </c>
      <c r="B469" s="271" t="str">
        <f aca="false">IFERROR(__xludf.dummyfunction("""COMPUTED_VALUE"""),"Oklahoma City Thunder")</f>
        <v>Oklahoma City Thunder</v>
      </c>
      <c r="C469" s="272" t="n">
        <f aca="false">IFERROR(__xludf.dummyfunction("""COMPUTED_VALUE"""),12976362)</f>
        <v>12976362</v>
      </c>
      <c r="D469" s="193"/>
      <c r="E469" s="272" t="n">
        <f aca="false">IFERROR(__xludf.dummyfunction("""COMPUTED_VALUE"""),13937574)</f>
        <v>13937574</v>
      </c>
      <c r="F469" s="193"/>
      <c r="G469" s="272" t="n">
        <f aca="false">IFERROR(__xludf.dummyfunction("""COMPUTED_VALUE"""),14898786)</f>
        <v>14898786</v>
      </c>
      <c r="H469" s="193"/>
      <c r="I469" s="272" t="n">
        <f aca="false">IFERROR(__xludf.dummyfunction("""COMPUTED_VALUE"""),22378179)</f>
        <v>22378179</v>
      </c>
      <c r="J469" s="271" t="str">
        <f aca="false">IFERROR(__xludf.dummyfunction("""COMPUTED_VALUE"""),"UFA - Bird")</f>
        <v>UFA - Bird</v>
      </c>
      <c r="K469" s="273"/>
      <c r="L469" s="193"/>
      <c r="M469" s="273"/>
      <c r="N469" s="193"/>
      <c r="O469" s="193" t="n">
        <f aca="false">IFERROR(__xludf.dummyfunction("""COMPUTED_VALUE"""),1)</f>
        <v>1</v>
      </c>
      <c r="P469" s="193"/>
      <c r="Q469" s="193"/>
      <c r="R469" s="193"/>
      <c r="S469" s="193"/>
      <c r="T469" s="193"/>
      <c r="U469" s="193"/>
      <c r="V469" s="193"/>
      <c r="W469" s="193"/>
      <c r="X469" s="193"/>
      <c r="Y469" s="193"/>
      <c r="Z469" s="193"/>
    </row>
    <row r="470" customFormat="false" ht="15.75" hidden="false" customHeight="false" outlineLevel="0" collapsed="false">
      <c r="A470" s="193" t="str">
        <f aca="false">IFERROR(__xludf.dummyfunction("""COMPUTED_VALUE"""),"Chet Holmgren")</f>
        <v>Chet Holmgren</v>
      </c>
      <c r="B470" s="271" t="str">
        <f aca="false">IFERROR(__xludf.dummyfunction("""COMPUTED_VALUE"""),"Oklahoma City Thunder")</f>
        <v>Oklahoma City Thunder</v>
      </c>
      <c r="C470" s="272" t="n">
        <f aca="false">IFERROR(__xludf.dummyfunction("""COMPUTED_VALUE"""),10880640)</f>
        <v>10880640</v>
      </c>
      <c r="D470" s="193"/>
      <c r="E470" s="272" t="n">
        <f aca="false">IFERROR(__xludf.dummyfunction("""COMPUTED_VALUE"""),13731368)</f>
        <v>13731368</v>
      </c>
      <c r="F470" s="193"/>
      <c r="G470" s="272" t="n">
        <f aca="false">IFERROR(__xludf.dummyfunction("""COMPUTED_VALUE"""),34328420)</f>
        <v>34328420</v>
      </c>
      <c r="H470" s="271" t="str">
        <f aca="false">IFERROR(__xludf.dummyfunction("""COMPUTED_VALUE"""),"RFA - Bird")</f>
        <v>RFA - Bird</v>
      </c>
      <c r="I470" s="272" t="str">
        <f aca="false">IFERROR(__xludf.dummyfunction("""COMPUTED_VALUE"""),"")</f>
        <v/>
      </c>
      <c r="J470" s="193"/>
      <c r="K470" s="273"/>
      <c r="L470" s="193"/>
      <c r="M470" s="273"/>
      <c r="N470" s="193"/>
      <c r="O470" s="193" t="n">
        <f aca="false">IFERROR(__xludf.dummyfunction("""COMPUTED_VALUE"""),1)</f>
        <v>1</v>
      </c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</row>
    <row r="471" customFormat="false" ht="15.75" hidden="false" customHeight="false" outlineLevel="0" collapsed="false">
      <c r="A471" s="193" t="str">
        <f aca="false">IFERROR(__xludf.dummyfunction("""COMPUTED_VALUE"""),"Tyus Jones")</f>
        <v>Tyus Jones</v>
      </c>
      <c r="B471" s="271" t="str">
        <f aca="false">IFERROR(__xludf.dummyfunction("""COMPUTED_VALUE"""),"Oklahoma City Thunder")</f>
        <v>Oklahoma City Thunder</v>
      </c>
      <c r="C471" s="272" t="n">
        <f aca="false">IFERROR(__xludf.dummyfunction("""COMPUTED_VALUE"""),2087519)</f>
        <v>2087519</v>
      </c>
      <c r="D471" s="193"/>
      <c r="E471" s="272" t="n">
        <f aca="false">IFERROR(__xludf.dummyfunction("""COMPUTED_VALUE"""),10000000)</f>
        <v>10000000</v>
      </c>
      <c r="F471" s="193"/>
      <c r="G471" s="272" t="n">
        <f aca="false">IFERROR(__xludf.dummyfunction("""COMPUTED_VALUE"""),10500000)</f>
        <v>10500000</v>
      </c>
      <c r="H471" s="193"/>
      <c r="I471" s="272" t="n">
        <f aca="false">IFERROR(__xludf.dummyfunction("""COMPUTED_VALUE"""),11000000)</f>
        <v>11000000</v>
      </c>
      <c r="J471" s="271" t="str">
        <f aca="false">IFERROR(__xludf.dummyfunction("""COMPUTED_VALUE"""),"Player Option")</f>
        <v>Player Option</v>
      </c>
      <c r="K471" s="272" t="n">
        <f aca="false">IFERROR(__xludf.dummyfunction("""COMPUTED_VALUE"""),20900000)</f>
        <v>20900000</v>
      </c>
      <c r="L471" s="271" t="str">
        <f aca="false">IFERROR(__xludf.dummyfunction("""COMPUTED_VALUE"""),"UFA - Bird")</f>
        <v>UFA - Bird</v>
      </c>
      <c r="M471" s="273"/>
      <c r="N471" s="193"/>
      <c r="O471" s="193" t="n">
        <f aca="false">IFERROR(__xludf.dummyfunction("""COMPUTED_VALUE"""),1)</f>
        <v>1</v>
      </c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</row>
    <row r="472" customFormat="false" ht="15.75" hidden="false" customHeight="false" outlineLevel="0" collapsed="false">
      <c r="A472" s="193" t="str">
        <f aca="false">IFERROR(__xludf.dummyfunction("""COMPUTED_VALUE"""),"Ousmane Dieng")</f>
        <v>Ousmane Dieng</v>
      </c>
      <c r="B472" s="271" t="str">
        <f aca="false">IFERROR(__xludf.dummyfunction("""COMPUTED_VALUE"""),"Oklahoma City Thunder")</f>
        <v>Oklahoma City Thunder</v>
      </c>
      <c r="C472" s="272" t="n">
        <f aca="false">IFERROR(__xludf.dummyfunction("""COMPUTED_VALUE"""),5027040)</f>
        <v>5027040</v>
      </c>
      <c r="D472" s="193"/>
      <c r="E472" s="272" t="n">
        <f aca="false">IFERROR(__xludf.dummyfunction("""COMPUTED_VALUE"""),6670882)</f>
        <v>6670882</v>
      </c>
      <c r="F472" s="193"/>
      <c r="G472" s="272" t="n">
        <f aca="false">IFERROR(__xludf.dummyfunction("""COMPUTED_VALUE"""),9132437)</f>
        <v>9132437</v>
      </c>
      <c r="H472" s="271" t="str">
        <f aca="false">IFERROR(__xludf.dummyfunction("""COMPUTED_VALUE"""),"RFA - Bird")</f>
        <v>RFA - Bird</v>
      </c>
      <c r="I472" s="272" t="str">
        <f aca="false">IFERROR(__xludf.dummyfunction("""COMPUTED_VALUE"""),"")</f>
        <v/>
      </c>
      <c r="J472" s="193"/>
      <c r="K472" s="273"/>
      <c r="L472" s="193"/>
      <c r="M472" s="273"/>
      <c r="N472" s="193"/>
      <c r="O472" s="193" t="n">
        <f aca="false">IFERROR(__xludf.dummyfunction("""COMPUTED_VALUE"""),1)</f>
        <v>1</v>
      </c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</row>
    <row r="473" customFormat="false" ht="15.75" hidden="false" customHeight="false" outlineLevel="0" collapsed="false">
      <c r="A473" s="193" t="str">
        <f aca="false">IFERROR(__xludf.dummyfunction("""COMPUTED_VALUE"""),"Jalen Williams")</f>
        <v>Jalen Williams</v>
      </c>
      <c r="B473" s="271" t="str">
        <f aca="false">IFERROR(__xludf.dummyfunction("""COMPUTED_VALUE"""),"Oklahoma City Thunder")</f>
        <v>Oklahoma City Thunder</v>
      </c>
      <c r="C473" s="272" t="n">
        <f aca="false">IFERROR(__xludf.dummyfunction("""COMPUTED_VALUE"""),4775760)</f>
        <v>4775760</v>
      </c>
      <c r="D473" s="193"/>
      <c r="E473" s="272" t="n">
        <f aca="false">IFERROR(__xludf.dummyfunction("""COMPUTED_VALUE"""),6580997)</f>
        <v>6580997</v>
      </c>
      <c r="F473" s="193"/>
      <c r="G473" s="272" t="n">
        <f aca="false">IFERROR(__xludf.dummyfunction("""COMPUTED_VALUE"""),19742991)</f>
        <v>19742991</v>
      </c>
      <c r="H473" s="271" t="str">
        <f aca="false">IFERROR(__xludf.dummyfunction("""COMPUTED_VALUE"""),"RFA - Bird")</f>
        <v>RFA - Bird</v>
      </c>
      <c r="I473" s="272" t="str">
        <f aca="false">IFERROR(__xludf.dummyfunction("""COMPUTED_VALUE"""),"")</f>
        <v/>
      </c>
      <c r="J473" s="193"/>
      <c r="K473" s="273"/>
      <c r="L473" s="193"/>
      <c r="M473" s="273"/>
      <c r="N473" s="193"/>
      <c r="O473" s="193" t="n">
        <f aca="false">IFERROR(__xludf.dummyfunction("""COMPUTED_VALUE"""),1)</f>
        <v>1</v>
      </c>
      <c r="P473" s="193"/>
      <c r="Q473" s="193"/>
      <c r="R473" s="193"/>
      <c r="S473" s="193"/>
      <c r="T473" s="193"/>
      <c r="U473" s="193"/>
      <c r="V473" s="193"/>
      <c r="W473" s="193"/>
      <c r="X473" s="193"/>
      <c r="Y473" s="193"/>
      <c r="Z473" s="193"/>
    </row>
    <row r="474" customFormat="false" ht="15.75" hidden="false" customHeight="false" outlineLevel="0" collapsed="false">
      <c r="A474" s="193" t="str">
        <f aca="false">IFERROR(__xludf.dummyfunction("""COMPUTED_VALUE"""),"Liam McNeeley (R)")</f>
        <v>Liam McNeeley (R)</v>
      </c>
      <c r="B474" s="271" t="str">
        <f aca="false">IFERROR(__xludf.dummyfunction("""COMPUTED_VALUE"""),"Oklahoma City Thunder")</f>
        <v>Oklahoma City Thunder</v>
      </c>
      <c r="C474" s="273"/>
      <c r="D474" s="193"/>
      <c r="E474" s="272" t="n">
        <f aca="false">IFERROR(__xludf.dummyfunction("""COMPUTED_VALUE"""),3372240)</f>
        <v>3372240</v>
      </c>
      <c r="F474" s="193"/>
      <c r="G474" s="272" t="n">
        <f aca="false">IFERROR(__xludf.dummyfunction("""COMPUTED_VALUE"""),3540600)</f>
        <v>3540600</v>
      </c>
      <c r="H474" s="193"/>
      <c r="I474" s="272" t="n">
        <f aca="false">IFERROR(__xludf.dummyfunction("""COMPUTED_VALUE"""),3709320)</f>
        <v>3709320</v>
      </c>
      <c r="J474" s="271" t="str">
        <f aca="false">IFERROR(__xludf.dummyfunction("""COMPUTED_VALUE"""),"Club Option")</f>
        <v>Club Option</v>
      </c>
      <c r="K474" s="272" t="n">
        <f aca="false">IFERROR(__xludf.dummyfunction("""COMPUTED_VALUE"""),6101831.4)</f>
        <v>6101831.4</v>
      </c>
      <c r="L474" s="271" t="str">
        <f aca="false">IFERROR(__xludf.dummyfunction("""COMPUTED_VALUE"""),"Club Option")</f>
        <v>Club Option</v>
      </c>
      <c r="M474" s="272" t="n">
        <f aca="false">IFERROR(__xludf.dummyfunction("""COMPUTED_VALUE"""),18305494.2)</f>
        <v>18305494.2</v>
      </c>
      <c r="N474" s="271" t="str">
        <f aca="false">IFERROR(__xludf.dummyfunction("""COMPUTED_VALUE"""),"RFA - Bird")</f>
        <v>RFA - Bird</v>
      </c>
      <c r="O474" s="193" t="n">
        <f aca="false">IFERROR(__xludf.dummyfunction("""COMPUTED_VALUE"""),1)</f>
        <v>1</v>
      </c>
      <c r="P474" s="193"/>
      <c r="Q474" s="193"/>
      <c r="R474" s="193"/>
      <c r="S474" s="193"/>
      <c r="T474" s="193"/>
      <c r="U474" s="193"/>
      <c r="V474" s="193"/>
      <c r="W474" s="193"/>
      <c r="X474" s="193"/>
      <c r="Y474" s="193"/>
      <c r="Z474" s="193"/>
    </row>
    <row r="475" customFormat="false" ht="15.75" hidden="false" customHeight="false" outlineLevel="0" collapsed="false">
      <c r="A475" s="193" t="str">
        <f aca="false">IFERROR(__xludf.dummyfunction("""COMPUTED_VALUE"""),"Ajay Mitchell")</f>
        <v>Ajay Mitchell</v>
      </c>
      <c r="B475" s="271" t="str">
        <f aca="false">IFERROR(__xludf.dummyfunction("""COMPUTED_VALUE"""),"Oklahoma City Thunder")</f>
        <v>Oklahoma City Thunder</v>
      </c>
      <c r="C475" s="272" t="n">
        <f aca="false">IFERROR(__xludf.dummyfunction("""COMPUTED_VALUE"""),3000000)</f>
        <v>3000000</v>
      </c>
      <c r="D475" s="193"/>
      <c r="E475" s="272" t="n">
        <f aca="false">IFERROR(__xludf.dummyfunction("""COMPUTED_VALUE"""),3000000)</f>
        <v>3000000</v>
      </c>
      <c r="F475" s="193"/>
      <c r="G475" s="272" t="n">
        <f aca="false">IFERROR(__xludf.dummyfunction("""COMPUTED_VALUE"""),4148780)</f>
        <v>4148780</v>
      </c>
      <c r="H475" s="193" t="str">
        <f aca="false">IFERROR(__xludf.dummyfunction("""COMPUTED_VALUE"""),"RFA - Early Bird")</f>
        <v>RFA - Early Bird</v>
      </c>
      <c r="I475" s="272" t="str">
        <f aca="false">IFERROR(__xludf.dummyfunction("""COMPUTED_VALUE"""),"")</f>
        <v/>
      </c>
      <c r="J475" s="193"/>
      <c r="K475" s="273"/>
      <c r="L475" s="193"/>
      <c r="M475" s="273"/>
      <c r="N475" s="193"/>
      <c r="O475" s="193" t="n">
        <f aca="false">IFERROR(__xludf.dummyfunction("""COMPUTED_VALUE"""),1)</f>
        <v>1</v>
      </c>
      <c r="P475" s="193"/>
      <c r="Q475" s="193"/>
      <c r="R475" s="193"/>
      <c r="S475" s="193"/>
      <c r="T475" s="193"/>
      <c r="U475" s="193"/>
      <c r="V475" s="193"/>
      <c r="W475" s="193"/>
      <c r="X475" s="193"/>
      <c r="Y475" s="193"/>
      <c r="Z475" s="193"/>
    </row>
    <row r="476" customFormat="false" ht="15.75" hidden="false" customHeight="false" outlineLevel="0" collapsed="false">
      <c r="A476" s="193" t="str">
        <f aca="false">IFERROR(__xludf.dummyfunction("""COMPUTED_VALUE"""),"Johnny Juzang")</f>
        <v>Johnny Juzang</v>
      </c>
      <c r="B476" s="271" t="str">
        <f aca="false">IFERROR(__xludf.dummyfunction("""COMPUTED_VALUE"""),"Oklahoma City Thunder")</f>
        <v>Oklahoma City Thunder</v>
      </c>
      <c r="C476" s="272" t="n">
        <f aca="false">IFERROR(__xludf.dummyfunction("""COMPUTED_VALUE"""),3087519)</f>
        <v>3087519</v>
      </c>
      <c r="D476" s="193"/>
      <c r="E476" s="272" t="n">
        <f aca="false">IFERROR(__xludf.dummyfunction("""COMPUTED_VALUE"""),2840518)</f>
        <v>2840518</v>
      </c>
      <c r="F476" s="193"/>
      <c r="G476" s="272" t="n">
        <f aca="false">IFERROR(__xludf.dummyfunction("""COMPUTED_VALUE"""),2708000)</f>
        <v>2708000</v>
      </c>
      <c r="H476" s="271" t="str">
        <f aca="false">IFERROR(__xludf.dummyfunction("""COMPUTED_VALUE"""),"Non Guaranteed")</f>
        <v>Non Guaranteed</v>
      </c>
      <c r="I476" s="272" t="n">
        <f aca="false">IFERROR(__xludf.dummyfunction("""COMPUTED_VALUE"""),2789215)</f>
        <v>2789215</v>
      </c>
      <c r="J476" s="271" t="str">
        <f aca="false">IFERROR(__xludf.dummyfunction("""COMPUTED_VALUE"""),"Non Guaranteed")</f>
        <v>Non Guaranteed</v>
      </c>
      <c r="K476" s="272" t="n">
        <f aca="false">IFERROR(__xludf.dummyfunction("""COMPUTED_VALUE"""),5299509)</f>
        <v>5299509</v>
      </c>
      <c r="L476" s="271" t="str">
        <f aca="false">IFERROR(__xludf.dummyfunction("""COMPUTED_VALUE"""),"UFA - Bird")</f>
        <v>UFA - Bird</v>
      </c>
      <c r="M476" s="273"/>
      <c r="N476" s="193"/>
      <c r="O476" s="193" t="n">
        <f aca="false">IFERROR(__xludf.dummyfunction("""COMPUTED_VALUE"""),1)</f>
        <v>1</v>
      </c>
      <c r="P476" s="193"/>
      <c r="Q476" s="193"/>
      <c r="R476" s="193"/>
      <c r="S476" s="193"/>
      <c r="T476" s="193"/>
      <c r="U476" s="193"/>
      <c r="V476" s="193"/>
      <c r="W476" s="193"/>
      <c r="X476" s="193"/>
      <c r="Y476" s="193"/>
      <c r="Z476" s="193"/>
    </row>
    <row r="477" customFormat="false" ht="15.75" hidden="false" customHeight="false" outlineLevel="0" collapsed="false">
      <c r="A477" s="193" t="str">
        <f aca="false">IFERROR(__xludf.dummyfunction("""COMPUTED_VALUE"""),"Jaylin Williams")</f>
        <v>Jaylin Williams</v>
      </c>
      <c r="B477" s="271" t="str">
        <f aca="false">IFERROR(__xludf.dummyfunction("""COMPUTED_VALUE"""),"Oklahoma City Thunder")</f>
        <v>Oklahoma City Thunder</v>
      </c>
      <c r="C477" s="272" t="n">
        <f aca="false">IFERROR(__xludf.dummyfunction("""COMPUTED_VALUE"""),2019699)</f>
        <v>2019699</v>
      </c>
      <c r="D477" s="193"/>
      <c r="E477" s="272" t="n">
        <f aca="false">IFERROR(__xludf.dummyfunction("""COMPUTED_VALUE"""),2187699)</f>
        <v>2187699</v>
      </c>
      <c r="F477" s="193"/>
      <c r="G477" s="272" t="n">
        <f aca="false">IFERROR(__xludf.dummyfunction("""COMPUTED_VALUE"""),4156628)</f>
        <v>4156628</v>
      </c>
      <c r="H477" s="193" t="str">
        <f aca="false">IFERROR(__xludf.dummyfunction("""COMPUTED_VALUE"""),"UFA - Bird")</f>
        <v>UFA - Bird</v>
      </c>
      <c r="I477" s="272" t="str">
        <f aca="false">IFERROR(__xludf.dummyfunction("""COMPUTED_VALUE"""),"")</f>
        <v/>
      </c>
      <c r="J477" s="193"/>
      <c r="K477" s="273"/>
      <c r="L477" s="193"/>
      <c r="M477" s="273"/>
      <c r="N477" s="193"/>
      <c r="O477" s="193" t="n">
        <f aca="false">IFERROR(__xludf.dummyfunction("""COMPUTED_VALUE"""),1)</f>
        <v>1</v>
      </c>
      <c r="P477" s="193"/>
      <c r="Q477" s="193"/>
      <c r="R477" s="193"/>
      <c r="S477" s="193"/>
      <c r="T477" s="193"/>
      <c r="U477" s="193"/>
      <c r="V477" s="193"/>
      <c r="W477" s="193"/>
      <c r="X477" s="193"/>
      <c r="Y477" s="193"/>
      <c r="Z477" s="193"/>
    </row>
    <row r="478" customFormat="false" ht="15.75" hidden="false" customHeight="false" outlineLevel="0" collapsed="false">
      <c r="A478" s="193" t="str">
        <f aca="false">IFERROR(__xludf.dummyfunction("""COMPUTED_VALUE"""),"Adam Flagler")</f>
        <v>Adam Flagler</v>
      </c>
      <c r="B478" s="271" t="str">
        <f aca="false">IFERROR(__xludf.dummyfunction("""COMPUTED_VALUE"""),"Oklahoma City Thunder")</f>
        <v>Oklahoma City Thunder</v>
      </c>
      <c r="C478" s="272" t="str">
        <f aca="false">IFERROR(__xludf.dummyfunction("""COMPUTED_VALUE"""),"Two-way")</f>
        <v>Two-way</v>
      </c>
      <c r="D478" s="271" t="str">
        <f aca="false">IFERROR(__xludf.dummyfunction("""COMPUTED_VALUE"""),"Two-way")</f>
        <v>Two-way</v>
      </c>
      <c r="E478" s="272" t="n">
        <f aca="false">IFERROR(__xludf.dummyfunction("""COMPUTED_VALUE"""),2048491)</f>
        <v>2048491</v>
      </c>
      <c r="F478" s="271" t="str">
        <f aca="false">IFERROR(__xludf.dummyfunction("""COMPUTED_VALUE"""),"UFA - Two-way")</f>
        <v>UFA - Two-way</v>
      </c>
      <c r="G478" s="273"/>
      <c r="H478" s="193"/>
      <c r="I478" s="273"/>
      <c r="J478" s="193"/>
      <c r="K478" s="273"/>
      <c r="L478" s="193"/>
      <c r="M478" s="273"/>
      <c r="N478" s="193"/>
      <c r="O478" s="193" t="n">
        <f aca="false">IFERROR(__xludf.dummyfunction("""COMPUTED_VALUE"""),1)</f>
        <v>1</v>
      </c>
      <c r="P478" s="193"/>
      <c r="Q478" s="193"/>
      <c r="R478" s="193"/>
      <c r="S478" s="193"/>
      <c r="T478" s="193"/>
      <c r="U478" s="193"/>
      <c r="V478" s="193"/>
      <c r="W478" s="193"/>
      <c r="X478" s="193"/>
      <c r="Y478" s="193"/>
      <c r="Z478" s="193"/>
    </row>
    <row r="479" customFormat="false" ht="15.75" hidden="false" customHeight="false" outlineLevel="0" collapsed="false">
      <c r="A479" s="193" t="str">
        <f aca="false">IFERROR(__xludf.dummyfunction("""COMPUTED_VALUE"""),"Alex Ducas")</f>
        <v>Alex Ducas</v>
      </c>
      <c r="B479" s="271" t="str">
        <f aca="false">IFERROR(__xludf.dummyfunction("""COMPUTED_VALUE"""),"Oklahoma City Thunder")</f>
        <v>Oklahoma City Thunder</v>
      </c>
      <c r="C479" s="272" t="str">
        <f aca="false">IFERROR(__xludf.dummyfunction("""COMPUTED_VALUE"""),"Two-way")</f>
        <v>Two-way</v>
      </c>
      <c r="D479" s="271" t="str">
        <f aca="false">IFERROR(__xludf.dummyfunction("""COMPUTED_VALUE"""),"Two-way")</f>
        <v>Two-way</v>
      </c>
      <c r="E479" s="272" t="n">
        <f aca="false">IFERROR(__xludf.dummyfunction("""COMPUTED_VALUE"""),2048491)</f>
        <v>2048491</v>
      </c>
      <c r="F479" s="271" t="str">
        <f aca="false">IFERROR(__xludf.dummyfunction("""COMPUTED_VALUE"""),"UFA - Two-way")</f>
        <v>UFA - Two-way</v>
      </c>
      <c r="G479" s="273"/>
      <c r="H479" s="193"/>
      <c r="I479" s="273"/>
      <c r="J479" s="193"/>
      <c r="K479" s="273"/>
      <c r="L479" s="193"/>
      <c r="M479" s="273"/>
      <c r="N479" s="193"/>
      <c r="O479" s="193" t="n">
        <f aca="false">IFERROR(__xludf.dummyfunction("""COMPUTED_VALUE"""),1)</f>
        <v>1</v>
      </c>
      <c r="P479" s="193"/>
      <c r="Q479" s="193"/>
      <c r="R479" s="193"/>
      <c r="S479" s="193"/>
      <c r="T479" s="193"/>
      <c r="U479" s="193"/>
      <c r="V479" s="193"/>
      <c r="W479" s="193"/>
      <c r="X479" s="193"/>
      <c r="Y479" s="193"/>
      <c r="Z479" s="193"/>
    </row>
    <row r="480" customFormat="false" ht="15.75" hidden="false" customHeight="false" outlineLevel="0" collapsed="false">
      <c r="A480" s="193" t="str">
        <f aca="false">IFERROR(__xludf.dummyfunction("""COMPUTED_VALUE"""),"Branden Carlson")</f>
        <v>Branden Carlson</v>
      </c>
      <c r="B480" s="271" t="str">
        <f aca="false">IFERROR(__xludf.dummyfunction("""COMPUTED_VALUE"""),"Oklahoma City Thunder")</f>
        <v>Oklahoma City Thunder</v>
      </c>
      <c r="C480" s="272" t="str">
        <f aca="false">IFERROR(__xludf.dummyfunction("""COMPUTED_VALUE"""),"Two-way")</f>
        <v>Two-way</v>
      </c>
      <c r="D480" s="271" t="str">
        <f aca="false">IFERROR(__xludf.dummyfunction("""COMPUTED_VALUE"""),"Two-way")</f>
        <v>Two-way</v>
      </c>
      <c r="E480" s="272" t="n">
        <f aca="false">IFERROR(__xludf.dummyfunction("""COMPUTED_VALUE"""),2048491)</f>
        <v>2048491</v>
      </c>
      <c r="F480" s="271" t="str">
        <f aca="false">IFERROR(__xludf.dummyfunction("""COMPUTED_VALUE"""),"UFA - Two-way")</f>
        <v>UFA - Two-way</v>
      </c>
      <c r="G480" s="273"/>
      <c r="H480" s="193"/>
      <c r="I480" s="273"/>
      <c r="J480" s="193"/>
      <c r="K480" s="273"/>
      <c r="L480" s="193"/>
      <c r="M480" s="273"/>
      <c r="N480" s="193"/>
      <c r="O480" s="193" t="n">
        <f aca="false">IFERROR(__xludf.dummyfunction("""COMPUTED_VALUE"""),1)</f>
        <v>1</v>
      </c>
      <c r="P480" s="193"/>
      <c r="Q480" s="193"/>
      <c r="R480" s="193"/>
      <c r="S480" s="193"/>
      <c r="T480" s="193"/>
      <c r="U480" s="193"/>
      <c r="V480" s="193"/>
      <c r="W480" s="193"/>
      <c r="X480" s="193"/>
      <c r="Y480" s="193"/>
      <c r="Z480" s="193"/>
    </row>
    <row r="481" customFormat="false" ht="15.75" hidden="false" customHeight="false" outlineLevel="0" collapsed="false">
      <c r="A481" s="193" t="str">
        <f aca="false">IFERROR(__xludf.dummyfunction("""COMPUTED_VALUE"""),"Hunter Sallis (R)")</f>
        <v>Hunter Sallis (R)</v>
      </c>
      <c r="B481" s="271" t="str">
        <f aca="false">IFERROR(__xludf.dummyfunction("""COMPUTED_VALUE"""),"Oklahoma City Thunder")</f>
        <v>Oklahoma City Thunder</v>
      </c>
      <c r="C481" s="273"/>
      <c r="D481" s="193"/>
      <c r="E481" s="272" t="n">
        <f aca="false">IFERROR(__xludf.dummyfunction("""COMPUTED_VALUE"""),1272869)</f>
        <v>1272869</v>
      </c>
      <c r="F481" s="193"/>
      <c r="G481" s="272" t="n">
        <f aca="false">IFERROR(__xludf.dummyfunction("""COMPUTED_VALUE"""),2150915.55)</f>
        <v>2150915.55</v>
      </c>
      <c r="H481" s="193"/>
      <c r="I481" s="272" t="n">
        <f aca="false">IFERROR(__xludf.dummyfunction("""COMPUTED_VALUE"""),2525899)</f>
        <v>2525899</v>
      </c>
      <c r="J481" s="271" t="str">
        <f aca="false">IFERROR(__xludf.dummyfunction("""COMPUTED_VALUE"""),"Club Option")</f>
        <v>Club Option</v>
      </c>
      <c r="K481" s="272" t="n">
        <f aca="false">IFERROR(__xludf.dummyfunction("""COMPUTED_VALUE"""),4799206.2)</f>
        <v>4799206.2</v>
      </c>
      <c r="L481" s="271" t="str">
        <f aca="false">IFERROR(__xludf.dummyfunction("""COMPUTED_VALUE"""),"UFA - Bird")</f>
        <v>UFA - Bird</v>
      </c>
      <c r="M481" s="273"/>
      <c r="N481" s="193"/>
      <c r="O481" s="193" t="n">
        <f aca="false">IFERROR(__xludf.dummyfunction("""COMPUTED_VALUE"""),1)</f>
        <v>1</v>
      </c>
      <c r="P481" s="193"/>
      <c r="Q481" s="193"/>
      <c r="R481" s="193"/>
      <c r="S481" s="193"/>
      <c r="T481" s="193"/>
      <c r="U481" s="193"/>
      <c r="V481" s="193"/>
      <c r="W481" s="193"/>
      <c r="X481" s="193"/>
      <c r="Y481" s="193"/>
      <c r="Z481" s="193"/>
    </row>
    <row r="482" customFormat="false" ht="15.75" hidden="false" customHeight="false" outlineLevel="0" collapsed="false">
      <c r="A482" s="193" t="str">
        <f aca="false">IFERROR(__xludf.dummyfunction("""COMPUTED_VALUE"""),"Johann Grunloh (R)")</f>
        <v>Johann Grunloh (R)</v>
      </c>
      <c r="B482" s="271" t="str">
        <f aca="false">IFERROR(__xludf.dummyfunction("""COMPUTED_VALUE"""),"Orlando Magic")</f>
        <v>Orlando Magic</v>
      </c>
      <c r="C482" s="272" t="str">
        <f aca="false">IFERROR(__xludf.dummyfunction("""COMPUTED_VALUE"""),"Two-way")</f>
        <v>Two-way</v>
      </c>
      <c r="D482" s="271" t="str">
        <f aca="false">IFERROR(__xludf.dummyfunction("""COMPUTED_VALUE"""),"Two-way")</f>
        <v>Two-way</v>
      </c>
      <c r="E482" s="272" t="str">
        <f aca="false">IFERROR(__xludf.dummyfunction("""COMPUTED_VALUE"""),"Two-Way")</f>
        <v>Two-Way</v>
      </c>
      <c r="F482" s="271" t="str">
        <f aca="false">IFERROR(__xludf.dummyfunction("""COMPUTED_VALUE"""),"Two-Way")</f>
        <v>Two-Way</v>
      </c>
      <c r="G482" s="272" t="n">
        <f aca="false">IFERROR(__xludf.dummyfunction("""COMPUTED_VALUE"""),2253346)</f>
        <v>2253346</v>
      </c>
      <c r="H482" s="271" t="str">
        <f aca="false">IFERROR(__xludf.dummyfunction("""COMPUTED_VALUE"""),"UFA - Two-Way")</f>
        <v>UFA - Two-Way</v>
      </c>
      <c r="I482" s="273"/>
      <c r="J482" s="193"/>
      <c r="K482" s="273"/>
      <c r="L482" s="193"/>
      <c r="M482" s="273"/>
      <c r="N482" s="193"/>
      <c r="O482" s="193" t="n">
        <f aca="false">IFERROR(__xludf.dummyfunction("""COMPUTED_VALUE"""),1)</f>
        <v>1</v>
      </c>
      <c r="P482" s="193"/>
      <c r="Q482" s="193"/>
      <c r="R482" s="193"/>
      <c r="S482" s="193"/>
      <c r="T482" s="193"/>
      <c r="U482" s="193"/>
      <c r="V482" s="193"/>
      <c r="W482" s="193"/>
      <c r="X482" s="193"/>
      <c r="Y482" s="193"/>
      <c r="Z482" s="193"/>
    </row>
    <row r="483" customFormat="false" ht="15.75" hidden="false" customHeight="false" outlineLevel="0" collapsed="false">
      <c r="A483" s="193" t="str">
        <f aca="false">IFERROR(__xludf.dummyfunction("""COMPUTED_VALUE"""),"Ethan Thompson")</f>
        <v>Ethan Thompson</v>
      </c>
      <c r="B483" s="271" t="str">
        <f aca="false">IFERROR(__xludf.dummyfunction("""COMPUTED_VALUE"""),"Orlando Magic")</f>
        <v>Orlando Magic</v>
      </c>
      <c r="C483" s="272" t="str">
        <f aca="false">IFERROR(__xludf.dummyfunction("""COMPUTED_VALUE"""),"Two-way")</f>
        <v>Two-way</v>
      </c>
      <c r="D483" s="271" t="str">
        <f aca="false">IFERROR(__xludf.dummyfunction("""COMPUTED_VALUE"""),"Two-way")</f>
        <v>Two-way</v>
      </c>
      <c r="E483" s="272" t="str">
        <f aca="false">IFERROR(__xludf.dummyfunction("""COMPUTED_VALUE"""),"Two-way")</f>
        <v>Two-way</v>
      </c>
      <c r="F483" s="271" t="str">
        <f aca="false">IFERROR(__xludf.dummyfunction("""COMPUTED_VALUE"""),"Two-way")</f>
        <v>Two-way</v>
      </c>
      <c r="G483" s="272" t="n">
        <f aca="false">IFERROR(__xludf.dummyfunction("""COMPUTED_VALUE"""),2253346)</f>
        <v>2253346</v>
      </c>
      <c r="H483" s="271" t="str">
        <f aca="false">IFERROR(__xludf.dummyfunction("""COMPUTED_VALUE"""),"UFA - Two-way")</f>
        <v>UFA - Two-way</v>
      </c>
      <c r="I483" s="273"/>
      <c r="J483" s="193"/>
      <c r="K483" s="273"/>
      <c r="L483" s="193"/>
      <c r="M483" s="273"/>
      <c r="N483" s="193"/>
      <c r="O483" s="193" t="n">
        <f aca="false">IFERROR(__xludf.dummyfunction("""COMPUTED_VALUE"""),1)</f>
        <v>1</v>
      </c>
      <c r="P483" s="193"/>
      <c r="Q483" s="193"/>
      <c r="R483" s="193"/>
      <c r="S483" s="193"/>
      <c r="T483" s="193"/>
      <c r="U483" s="193"/>
      <c r="V483" s="193"/>
      <c r="W483" s="193"/>
      <c r="X483" s="193"/>
      <c r="Y483" s="193"/>
      <c r="Z483" s="193"/>
    </row>
    <row r="484" customFormat="false" ht="15.75" hidden="false" customHeight="false" outlineLevel="0" collapsed="false">
      <c r="A484" s="193" t="str">
        <f aca="false">IFERROR(__xludf.dummyfunction("""COMPUTED_VALUE"""),"Darius Garland")</f>
        <v>Darius Garland</v>
      </c>
      <c r="B484" s="271" t="str">
        <f aca="false">IFERROR(__xludf.dummyfunction("""COMPUTED_VALUE"""),"Orlando Magic")</f>
        <v>Orlando Magic</v>
      </c>
      <c r="C484" s="272" t="n">
        <f aca="false">IFERROR(__xludf.dummyfunction("""COMPUTED_VALUE"""),36725670)</f>
        <v>36725670</v>
      </c>
      <c r="D484" s="193"/>
      <c r="E484" s="272" t="n">
        <f aca="false">IFERROR(__xludf.dummyfunction("""COMPUTED_VALUE"""),39446090)</f>
        <v>39446090</v>
      </c>
      <c r="F484" s="193"/>
      <c r="G484" s="272" t="n">
        <f aca="false">IFERROR(__xludf.dummyfunction("""COMPUTED_VALUE"""),42166510)</f>
        <v>42166510</v>
      </c>
      <c r="H484" s="193"/>
      <c r="I484" s="272" t="n">
        <f aca="false">IFERROR(__xludf.dummyfunction("""COMPUTED_VALUE"""),44886930)</f>
        <v>44886930</v>
      </c>
      <c r="J484" s="193"/>
      <c r="K484" s="272" t="n">
        <f aca="false">IFERROR(__xludf.dummyfunction("""COMPUTED_VALUE"""),53864316)</f>
        <v>53864316</v>
      </c>
      <c r="L484" s="193" t="str">
        <f aca="false">IFERROR(__xludf.dummyfunction("""COMPUTED_VALUE"""),"UFA - Bird")</f>
        <v>UFA - Bird</v>
      </c>
      <c r="M484" s="273"/>
      <c r="N484" s="193"/>
      <c r="O484" s="193" t="n">
        <f aca="false">IFERROR(__xludf.dummyfunction("""COMPUTED_VALUE"""),1)</f>
        <v>1</v>
      </c>
      <c r="P484" s="193"/>
      <c r="Q484" s="193"/>
      <c r="R484" s="193"/>
      <c r="S484" s="193"/>
      <c r="T484" s="193"/>
      <c r="U484" s="193"/>
      <c r="V484" s="193"/>
      <c r="W484" s="193"/>
      <c r="X484" s="193"/>
      <c r="Y484" s="193"/>
      <c r="Z484" s="193"/>
    </row>
    <row r="485" customFormat="false" ht="15.75" hidden="false" customHeight="false" outlineLevel="0" collapsed="false">
      <c r="A485" s="193" t="str">
        <f aca="false">IFERROR(__xludf.dummyfunction("""COMPUTED_VALUE"""),"Franz Wagner")</f>
        <v>Franz Wagner</v>
      </c>
      <c r="B485" s="271" t="str">
        <f aca="false">IFERROR(__xludf.dummyfunction("""COMPUTED_VALUE"""),"Orlando Magic")</f>
        <v>Orlando Magic</v>
      </c>
      <c r="C485" s="272" t="n">
        <f aca="false">IFERROR(__xludf.dummyfunction("""COMPUTED_VALUE"""),7007092)</f>
        <v>7007092</v>
      </c>
      <c r="D485" s="193"/>
      <c r="E485" s="272" t="n">
        <f aca="false">IFERROR(__xludf.dummyfunction("""COMPUTED_VALUE"""),38661750)</f>
        <v>38661750</v>
      </c>
      <c r="F485" s="271" t="str">
        <f aca="false">IFERROR(__xludf.dummyfunction("""COMPUTED_VALUE"""),"Estimated")</f>
        <v>Estimated</v>
      </c>
      <c r="G485" s="272" t="n">
        <f aca="false">IFERROR(__xludf.dummyfunction("""COMPUTED_VALUE"""),41754690)</f>
        <v>41754690</v>
      </c>
      <c r="H485" s="271" t="str">
        <f aca="false">IFERROR(__xludf.dummyfunction("""COMPUTED_VALUE"""),"Estimated")</f>
        <v>Estimated</v>
      </c>
      <c r="I485" s="272" t="n">
        <f aca="false">IFERROR(__xludf.dummyfunction("""COMPUTED_VALUE"""),44847630)</f>
        <v>44847630</v>
      </c>
      <c r="J485" s="271" t="str">
        <f aca="false">IFERROR(__xludf.dummyfunction("""COMPUTED_VALUE"""),"Estimated")</f>
        <v>Estimated</v>
      </c>
      <c r="K485" s="272" t="n">
        <f aca="false">IFERROR(__xludf.dummyfunction("""COMPUTED_VALUE"""),57940570)</f>
        <v>57940570</v>
      </c>
      <c r="L485" s="271" t="str">
        <f aca="false">IFERROR(__xludf.dummyfunction("""COMPUTED_VALUE"""),"Estimated")</f>
        <v>Estimated</v>
      </c>
      <c r="M485" s="272" t="n">
        <f aca="false">IFERROR(__xludf.dummyfunction("""COMPUTED_VALUE"""),51033510)</f>
        <v>51033510</v>
      </c>
      <c r="N485" s="271" t="str">
        <f aca="false">IFERROR(__xludf.dummyfunction("""COMPUTED_VALUE"""),"Estimated")</f>
        <v>Estimated</v>
      </c>
      <c r="O485" s="193" t="n">
        <f aca="false">IFERROR(__xludf.dummyfunction("""COMPUTED_VALUE"""),1)</f>
        <v>1</v>
      </c>
      <c r="P485" s="193"/>
      <c r="Q485" s="193"/>
      <c r="R485" s="193"/>
      <c r="S485" s="193"/>
      <c r="T485" s="193"/>
      <c r="U485" s="193"/>
      <c r="V485" s="193"/>
      <c r="W485" s="193"/>
      <c r="X485" s="193"/>
      <c r="Y485" s="193"/>
      <c r="Z485" s="193"/>
    </row>
    <row r="486" customFormat="false" ht="15.75" hidden="false" customHeight="false" outlineLevel="0" collapsed="false">
      <c r="A486" s="193" t="str">
        <f aca="false">IFERROR(__xludf.dummyfunction("""COMPUTED_VALUE"""),"Jalen Suggs")</f>
        <v>Jalen Suggs</v>
      </c>
      <c r="B486" s="271" t="str">
        <f aca="false">IFERROR(__xludf.dummyfunction("""COMPUTED_VALUE"""),"Orlando Magic")</f>
        <v>Orlando Magic</v>
      </c>
      <c r="C486" s="272" t="n">
        <f aca="false">IFERROR(__xludf.dummyfunction("""COMPUTED_VALUE"""),9188385)</f>
        <v>9188385</v>
      </c>
      <c r="D486" s="193"/>
      <c r="E486" s="272" t="n">
        <f aca="false">IFERROR(__xludf.dummyfunction("""COMPUTED_VALUE"""),35000000)</f>
        <v>35000000</v>
      </c>
      <c r="F486" s="193"/>
      <c r="G486" s="272" t="n">
        <f aca="false">IFERROR(__xludf.dummyfunction("""COMPUTED_VALUE"""),32400000)</f>
        <v>32400000</v>
      </c>
      <c r="H486" s="193"/>
      <c r="I486" s="272" t="n">
        <f aca="false">IFERROR(__xludf.dummyfunction("""COMPUTED_VALUE"""),29600000)</f>
        <v>29600000</v>
      </c>
      <c r="J486" s="193"/>
      <c r="K486" s="272" t="n">
        <f aca="false">IFERROR(__xludf.dummyfunction("""COMPUTED_VALUE"""),26800000)</f>
        <v>26800000</v>
      </c>
      <c r="L486" s="193"/>
      <c r="M486" s="272" t="n">
        <f aca="false">IFERROR(__xludf.dummyfunction("""COMPUTED_VALUE"""),26700000)</f>
        <v>26700000</v>
      </c>
      <c r="N486" s="193"/>
      <c r="O486" s="193" t="n">
        <f aca="false">IFERROR(__xludf.dummyfunction("""COMPUTED_VALUE"""),1)</f>
        <v>1</v>
      </c>
      <c r="P486" s="193"/>
      <c r="Q486" s="193"/>
      <c r="R486" s="193"/>
      <c r="S486" s="193"/>
      <c r="T486" s="193"/>
      <c r="U486" s="193"/>
      <c r="V486" s="193"/>
      <c r="W486" s="193"/>
      <c r="X486" s="193"/>
      <c r="Y486" s="193"/>
      <c r="Z486" s="193"/>
    </row>
    <row r="487" customFormat="false" ht="15.75" hidden="false" customHeight="false" outlineLevel="0" collapsed="false">
      <c r="A487" s="193" t="str">
        <f aca="false">IFERROR(__xludf.dummyfunction("""COMPUTED_VALUE"""),"Khris Middleton")</f>
        <v>Khris Middleton</v>
      </c>
      <c r="B487" s="271" t="str">
        <f aca="false">IFERROR(__xludf.dummyfunction("""COMPUTED_VALUE"""),"Orlando Magic")</f>
        <v>Orlando Magic</v>
      </c>
      <c r="C487" s="272" t="n">
        <f aca="false">IFERROR(__xludf.dummyfunction("""COMPUTED_VALUE"""),31000000)</f>
        <v>31000000</v>
      </c>
      <c r="D487" s="193"/>
      <c r="E487" s="272" t="n">
        <f aca="false">IFERROR(__xludf.dummyfunction("""COMPUTED_VALUE"""),34012345)</f>
        <v>34012345</v>
      </c>
      <c r="F487" s="193"/>
      <c r="G487" s="272" t="n">
        <f aca="false">IFERROR(__xludf.dummyfunction("""COMPUTED_VALUE"""),51018518)</f>
        <v>51018518</v>
      </c>
      <c r="H487" s="193" t="str">
        <f aca="false">IFERROR(__xludf.dummyfunction("""COMPUTED_VALUE"""),"UFA - Bird")</f>
        <v>UFA - Bird</v>
      </c>
      <c r="I487" s="272" t="str">
        <f aca="false">IFERROR(__xludf.dummyfunction("""COMPUTED_VALUE"""),"")</f>
        <v/>
      </c>
      <c r="J487" s="193"/>
      <c r="K487" s="273"/>
      <c r="L487" s="193"/>
      <c r="M487" s="273"/>
      <c r="N487" s="193"/>
      <c r="O487" s="193" t="n">
        <f aca="false">IFERROR(__xludf.dummyfunction("""COMPUTED_VALUE"""),1)</f>
        <v>1</v>
      </c>
      <c r="P487" s="193"/>
      <c r="Q487" s="193"/>
      <c r="R487" s="193"/>
      <c r="S487" s="193"/>
      <c r="T487" s="193"/>
      <c r="U487" s="193"/>
      <c r="V487" s="193"/>
      <c r="W487" s="193"/>
      <c r="X487" s="193"/>
      <c r="Y487" s="193"/>
      <c r="Z487" s="193"/>
    </row>
    <row r="488" customFormat="false" ht="15.75" hidden="false" customHeight="false" outlineLevel="0" collapsed="false">
      <c r="A488" s="193" t="str">
        <f aca="false">IFERROR(__xludf.dummyfunction("""COMPUTED_VALUE"""),"Klay Thompson")</f>
        <v>Klay Thompson</v>
      </c>
      <c r="B488" s="271" t="str">
        <f aca="false">IFERROR(__xludf.dummyfunction("""COMPUTED_VALUE"""),"Orlando Magic")</f>
        <v>Orlando Magic</v>
      </c>
      <c r="C488" s="272" t="n">
        <f aca="false">IFERROR(__xludf.dummyfunction("""COMPUTED_VALUE"""),15873016)</f>
        <v>15873016</v>
      </c>
      <c r="D488" s="193"/>
      <c r="E488" s="272" t="n">
        <f aca="false">IFERROR(__xludf.dummyfunction("""COMPUTED_VALUE"""),16666667)</f>
        <v>16666667</v>
      </c>
      <c r="F488" s="193"/>
      <c r="G488" s="272" t="n">
        <f aca="false">IFERROR(__xludf.dummyfunction("""COMPUTED_VALUE"""),17460317)</f>
        <v>17460317</v>
      </c>
      <c r="H488" s="193"/>
      <c r="I488" s="272" t="n">
        <f aca="false">IFERROR(__xludf.dummyfunction("""COMPUTED_VALUE"""),26190476)</f>
        <v>26190476</v>
      </c>
      <c r="J488" s="193" t="str">
        <f aca="false">IFERROR(__xludf.dummyfunction("""COMPUTED_VALUE"""),"UFA - Bird")</f>
        <v>UFA - Bird</v>
      </c>
      <c r="K488" s="273"/>
      <c r="L488" s="193"/>
      <c r="M488" s="273"/>
      <c r="N488" s="193"/>
      <c r="O488" s="193" t="n">
        <f aca="false">IFERROR(__xludf.dummyfunction("""COMPUTED_VALUE"""),1)</f>
        <v>1</v>
      </c>
      <c r="P488" s="193"/>
      <c r="Q488" s="193"/>
      <c r="R488" s="193"/>
      <c r="S488" s="193"/>
      <c r="T488" s="193"/>
      <c r="U488" s="193"/>
      <c r="V488" s="193"/>
      <c r="W488" s="193"/>
      <c r="X488" s="193"/>
      <c r="Y488" s="193"/>
      <c r="Z488" s="193"/>
    </row>
    <row r="489" customFormat="false" ht="15.75" hidden="false" customHeight="false" outlineLevel="0" collapsed="false">
      <c r="A489" s="193" t="str">
        <f aca="false">IFERROR(__xludf.dummyfunction("""COMPUTED_VALUE"""),"Paolo Banchero")</f>
        <v>Paolo Banchero</v>
      </c>
      <c r="B489" s="271" t="str">
        <f aca="false">IFERROR(__xludf.dummyfunction("""COMPUTED_VALUE"""),"Orlando Magic")</f>
        <v>Orlando Magic</v>
      </c>
      <c r="C489" s="272" t="n">
        <f aca="false">IFERROR(__xludf.dummyfunction("""COMPUTED_VALUE"""),12160800)</f>
        <v>12160800</v>
      </c>
      <c r="D489" s="193"/>
      <c r="E489" s="272" t="n">
        <f aca="false">IFERROR(__xludf.dummyfunction("""COMPUTED_VALUE"""),15334769)</f>
        <v>15334769</v>
      </c>
      <c r="F489" s="193"/>
      <c r="G489" s="272" t="n">
        <f aca="false">IFERROR(__xludf.dummyfunction("""COMPUTED_VALUE"""),38336923)</f>
        <v>38336923</v>
      </c>
      <c r="H489" s="271" t="str">
        <f aca="false">IFERROR(__xludf.dummyfunction("""COMPUTED_VALUE"""),"RFA - Bird")</f>
        <v>RFA - Bird</v>
      </c>
      <c r="I489" s="272" t="str">
        <f aca="false">IFERROR(__xludf.dummyfunction("""COMPUTED_VALUE"""),"")</f>
        <v/>
      </c>
      <c r="J489" s="193"/>
      <c r="K489" s="273"/>
      <c r="L489" s="193"/>
      <c r="M489" s="273"/>
      <c r="N489" s="193"/>
      <c r="O489" s="193" t="n">
        <f aca="false">IFERROR(__xludf.dummyfunction("""COMPUTED_VALUE"""),1)</f>
        <v>1</v>
      </c>
      <c r="P489" s="193"/>
      <c r="Q489" s="193"/>
      <c r="R489" s="193"/>
      <c r="S489" s="193"/>
      <c r="T489" s="193"/>
      <c r="U489" s="193"/>
      <c r="V489" s="193"/>
      <c r="W489" s="193"/>
      <c r="X489" s="193"/>
      <c r="Y489" s="193"/>
      <c r="Z489" s="193"/>
    </row>
    <row r="490" customFormat="false" ht="15.75" hidden="false" customHeight="false" outlineLevel="0" collapsed="false">
      <c r="A490" s="193" t="str">
        <f aca="false">IFERROR(__xludf.dummyfunction("""COMPUTED_VALUE"""),"Moritz Wagner")</f>
        <v>Moritz Wagner</v>
      </c>
      <c r="B490" s="271" t="str">
        <f aca="false">IFERROR(__xludf.dummyfunction("""COMPUTED_VALUE"""),"Orlando Magic")</f>
        <v>Orlando Magic</v>
      </c>
      <c r="C490" s="272" t="n">
        <f aca="false">IFERROR(__xludf.dummyfunction("""COMPUTED_VALUE"""),11000000)</f>
        <v>11000000</v>
      </c>
      <c r="D490" s="193"/>
      <c r="E490" s="272" t="n">
        <f aca="false">IFERROR(__xludf.dummyfunction("""COMPUTED_VALUE"""),11000000)</f>
        <v>11000000</v>
      </c>
      <c r="F490" s="193"/>
      <c r="G490" s="272" t="n">
        <f aca="false">IFERROR(__xludf.dummyfunction("""COMPUTED_VALUE"""),20900000)</f>
        <v>20900000</v>
      </c>
      <c r="H490" s="193" t="str">
        <f aca="false">IFERROR(__xludf.dummyfunction("""COMPUTED_VALUE"""),"UFA - Bird")</f>
        <v>UFA - Bird</v>
      </c>
      <c r="I490" s="272" t="str">
        <f aca="false">IFERROR(__xludf.dummyfunction("""COMPUTED_VALUE"""),"")</f>
        <v/>
      </c>
      <c r="J490" s="193"/>
      <c r="K490" s="273"/>
      <c r="L490" s="193"/>
      <c r="M490" s="273"/>
      <c r="N490" s="193"/>
      <c r="O490" s="193" t="n">
        <f aca="false">IFERROR(__xludf.dummyfunction("""COMPUTED_VALUE"""),1)</f>
        <v>1</v>
      </c>
      <c r="P490" s="193"/>
      <c r="Q490" s="193"/>
      <c r="R490" s="193"/>
      <c r="S490" s="193"/>
      <c r="T490" s="193"/>
      <c r="U490" s="193"/>
      <c r="V490" s="193"/>
      <c r="W490" s="193"/>
      <c r="X490" s="193"/>
      <c r="Y490" s="193"/>
      <c r="Z490" s="193"/>
    </row>
    <row r="491" customFormat="false" ht="15.75" hidden="false" customHeight="false" outlineLevel="0" collapsed="false">
      <c r="A491" s="193" t="str">
        <f aca="false">IFERROR(__xludf.dummyfunction("""COMPUTED_VALUE"""),"Goga Bitadze")</f>
        <v>Goga Bitadze</v>
      </c>
      <c r="B491" s="271" t="str">
        <f aca="false">IFERROR(__xludf.dummyfunction("""COMPUTED_VALUE"""),"Orlando Magic")</f>
        <v>Orlando Magic</v>
      </c>
      <c r="C491" s="272" t="n">
        <f aca="false">IFERROR(__xludf.dummyfunction("""COMPUTED_VALUE"""),9057971)</f>
        <v>9057971</v>
      </c>
      <c r="D491" s="193"/>
      <c r="E491" s="272" t="n">
        <f aca="false">IFERROR(__xludf.dummyfunction("""COMPUTED_VALUE"""),8333333)</f>
        <v>8333333</v>
      </c>
      <c r="F491" s="193"/>
      <c r="G491" s="272" t="n">
        <f aca="false">IFERROR(__xludf.dummyfunction("""COMPUTED_VALUE"""),7608696)</f>
        <v>7608696</v>
      </c>
      <c r="H491" s="193"/>
      <c r="I491" s="272" t="n">
        <f aca="false">IFERROR(__xludf.dummyfunction("""COMPUTED_VALUE"""),14456522)</f>
        <v>14456522</v>
      </c>
      <c r="J491" s="193" t="str">
        <f aca="false">IFERROR(__xludf.dummyfunction("""COMPUTED_VALUE"""),"UFA - Bird")</f>
        <v>UFA - Bird</v>
      </c>
      <c r="K491" s="273"/>
      <c r="L491" s="193"/>
      <c r="M491" s="273"/>
      <c r="N491" s="193"/>
      <c r="O491" s="193" t="n">
        <f aca="false">IFERROR(__xludf.dummyfunction("""COMPUTED_VALUE"""),1)</f>
        <v>1</v>
      </c>
      <c r="P491" s="193"/>
      <c r="Q491" s="193"/>
      <c r="R491" s="193"/>
      <c r="S491" s="193"/>
      <c r="T491" s="193"/>
      <c r="U491" s="193"/>
      <c r="V491" s="193"/>
      <c r="W491" s="193"/>
      <c r="X491" s="193"/>
      <c r="Y491" s="193"/>
      <c r="Z491" s="193"/>
    </row>
    <row r="492" customFormat="false" ht="15.75" hidden="false" customHeight="false" outlineLevel="0" collapsed="false">
      <c r="A492" s="193" t="str">
        <f aca="false">IFERROR(__xludf.dummyfunction("""COMPUTED_VALUE"""),"Danny Wolf (R)")</f>
        <v>Danny Wolf (R)</v>
      </c>
      <c r="B492" s="271" t="str">
        <f aca="false">IFERROR(__xludf.dummyfunction("""COMPUTED_VALUE"""),"Orlando Magic")</f>
        <v>Orlando Magic</v>
      </c>
      <c r="C492" s="273"/>
      <c r="D492" s="193"/>
      <c r="E492" s="272" t="n">
        <f aca="false">IFERROR(__xludf.dummyfunction("""COMPUTED_VALUE"""),3811560)</f>
        <v>3811560</v>
      </c>
      <c r="F492" s="193"/>
      <c r="G492" s="272" t="n">
        <f aca="false">IFERROR(__xludf.dummyfunction("""COMPUTED_VALUE"""),4002000)</f>
        <v>4002000</v>
      </c>
      <c r="H492" s="193"/>
      <c r="I492" s="272" t="n">
        <f aca="false">IFERROR(__xludf.dummyfunction("""COMPUTED_VALUE"""),4193040)</f>
        <v>4193040</v>
      </c>
      <c r="J492" s="271" t="str">
        <f aca="false">IFERROR(__xludf.dummyfunction("""COMPUTED_VALUE"""),"Club Option")</f>
        <v>Club Option</v>
      </c>
      <c r="K492" s="272" t="n">
        <f aca="false">IFERROR(__xludf.dummyfunction("""COMPUTED_VALUE"""),6457281.6)</f>
        <v>6457281.6</v>
      </c>
      <c r="L492" s="271" t="str">
        <f aca="false">IFERROR(__xludf.dummyfunction("""COMPUTED_VALUE"""),"Club Option")</f>
        <v>Club Option</v>
      </c>
      <c r="M492" s="272" t="n">
        <f aca="false">IFERROR(__xludf.dummyfunction("""COMPUTED_VALUE"""),19371844.8)</f>
        <v>19371844.8</v>
      </c>
      <c r="N492" s="271" t="str">
        <f aca="false">IFERROR(__xludf.dummyfunction("""COMPUTED_VALUE"""),"RFA - Bird")</f>
        <v>RFA - Bird</v>
      </c>
      <c r="O492" s="193" t="n">
        <f aca="false">IFERROR(__xludf.dummyfunction("""COMPUTED_VALUE"""),1)</f>
        <v>1</v>
      </c>
      <c r="P492" s="193"/>
      <c r="Q492" s="193"/>
      <c r="R492" s="193"/>
      <c r="S492" s="193"/>
      <c r="T492" s="193"/>
      <c r="U492" s="193"/>
      <c r="V492" s="193"/>
      <c r="W492" s="193"/>
      <c r="X492" s="193"/>
      <c r="Y492" s="193"/>
      <c r="Z492" s="193"/>
    </row>
    <row r="493" customFormat="false" ht="15.75" hidden="false" customHeight="false" outlineLevel="0" collapsed="false">
      <c r="A493" s="193" t="str">
        <f aca="false">IFERROR(__xludf.dummyfunction("""COMPUTED_VALUE"""),"Garrison Mathews")</f>
        <v>Garrison Mathews</v>
      </c>
      <c r="B493" s="271" t="str">
        <f aca="false">IFERROR(__xludf.dummyfunction("""COMPUTED_VALUE"""),"Orlando Magic")</f>
        <v>Orlando Magic</v>
      </c>
      <c r="C493" s="272" t="n">
        <f aca="false">IFERROR(__xludf.dummyfunction("""COMPUTED_VALUE"""),2230253)</f>
        <v>2230253</v>
      </c>
      <c r="D493" s="193"/>
      <c r="E493" s="272" t="n">
        <f aca="false">IFERROR(__xludf.dummyfunction("""COMPUTED_VALUE"""),2296271)</f>
        <v>2296271</v>
      </c>
      <c r="F493" s="193"/>
      <c r="G493" s="272" t="n">
        <f aca="false">IFERROR(__xludf.dummyfunction("""COMPUTED_VALUE"""),2525898)</f>
        <v>2525898</v>
      </c>
      <c r="H493" s="193" t="str">
        <f aca="false">IFERROR(__xludf.dummyfunction("""COMPUTED_VALUE"""),"UFA - Non-Bird")</f>
        <v>UFA - Non-Bird</v>
      </c>
      <c r="I493" s="272" t="str">
        <f aca="false">IFERROR(__xludf.dummyfunction("""COMPUTED_VALUE"""),"")</f>
        <v/>
      </c>
      <c r="J493" s="193"/>
      <c r="K493" s="273"/>
      <c r="L493" s="193"/>
      <c r="M493" s="273"/>
      <c r="N493" s="193"/>
      <c r="O493" s="193" t="n">
        <f aca="false">IFERROR(__xludf.dummyfunction("""COMPUTED_VALUE"""),1)</f>
        <v>1</v>
      </c>
      <c r="P493" s="193"/>
      <c r="Q493" s="193"/>
      <c r="R493" s="193"/>
      <c r="S493" s="193"/>
      <c r="T493" s="193"/>
      <c r="U493" s="193"/>
      <c r="V493" s="193"/>
      <c r="W493" s="193"/>
      <c r="X493" s="193"/>
      <c r="Y493" s="193"/>
      <c r="Z493" s="193"/>
    </row>
    <row r="494" customFormat="false" ht="15.75" hidden="false" customHeight="false" outlineLevel="0" collapsed="false">
      <c r="A494" s="193" t="str">
        <f aca="false">IFERROR(__xludf.dummyfunction("""COMPUTED_VALUE"""),"Thomas Bryant")</f>
        <v>Thomas Bryant</v>
      </c>
      <c r="B494" s="271" t="str">
        <f aca="false">IFERROR(__xludf.dummyfunction("""COMPUTED_VALUE"""),"Orlando Magic")</f>
        <v>Orlando Magic</v>
      </c>
      <c r="C494" s="272" t="n">
        <f aca="false">IFERROR(__xludf.dummyfunction("""COMPUTED_VALUE"""),2087519)</f>
        <v>2087519</v>
      </c>
      <c r="D494" s="193"/>
      <c r="E494" s="272" t="n">
        <f aca="false">IFERROR(__xludf.dummyfunction("""COMPUTED_VALUE"""),2296271)</f>
        <v>2296271</v>
      </c>
      <c r="F494" s="193"/>
      <c r="G494" s="272" t="n">
        <f aca="false">IFERROR(__xludf.dummyfunction("""COMPUTED_VALUE"""),2525898.1)</f>
        <v>2525898.1</v>
      </c>
      <c r="H494" s="271" t="str">
        <f aca="false">IFERROR(__xludf.dummyfunction("""COMPUTED_VALUE"""),"UFA - Non-Bird")</f>
        <v>UFA - Non-Bird</v>
      </c>
      <c r="I494" s="273"/>
      <c r="J494" s="193"/>
      <c r="K494" s="273"/>
      <c r="L494" s="193"/>
      <c r="M494" s="273"/>
      <c r="N494" s="193"/>
      <c r="O494" s="193" t="n">
        <f aca="false">IFERROR(__xludf.dummyfunction("""COMPUTED_VALUE"""),1)</f>
        <v>1</v>
      </c>
      <c r="P494" s="193"/>
      <c r="Q494" s="193"/>
      <c r="R494" s="193"/>
      <c r="S494" s="193"/>
      <c r="T494" s="193"/>
      <c r="U494" s="193"/>
      <c r="V494" s="193"/>
      <c r="W494" s="193"/>
      <c r="X494" s="193"/>
      <c r="Y494" s="193"/>
      <c r="Z494" s="193"/>
    </row>
    <row r="495" customFormat="false" ht="15.75" hidden="false" customHeight="false" outlineLevel="0" collapsed="false">
      <c r="A495" s="193" t="str">
        <f aca="false">IFERROR(__xludf.dummyfunction("""COMPUTED_VALUE"""),"Ben Simmons")</f>
        <v>Ben Simmons</v>
      </c>
      <c r="B495" s="271" t="str">
        <f aca="false">IFERROR(__xludf.dummyfunction("""COMPUTED_VALUE"""),"Orlando Magic")</f>
        <v>Orlando Magic</v>
      </c>
      <c r="C495" s="272" t="n">
        <f aca="false">IFERROR(__xludf.dummyfunction("""COMPUTED_VALUE"""),755826)</f>
        <v>755826</v>
      </c>
      <c r="D495" s="193"/>
      <c r="E495" s="272" t="n">
        <f aca="false">IFERROR(__xludf.dummyfunction("""COMPUTED_VALUE"""),2296271)</f>
        <v>2296271</v>
      </c>
      <c r="F495" s="193"/>
      <c r="G495" s="272" t="n">
        <f aca="false">IFERROR(__xludf.dummyfunction("""COMPUTED_VALUE"""),2525898.1)</f>
        <v>2525898.1</v>
      </c>
      <c r="H495" s="271" t="str">
        <f aca="false">IFERROR(__xludf.dummyfunction("""COMPUTED_VALUE"""),"UFA - Non-Bird")</f>
        <v>UFA - Non-Bird</v>
      </c>
      <c r="I495" s="273"/>
      <c r="J495" s="193"/>
      <c r="K495" s="273"/>
      <c r="L495" s="193"/>
      <c r="M495" s="273"/>
      <c r="N495" s="193"/>
      <c r="O495" s="193" t="n">
        <f aca="false">IFERROR(__xludf.dummyfunction("""COMPUTED_VALUE"""),1)</f>
        <v>1</v>
      </c>
      <c r="P495" s="193"/>
      <c r="Q495" s="193"/>
      <c r="R495" s="193"/>
      <c r="S495" s="193"/>
      <c r="T495" s="193"/>
      <c r="U495" s="193"/>
      <c r="V495" s="193"/>
      <c r="W495" s="193"/>
      <c r="X495" s="193"/>
      <c r="Y495" s="193"/>
      <c r="Z495" s="193"/>
    </row>
    <row r="496" customFormat="false" ht="15.75" hidden="false" customHeight="false" outlineLevel="0" collapsed="false">
      <c r="A496" s="193" t="str">
        <f aca="false">IFERROR(__xludf.dummyfunction("""COMPUTED_VALUE"""),"D'Angelo Russell")</f>
        <v>D'Angelo Russell</v>
      </c>
      <c r="B496" s="271" t="str">
        <f aca="false">IFERROR(__xludf.dummyfunction("""COMPUTED_VALUE"""),"Orlando Magic")</f>
        <v>Orlando Magic</v>
      </c>
      <c r="C496" s="272" t="n">
        <f aca="false">IFERROR(__xludf.dummyfunction("""COMPUTED_VALUE"""),18692307)</f>
        <v>18692307</v>
      </c>
      <c r="D496" s="193"/>
      <c r="E496" s="272" t="n">
        <f aca="false">IFERROR(__xludf.dummyfunction("""COMPUTED_VALUE"""),2296271)</f>
        <v>2296271</v>
      </c>
      <c r="F496" s="193"/>
      <c r="G496" s="272" t="n">
        <f aca="false">IFERROR(__xludf.dummyfunction("""COMPUTED_VALUE"""),2525898.1)</f>
        <v>2525898.1</v>
      </c>
      <c r="H496" s="193" t="str">
        <f aca="false">IFERROR(__xludf.dummyfunction("""COMPUTED_VALUE"""),"UFA - Non-Bird")</f>
        <v>UFA - Non-Bird</v>
      </c>
      <c r="I496" s="273"/>
      <c r="J496" s="193"/>
      <c r="K496" s="273"/>
      <c r="L496" s="193"/>
      <c r="M496" s="273"/>
      <c r="N496" s="193"/>
      <c r="O496" s="193" t="n">
        <f aca="false">IFERROR(__xludf.dummyfunction("""COMPUTED_VALUE"""),1)</f>
        <v>1</v>
      </c>
      <c r="P496" s="193"/>
      <c r="Q496" s="193"/>
      <c r="R496" s="193"/>
      <c r="S496" s="193"/>
      <c r="T496" s="193"/>
      <c r="U496" s="193"/>
      <c r="V496" s="193"/>
      <c r="W496" s="193"/>
      <c r="X496" s="193"/>
      <c r="Y496" s="193"/>
      <c r="Z496" s="193"/>
    </row>
    <row r="497" customFormat="false" ht="15.75" hidden="false" customHeight="false" outlineLevel="0" collapsed="false">
      <c r="A497" s="193" t="str">
        <f aca="false">IFERROR(__xludf.dummyfunction("""COMPUTED_VALUE"""),"Mac McClung")</f>
        <v>Mac McClung</v>
      </c>
      <c r="B497" s="271" t="str">
        <f aca="false">IFERROR(__xludf.dummyfunction("""COMPUTED_VALUE"""),"Orlando Magic")</f>
        <v>Orlando Magic</v>
      </c>
      <c r="C497" s="273"/>
      <c r="D497" s="193"/>
      <c r="E497" s="272" t="n">
        <f aca="false">IFERROR(__xludf.dummyfunction("""COMPUTED_VALUE"""),2048491)</f>
        <v>2048491</v>
      </c>
      <c r="F497" s="271" t="str">
        <f aca="false">IFERROR(__xludf.dummyfunction("""COMPUTED_VALUE"""),"UFA - Two-way")</f>
        <v>UFA - Two-way</v>
      </c>
      <c r="G497" s="273"/>
      <c r="H497" s="193"/>
      <c r="I497" s="273"/>
      <c r="J497" s="193"/>
      <c r="K497" s="273"/>
      <c r="L497" s="193"/>
      <c r="M497" s="273"/>
      <c r="N497" s="193"/>
      <c r="O497" s="193" t="n">
        <f aca="false">IFERROR(__xludf.dummyfunction("""COMPUTED_VALUE"""),1)</f>
        <v>1</v>
      </c>
      <c r="P497" s="193"/>
      <c r="Q497" s="193"/>
      <c r="R497" s="193"/>
      <c r="S497" s="193"/>
      <c r="T497" s="193"/>
      <c r="U497" s="193"/>
      <c r="V497" s="193"/>
      <c r="W497" s="193"/>
      <c r="X497" s="193"/>
      <c r="Y497" s="193"/>
      <c r="Z497" s="193"/>
    </row>
    <row r="498" customFormat="false" ht="15.75" hidden="false" customHeight="false" outlineLevel="0" collapsed="false">
      <c r="A498" s="193" t="str">
        <f aca="false">IFERROR(__xludf.dummyfunction("""COMPUTED_VALUE"""),"Trevelin Queen")</f>
        <v>Trevelin Queen</v>
      </c>
      <c r="B498" s="271" t="str">
        <f aca="false">IFERROR(__xludf.dummyfunction("""COMPUTED_VALUE"""),"Orlando Magic")</f>
        <v>Orlando Magic</v>
      </c>
      <c r="C498" s="272" t="str">
        <f aca="false">IFERROR(__xludf.dummyfunction("""COMPUTED_VALUE"""),"Two-way")</f>
        <v>Two-way</v>
      </c>
      <c r="D498" s="271" t="str">
        <f aca="false">IFERROR(__xludf.dummyfunction("""COMPUTED_VALUE"""),"Two-way")</f>
        <v>Two-way</v>
      </c>
      <c r="E498" s="272" t="n">
        <f aca="false">IFERROR(__xludf.dummyfunction("""COMPUTED_VALUE"""),2048491)</f>
        <v>2048491</v>
      </c>
      <c r="F498" s="271" t="str">
        <f aca="false">IFERROR(__xludf.dummyfunction("""COMPUTED_VALUE"""),"UFA - Two-way")</f>
        <v>UFA - Two-way</v>
      </c>
      <c r="G498" s="273"/>
      <c r="H498" s="193"/>
      <c r="I498" s="273"/>
      <c r="J498" s="193"/>
      <c r="K498" s="273"/>
      <c r="L498" s="193"/>
      <c r="M498" s="273"/>
      <c r="N498" s="193"/>
      <c r="O498" s="193" t="n">
        <f aca="false">IFERROR(__xludf.dummyfunction("""COMPUTED_VALUE"""),1)</f>
        <v>1</v>
      </c>
      <c r="P498" s="193"/>
      <c r="Q498" s="193"/>
      <c r="R498" s="193"/>
      <c r="S498" s="193"/>
      <c r="T498" s="193"/>
      <c r="U498" s="193"/>
      <c r="V498" s="193"/>
      <c r="W498" s="193"/>
      <c r="X498" s="193"/>
      <c r="Y498" s="193"/>
      <c r="Z498" s="193"/>
    </row>
    <row r="499" customFormat="false" ht="15.75" hidden="false" customHeight="false" outlineLevel="0" collapsed="false">
      <c r="A499" s="193" t="str">
        <f aca="false">IFERROR(__xludf.dummyfunction("""COMPUTED_VALUE"""),"Jamir Watkins (R)")</f>
        <v>Jamir Watkins (R)</v>
      </c>
      <c r="B499" s="271" t="str">
        <f aca="false">IFERROR(__xludf.dummyfunction("""COMPUTED_VALUE"""),"Orlando Magic")</f>
        <v>Orlando Magic</v>
      </c>
      <c r="C499" s="273"/>
      <c r="D499" s="193"/>
      <c r="E499" s="272" t="n">
        <f aca="false">IFERROR(__xludf.dummyfunction("""COMPUTED_VALUE"""),1272869)</f>
        <v>1272869</v>
      </c>
      <c r="F499" s="193"/>
      <c r="G499" s="272" t="n">
        <f aca="false">IFERROR(__xludf.dummyfunction("""COMPUTED_VALUE"""),2150915.55)</f>
        <v>2150915.55</v>
      </c>
      <c r="H499" s="271" t="str">
        <f aca="false">IFERROR(__xludf.dummyfunction("""COMPUTED_VALUE"""),"Non Guaranteed")</f>
        <v>Non Guaranteed</v>
      </c>
      <c r="I499" s="272" t="n">
        <f aca="false">IFERROR(__xludf.dummyfunction("""COMPUTED_VALUE"""),2525899)</f>
        <v>2525899</v>
      </c>
      <c r="J499" s="271" t="str">
        <f aca="false">IFERROR(__xludf.dummyfunction("""COMPUTED_VALUE"""),"Non Guaranteed")</f>
        <v>Non Guaranteed</v>
      </c>
      <c r="K499" s="272" t="n">
        <f aca="false">IFERROR(__xludf.dummyfunction("""COMPUTED_VALUE"""),2735801.21)</f>
        <v>2735801.21</v>
      </c>
      <c r="L499" s="271" t="str">
        <f aca="false">IFERROR(__xludf.dummyfunction("""COMPUTED_VALUE"""),"Club Option")</f>
        <v>Club Option</v>
      </c>
      <c r="M499" s="272" t="n">
        <f aca="false">IFERROR(__xludf.dummyfunction("""COMPUTED_VALUE"""),5197819.55)</f>
        <v>5197819.55</v>
      </c>
      <c r="N499" s="271" t="str">
        <f aca="false">IFERROR(__xludf.dummyfunction("""COMPUTED_VALUE"""),"UFA - Bird")</f>
        <v>UFA - Bird</v>
      </c>
      <c r="O499" s="193" t="n">
        <f aca="false">IFERROR(__xludf.dummyfunction("""COMPUTED_VALUE"""),1)</f>
        <v>1</v>
      </c>
      <c r="P499" s="193"/>
      <c r="Q499" s="193"/>
      <c r="R499" s="193"/>
      <c r="S499" s="193"/>
      <c r="T499" s="193"/>
      <c r="U499" s="193"/>
      <c r="V499" s="193"/>
      <c r="W499" s="193"/>
      <c r="X499" s="193"/>
      <c r="Y499" s="193"/>
      <c r="Z499" s="193"/>
    </row>
    <row r="500" customFormat="false" ht="15.75" hidden="false" customHeight="false" outlineLevel="0" collapsed="false">
      <c r="A500" s="193" t="str">
        <f aca="false">IFERROR(__xludf.dummyfunction("""COMPUTED_VALUE"""),"Tahaad Pettiford (R)")</f>
        <v>Tahaad Pettiford (R)</v>
      </c>
      <c r="B500" s="271" t="str">
        <f aca="false">IFERROR(__xludf.dummyfunction("""COMPUTED_VALUE"""),"Orlando Magic")</f>
        <v>Orlando Magic</v>
      </c>
      <c r="C500" s="273"/>
      <c r="D500" s="193"/>
      <c r="E500" s="272" t="n">
        <f aca="false">IFERROR(__xludf.dummyfunction("""COMPUTED_VALUE"""),1272869)</f>
        <v>1272869</v>
      </c>
      <c r="F500" s="193"/>
      <c r="G500" s="272" t="n">
        <f aca="false">IFERROR(__xludf.dummyfunction("""COMPUTED_VALUE"""),2150915.55)</f>
        <v>2150915.55</v>
      </c>
      <c r="H500" s="271" t="str">
        <f aca="false">IFERROR(__xludf.dummyfunction("""COMPUTED_VALUE"""),"Non Guaranteed")</f>
        <v>Non Guaranteed</v>
      </c>
      <c r="I500" s="272" t="n">
        <f aca="false">IFERROR(__xludf.dummyfunction("""COMPUTED_VALUE"""),2525899)</f>
        <v>2525899</v>
      </c>
      <c r="J500" s="271" t="str">
        <f aca="false">IFERROR(__xludf.dummyfunction("""COMPUTED_VALUE"""),"Non Guaranteed")</f>
        <v>Non Guaranteed</v>
      </c>
      <c r="K500" s="272" t="n">
        <f aca="false">IFERROR(__xludf.dummyfunction("""COMPUTED_VALUE"""),2735801.21)</f>
        <v>2735801.21</v>
      </c>
      <c r="L500" s="271" t="str">
        <f aca="false">IFERROR(__xludf.dummyfunction("""COMPUTED_VALUE"""),"Club Option")</f>
        <v>Club Option</v>
      </c>
      <c r="M500" s="272" t="n">
        <f aca="false">IFERROR(__xludf.dummyfunction("""COMPUTED_VALUE"""),5197819.55)</f>
        <v>5197819.55</v>
      </c>
      <c r="N500" s="271" t="str">
        <f aca="false">IFERROR(__xludf.dummyfunction("""COMPUTED_VALUE"""),"UFA - Bird")</f>
        <v>UFA - Bird</v>
      </c>
      <c r="O500" s="193" t="n">
        <f aca="false">IFERROR(__xludf.dummyfunction("""COMPUTED_VALUE"""),1)</f>
        <v>1</v>
      </c>
      <c r="P500" s="193"/>
      <c r="Q500" s="193"/>
      <c r="R500" s="193"/>
      <c r="S500" s="193"/>
      <c r="T500" s="193"/>
      <c r="U500" s="193"/>
      <c r="V500" s="193"/>
      <c r="W500" s="193"/>
      <c r="X500" s="193"/>
      <c r="Y500" s="193"/>
      <c r="Z500" s="193"/>
    </row>
    <row r="501" customFormat="false" ht="15.75" hidden="false" customHeight="false" outlineLevel="0" collapsed="false">
      <c r="A501" s="193" t="str">
        <f aca="false">IFERROR(__xludf.dummyfunction("""COMPUTED_VALUE"""),"Alex Reese")</f>
        <v>Alex Reese</v>
      </c>
      <c r="B501" s="271" t="str">
        <f aca="false">IFERROR(__xludf.dummyfunction("""COMPUTED_VALUE"""),"Philadelphia Sixers")</f>
        <v>Philadelphia Sixers</v>
      </c>
      <c r="C501" s="272" t="str">
        <f aca="false">IFERROR(__xludf.dummyfunction("""COMPUTED_VALUE"""),"Two-way")</f>
        <v>Two-way</v>
      </c>
      <c r="D501" s="271" t="str">
        <f aca="false">IFERROR(__xludf.dummyfunction("""COMPUTED_VALUE"""),"Two-way")</f>
        <v>Two-way</v>
      </c>
      <c r="E501" s="272" t="str">
        <f aca="false">IFERROR(__xludf.dummyfunction("""COMPUTED_VALUE"""),"Two-way")</f>
        <v>Two-way</v>
      </c>
      <c r="F501" s="271" t="str">
        <f aca="false">IFERROR(__xludf.dummyfunction("""COMPUTED_VALUE"""),"Two-way")</f>
        <v>Two-way</v>
      </c>
      <c r="G501" s="272" t="n">
        <f aca="false">IFERROR(__xludf.dummyfunction("""COMPUTED_VALUE"""),2253346)</f>
        <v>2253346</v>
      </c>
      <c r="H501" s="271" t="str">
        <f aca="false">IFERROR(__xludf.dummyfunction("""COMPUTED_VALUE"""),"UFA - Two-way")</f>
        <v>UFA - Two-way</v>
      </c>
      <c r="I501" s="273"/>
      <c r="J501" s="193"/>
      <c r="K501" s="273"/>
      <c r="L501" s="193"/>
      <c r="M501" s="273"/>
      <c r="N501" s="193"/>
      <c r="O501" s="193" t="n">
        <f aca="false">IFERROR(__xludf.dummyfunction("""COMPUTED_VALUE"""),1)</f>
        <v>1</v>
      </c>
      <c r="P501" s="193"/>
      <c r="Q501" s="193"/>
      <c r="R501" s="193"/>
      <c r="S501" s="193"/>
      <c r="T501" s="193"/>
      <c r="U501" s="193"/>
      <c r="V501" s="193"/>
      <c r="W501" s="193"/>
      <c r="X501" s="193"/>
      <c r="Y501" s="193"/>
      <c r="Z501" s="193"/>
    </row>
    <row r="502" customFormat="false" ht="15.75" hidden="false" customHeight="false" outlineLevel="0" collapsed="false">
      <c r="A502" s="193" t="str">
        <f aca="false">IFERROR(__xludf.dummyfunction("""COMPUTED_VALUE"""),"Joel Embiid")</f>
        <v>Joel Embiid</v>
      </c>
      <c r="B502" s="271" t="str">
        <f aca="false">IFERROR(__xludf.dummyfunction("""COMPUTED_VALUE"""),"Philadelphia Sixers")</f>
        <v>Philadelphia Sixers</v>
      </c>
      <c r="C502" s="272" t="n">
        <f aca="false">IFERROR(__xludf.dummyfunction("""COMPUTED_VALUE"""),51415938)</f>
        <v>51415938</v>
      </c>
      <c r="D502" s="193"/>
      <c r="E502" s="272" t="n">
        <f aca="false">IFERROR(__xludf.dummyfunction("""COMPUTED_VALUE"""),55224526)</f>
        <v>55224526</v>
      </c>
      <c r="F502" s="193"/>
      <c r="G502" s="272" t="n">
        <f aca="false">IFERROR(__xludf.dummyfunction("""COMPUTED_VALUE"""),59539200)</f>
        <v>59539200</v>
      </c>
      <c r="H502" s="271" t="str">
        <f aca="false">IFERROR(__xludf.dummyfunction("""COMPUTED_VALUE"""),"Estimated")</f>
        <v>Estimated</v>
      </c>
      <c r="I502" s="272" t="n">
        <f aca="false">IFERROR(__xludf.dummyfunction("""COMPUTED_VALUE"""),64302336)</f>
        <v>64302336</v>
      </c>
      <c r="J502" s="271" t="str">
        <f aca="false">IFERROR(__xludf.dummyfunction("""COMPUTED_VALUE"""),"Estimated")</f>
        <v>Estimated</v>
      </c>
      <c r="K502" s="272" t="n">
        <f aca="false">IFERROR(__xludf.dummyfunction("""COMPUTED_VALUE"""),69065472)</f>
        <v>69065472</v>
      </c>
      <c r="L502" s="271" t="str">
        <f aca="false">IFERROR(__xludf.dummyfunction("""COMPUTED_VALUE"""),"Estimated")</f>
        <v>Estimated</v>
      </c>
      <c r="M502" s="272" t="n">
        <f aca="false">IFERROR(__xludf.dummyfunction("""COMPUTED_VALUE"""),79246650)</f>
        <v>79246650</v>
      </c>
      <c r="N502" s="193" t="str">
        <f aca="false">IFERROR(__xludf.dummyfunction("""COMPUTED_VALUE"""),"UFA - Bird")</f>
        <v>UFA - Bird</v>
      </c>
      <c r="O502" s="193" t="n">
        <f aca="false">IFERROR(__xludf.dummyfunction("""COMPUTED_VALUE"""),1)</f>
        <v>1</v>
      </c>
      <c r="P502" s="193"/>
      <c r="Q502" s="193"/>
      <c r="R502" s="193"/>
      <c r="S502" s="193"/>
      <c r="T502" s="193"/>
      <c r="U502" s="193"/>
      <c r="V502" s="193"/>
      <c r="W502" s="193"/>
      <c r="X502" s="193"/>
      <c r="Y502" s="193"/>
      <c r="Z502" s="193"/>
    </row>
    <row r="503" customFormat="false" ht="15.75" hidden="false" customHeight="false" outlineLevel="0" collapsed="false">
      <c r="A503" s="193" t="str">
        <f aca="false">IFERROR(__xludf.dummyfunction("""COMPUTED_VALUE"""),"Paul George")</f>
        <v>Paul George</v>
      </c>
      <c r="B503" s="271" t="str">
        <f aca="false">IFERROR(__xludf.dummyfunction("""COMPUTED_VALUE"""),"Philadelphia Sixers")</f>
        <v>Philadelphia Sixers</v>
      </c>
      <c r="C503" s="272" t="n">
        <f aca="false">IFERROR(__xludf.dummyfunction("""COMPUTED_VALUE"""),49205800)</f>
        <v>49205800</v>
      </c>
      <c r="D503" s="193"/>
      <c r="E503" s="272" t="n">
        <f aca="false">IFERROR(__xludf.dummyfunction("""COMPUTED_VALUE"""),51666090)</f>
        <v>51666090</v>
      </c>
      <c r="F503" s="193"/>
      <c r="G503" s="272" t="n">
        <f aca="false">IFERROR(__xludf.dummyfunction("""COMPUTED_VALUE"""),54126380)</f>
        <v>54126380</v>
      </c>
      <c r="H503" s="193"/>
      <c r="I503" s="272" t="n">
        <f aca="false">IFERROR(__xludf.dummyfunction("""COMPUTED_VALUE"""),56586670)</f>
        <v>56586670</v>
      </c>
      <c r="J503" s="271" t="str">
        <f aca="false">IFERROR(__xludf.dummyfunction("""COMPUTED_VALUE"""),"Player Option")</f>
        <v>Player Option</v>
      </c>
      <c r="K503" s="272" t="n">
        <f aca="false">IFERROR(__xludf.dummyfunction("""COMPUTED_VALUE"""),72042212)</f>
        <v>72042212</v>
      </c>
      <c r="L503" s="193" t="str">
        <f aca="false">IFERROR(__xludf.dummyfunction("""COMPUTED_VALUE"""),"UFA - Bird")</f>
        <v>UFA - Bird</v>
      </c>
      <c r="M503" s="273"/>
      <c r="N503" s="193"/>
      <c r="O503" s="193" t="n">
        <f aca="false">IFERROR(__xludf.dummyfunction("""COMPUTED_VALUE"""),1)</f>
        <v>1</v>
      </c>
      <c r="P503" s="193"/>
      <c r="Q503" s="193"/>
      <c r="R503" s="193"/>
      <c r="S503" s="193"/>
      <c r="T503" s="193"/>
      <c r="U503" s="193"/>
      <c r="V503" s="193"/>
      <c r="W503" s="193"/>
      <c r="X503" s="193"/>
      <c r="Y503" s="193"/>
      <c r="Z503" s="193"/>
    </row>
    <row r="504" customFormat="false" ht="15.75" hidden="false" customHeight="false" outlineLevel="0" collapsed="false">
      <c r="A504" s="193" t="str">
        <f aca="false">IFERROR(__xludf.dummyfunction("""COMPUTED_VALUE"""),"Tyrese Maxey")</f>
        <v>Tyrese Maxey</v>
      </c>
      <c r="B504" s="271" t="str">
        <f aca="false">IFERROR(__xludf.dummyfunction("""COMPUTED_VALUE"""),"Philadelphia Sixers")</f>
        <v>Philadelphia Sixers</v>
      </c>
      <c r="C504" s="272" t="n">
        <f aca="false">IFERROR(__xludf.dummyfunction("""COMPUTED_VALUE"""),35147000)</f>
        <v>35147000</v>
      </c>
      <c r="D504" s="193"/>
      <c r="E504" s="272" t="n">
        <f aca="false">IFERROR(__xludf.dummyfunction("""COMPUTED_VALUE"""),37958760)</f>
        <v>37958760</v>
      </c>
      <c r="F504" s="193"/>
      <c r="G504" s="272" t="n">
        <f aca="false">IFERROR(__xludf.dummyfunction("""COMPUTED_VALUE"""),40770520)</f>
        <v>40770520</v>
      </c>
      <c r="H504" s="193"/>
      <c r="I504" s="272" t="n">
        <f aca="false">IFERROR(__xludf.dummyfunction("""COMPUTED_VALUE"""),43582280)</f>
        <v>43582280</v>
      </c>
      <c r="J504" s="193"/>
      <c r="K504" s="272" t="n">
        <f aca="false">IFERROR(__xludf.dummyfunction("""COMPUTED_VALUE"""),46394040)</f>
        <v>46394040</v>
      </c>
      <c r="L504" s="193"/>
      <c r="M504" s="272" t="n">
        <f aca="false">IFERROR(__xludf.dummyfunction("""COMPUTED_VALUE"""),67925514)</f>
        <v>67925514</v>
      </c>
      <c r="N504" s="193" t="str">
        <f aca="false">IFERROR(__xludf.dummyfunction("""COMPUTED_VALUE"""),"UFA - Bird")</f>
        <v>UFA - Bird</v>
      </c>
      <c r="O504" s="193" t="n">
        <f aca="false">IFERROR(__xludf.dummyfunction("""COMPUTED_VALUE"""),1)</f>
        <v>1</v>
      </c>
      <c r="P504" s="193"/>
      <c r="Q504" s="193"/>
      <c r="R504" s="193"/>
      <c r="S504" s="193"/>
      <c r="T504" s="193"/>
      <c r="U504" s="193"/>
      <c r="V504" s="193"/>
      <c r="W504" s="193"/>
      <c r="X504" s="193"/>
      <c r="Y504" s="193"/>
      <c r="Z504" s="193"/>
    </row>
    <row r="505" customFormat="false" ht="15.75" hidden="false" customHeight="false" outlineLevel="0" collapsed="false">
      <c r="A505" s="193" t="str">
        <f aca="false">IFERROR(__xludf.dummyfunction("""COMPUTED_VALUE"""),"Quentin Grimes")</f>
        <v>Quentin Grimes</v>
      </c>
      <c r="B505" s="271" t="str">
        <f aca="false">IFERROR(__xludf.dummyfunction("""COMPUTED_VALUE"""),"Philadelphia Sixers")</f>
        <v>Philadelphia Sixers</v>
      </c>
      <c r="C505" s="272" t="n">
        <f aca="false">IFERROR(__xludf.dummyfunction("""COMPUTED_VALUE"""),4296682)</f>
        <v>4296682</v>
      </c>
      <c r="D505" s="193"/>
      <c r="E505" s="272" t="n">
        <f aca="false">IFERROR(__xludf.dummyfunction("""COMPUTED_VALUE"""),22000000)</f>
        <v>22000000</v>
      </c>
      <c r="F505" s="193"/>
      <c r="G505" s="272" t="n">
        <f aca="false">IFERROR(__xludf.dummyfunction("""COMPUTED_VALUE"""),23760000)</f>
        <v>23760000</v>
      </c>
      <c r="H505" s="193"/>
      <c r="I505" s="272" t="n">
        <f aca="false">IFERROR(__xludf.dummyfunction("""COMPUTED_VALUE"""),25520000)</f>
        <v>25520000</v>
      </c>
      <c r="J505" s="193"/>
      <c r="K505" s="272" t="n">
        <f aca="false">IFERROR(__xludf.dummyfunction("""COMPUTED_VALUE"""),27280000)</f>
        <v>27280000</v>
      </c>
      <c r="L505" s="193"/>
      <c r="M505" s="272" t="n">
        <f aca="false">IFERROR(__xludf.dummyfunction("""COMPUTED_VALUE"""),40920000)</f>
        <v>40920000</v>
      </c>
      <c r="N505" s="271" t="str">
        <f aca="false">IFERROR(__xludf.dummyfunction("""COMPUTED_VALUE"""),"UFA - Bird")</f>
        <v>UFA - Bird</v>
      </c>
      <c r="O505" s="193" t="n">
        <f aca="false">IFERROR(__xludf.dummyfunction("""COMPUTED_VALUE"""),1)</f>
        <v>1</v>
      </c>
      <c r="P505" s="193"/>
      <c r="Q505" s="193"/>
      <c r="R505" s="193"/>
      <c r="S505" s="193"/>
      <c r="T505" s="193"/>
      <c r="U505" s="193"/>
      <c r="V505" s="193"/>
      <c r="W505" s="193"/>
      <c r="X505" s="193"/>
      <c r="Y505" s="193"/>
      <c r="Z505" s="193"/>
    </row>
    <row r="506" customFormat="false" ht="15.75" hidden="false" customHeight="false" outlineLevel="0" collapsed="false">
      <c r="A506" s="193" t="str">
        <f aca="false">IFERROR(__xludf.dummyfunction("""COMPUTED_VALUE"""),"Ace Bailey (R)")</f>
        <v>Ace Bailey (R)</v>
      </c>
      <c r="B506" s="271" t="str">
        <f aca="false">IFERROR(__xludf.dummyfunction("""COMPUTED_VALUE"""),"Philadelphia Sixers")</f>
        <v>Philadelphia Sixers</v>
      </c>
      <c r="C506" s="273"/>
      <c r="D506" s="193"/>
      <c r="E506" s="272" t="n">
        <f aca="false">IFERROR(__xludf.dummyfunction("""COMPUTED_VALUE"""),11108880)</f>
        <v>11108880</v>
      </c>
      <c r="F506" s="193"/>
      <c r="G506" s="272" t="n">
        <f aca="false">IFERROR(__xludf.dummyfunction("""COMPUTED_VALUE"""),11663880)</f>
        <v>11663880</v>
      </c>
      <c r="H506" s="193"/>
      <c r="I506" s="272" t="n">
        <f aca="false">IFERROR(__xludf.dummyfunction("""COMPUTED_VALUE"""),12219720)</f>
        <v>12219720</v>
      </c>
      <c r="J506" s="271" t="str">
        <f aca="false">IFERROR(__xludf.dummyfunction("""COMPUTED_VALUE"""),"Club Option")</f>
        <v>Club Option</v>
      </c>
      <c r="K506" s="272" t="n">
        <f aca="false">IFERROR(__xludf.dummyfunction("""COMPUTED_VALUE"""),15445726.08)</f>
        <v>15445726.08</v>
      </c>
      <c r="L506" s="271" t="str">
        <f aca="false">IFERROR(__xludf.dummyfunction("""COMPUTED_VALUE"""),"Club Option")</f>
        <v>Club Option</v>
      </c>
      <c r="M506" s="272" t="n">
        <f aca="false">IFERROR(__xludf.dummyfunction("""COMPUTED_VALUE"""),46337178.24)</f>
        <v>46337178.24</v>
      </c>
      <c r="N506" s="271" t="str">
        <f aca="false">IFERROR(__xludf.dummyfunction("""COMPUTED_VALUE"""),"RFA - Bird")</f>
        <v>RFA - Bird</v>
      </c>
      <c r="O506" s="193" t="n">
        <f aca="false">IFERROR(__xludf.dummyfunction("""COMPUTED_VALUE"""),1)</f>
        <v>1</v>
      </c>
      <c r="P506" s="193"/>
      <c r="Q506" s="193"/>
      <c r="R506" s="193"/>
      <c r="S506" s="193"/>
      <c r="T506" s="193"/>
      <c r="U506" s="193"/>
      <c r="V506" s="193"/>
      <c r="W506" s="193"/>
      <c r="X506" s="193"/>
      <c r="Y506" s="193"/>
      <c r="Z506" s="193"/>
    </row>
    <row r="507" customFormat="false" ht="15.75" hidden="false" customHeight="false" outlineLevel="0" collapsed="false">
      <c r="A507" s="193" t="str">
        <f aca="false">IFERROR(__xludf.dummyfunction("""COMPUTED_VALUE"""),"Andre Drummond")</f>
        <v>Andre Drummond</v>
      </c>
      <c r="B507" s="271" t="str">
        <f aca="false">IFERROR(__xludf.dummyfunction("""COMPUTED_VALUE"""),"Philadelphia Sixers")</f>
        <v>Philadelphia Sixers</v>
      </c>
      <c r="C507" s="272" t="n">
        <f aca="false">IFERROR(__xludf.dummyfunction("""COMPUTED_VALUE"""),5000000)</f>
        <v>5000000</v>
      </c>
      <c r="D507" s="193"/>
      <c r="E507" s="272" t="n">
        <f aca="false">IFERROR(__xludf.dummyfunction("""COMPUTED_VALUE"""),5000000)</f>
        <v>5000000</v>
      </c>
      <c r="F507" s="193"/>
      <c r="G507" s="272" t="n">
        <f aca="false">IFERROR(__xludf.dummyfunction("""COMPUTED_VALUE"""),6500000)</f>
        <v>6500000</v>
      </c>
      <c r="H507" s="193" t="str">
        <f aca="false">IFERROR(__xludf.dummyfunction("""COMPUTED_VALUE"""),"UFA - Early Bird")</f>
        <v>UFA - Early Bird</v>
      </c>
      <c r="I507" s="272" t="str">
        <f aca="false">IFERROR(__xludf.dummyfunction("""COMPUTED_VALUE"""),"")</f>
        <v/>
      </c>
      <c r="J507" s="193"/>
      <c r="K507" s="273"/>
      <c r="L507" s="193"/>
      <c r="M507" s="273"/>
      <c r="N507" s="193"/>
      <c r="O507" s="193" t="n">
        <f aca="false">IFERROR(__xludf.dummyfunction("""COMPUTED_VALUE"""),1)</f>
        <v>1</v>
      </c>
      <c r="P507" s="193"/>
      <c r="Q507" s="193"/>
      <c r="R507" s="193"/>
      <c r="S507" s="193"/>
      <c r="T507" s="193"/>
      <c r="U507" s="193"/>
      <c r="V507" s="193"/>
      <c r="W507" s="193"/>
      <c r="X507" s="193"/>
      <c r="Y507" s="193"/>
      <c r="Z507" s="193"/>
    </row>
    <row r="508" customFormat="false" ht="15.75" hidden="false" customHeight="false" outlineLevel="0" collapsed="false">
      <c r="A508" s="193" t="str">
        <f aca="false">IFERROR(__xludf.dummyfunction("""COMPUTED_VALUE"""),"Jared McCain")</f>
        <v>Jared McCain</v>
      </c>
      <c r="B508" s="271" t="str">
        <f aca="false">IFERROR(__xludf.dummyfunction("""COMPUTED_VALUE"""),"Philadelphia Sixers")</f>
        <v>Philadelphia Sixers</v>
      </c>
      <c r="C508" s="272" t="n">
        <f aca="false">IFERROR(__xludf.dummyfunction("""COMPUTED_VALUE"""),4020360)</f>
        <v>4020360</v>
      </c>
      <c r="D508" s="193"/>
      <c r="E508" s="272" t="n">
        <f aca="false">IFERROR(__xludf.dummyfunction("""COMPUTED_VALUE"""),4221360)</f>
        <v>4221360</v>
      </c>
      <c r="F508" s="193"/>
      <c r="G508" s="272" t="n">
        <f aca="false">IFERROR(__xludf.dummyfunction("""COMPUTED_VALUE"""),4422600)</f>
        <v>4422600</v>
      </c>
      <c r="H508" s="193" t="str">
        <f aca="false">IFERROR(__xludf.dummyfunction("""COMPUTED_VALUE"""),"Club Option")</f>
        <v>Club Option</v>
      </c>
      <c r="I508" s="272" t="n">
        <f aca="false">IFERROR(__xludf.dummyfunction("""COMPUTED_VALUE"""),6784268)</f>
        <v>6784268</v>
      </c>
      <c r="J508" s="193" t="str">
        <f aca="false">IFERROR(__xludf.dummyfunction("""COMPUTED_VALUE"""),"Club Option")</f>
        <v>Club Option</v>
      </c>
      <c r="K508" s="272" t="n">
        <f aca="false">IFERROR(__xludf.dummyfunction("""COMPUTED_VALUE"""),20352804)</f>
        <v>20352804</v>
      </c>
      <c r="L508" s="271" t="str">
        <f aca="false">IFERROR(__xludf.dummyfunction("""COMPUTED_VALUE"""),"RFA - Bird")</f>
        <v>RFA - Bird</v>
      </c>
      <c r="M508" s="273"/>
      <c r="N508" s="193"/>
      <c r="O508" s="193" t="n">
        <f aca="false">IFERROR(__xludf.dummyfunction("""COMPUTED_VALUE"""),1)</f>
        <v>1</v>
      </c>
      <c r="P508" s="193"/>
      <c r="Q508" s="193"/>
      <c r="R508" s="193"/>
      <c r="S508" s="193"/>
      <c r="T508" s="193"/>
      <c r="U508" s="193"/>
      <c r="V508" s="193"/>
      <c r="W508" s="193"/>
      <c r="X508" s="193"/>
      <c r="Y508" s="193"/>
      <c r="Z508" s="193"/>
    </row>
    <row r="509" customFormat="false" ht="15.75" hidden="false" customHeight="false" outlineLevel="0" collapsed="false">
      <c r="A509" s="193" t="str">
        <f aca="false">IFERROR(__xludf.dummyfunction("""COMPUTED_VALUE"""),"Eric Gordon")</f>
        <v>Eric Gordon</v>
      </c>
      <c r="B509" s="271" t="str">
        <f aca="false">IFERROR(__xludf.dummyfunction("""COMPUTED_VALUE"""),"Philadelphia Sixers")</f>
        <v>Philadelphia Sixers</v>
      </c>
      <c r="C509" s="272" t="n">
        <f aca="false">IFERROR(__xludf.dummyfunction("""COMPUTED_VALUE"""),3303771)</f>
        <v>3303771</v>
      </c>
      <c r="D509" s="193"/>
      <c r="E509" s="272" t="n">
        <f aca="false">IFERROR(__xludf.dummyfunction("""COMPUTED_VALUE"""),3468960)</f>
        <v>3468960</v>
      </c>
      <c r="F509" s="193"/>
      <c r="G509" s="272" t="n">
        <f aca="false">IFERROR(__xludf.dummyfunction("""COMPUTED_VALUE"""),2525899)</f>
        <v>2525899</v>
      </c>
      <c r="H509" s="193" t="str">
        <f aca="false">IFERROR(__xludf.dummyfunction("""COMPUTED_VALUE"""),"UFA - Early Bird")</f>
        <v>UFA - Early Bird</v>
      </c>
      <c r="I509" s="272" t="str">
        <f aca="false">IFERROR(__xludf.dummyfunction("""COMPUTED_VALUE"""),"")</f>
        <v/>
      </c>
      <c r="J509" s="193"/>
      <c r="K509" s="273"/>
      <c r="L509" s="193"/>
      <c r="M509" s="273"/>
      <c r="N509" s="193"/>
      <c r="O509" s="193" t="n">
        <f aca="false">IFERROR(__xludf.dummyfunction("""COMPUTED_VALUE"""),1)</f>
        <v>1</v>
      </c>
      <c r="P509" s="193"/>
      <c r="Q509" s="193"/>
      <c r="R509" s="193"/>
      <c r="S509" s="193"/>
      <c r="T509" s="193"/>
      <c r="U509" s="193"/>
      <c r="V509" s="193"/>
      <c r="W509" s="193"/>
      <c r="X509" s="193"/>
      <c r="Y509" s="193"/>
      <c r="Z509" s="193"/>
    </row>
    <row r="510" customFormat="false" ht="15.75" hidden="false" customHeight="false" outlineLevel="0" collapsed="false">
      <c r="A510" s="193" t="str">
        <f aca="false">IFERROR(__xludf.dummyfunction("""COMPUTED_VALUE"""),"Lonnie Walker IV")</f>
        <v>Lonnie Walker IV</v>
      </c>
      <c r="B510" s="271" t="str">
        <f aca="false">IFERROR(__xludf.dummyfunction("""COMPUTED_VALUE"""),"Philadelphia Sixers")</f>
        <v>Philadelphia Sixers</v>
      </c>
      <c r="C510" s="272" t="n">
        <f aca="false">IFERROR(__xludf.dummyfunction("""COMPUTED_VALUE"""),780932)</f>
        <v>780932</v>
      </c>
      <c r="D510" s="193"/>
      <c r="E510" s="272" t="n">
        <f aca="false">IFERROR(__xludf.dummyfunction("""COMPUTED_VALUE"""),2940876)</f>
        <v>2940876</v>
      </c>
      <c r="F510" s="193"/>
      <c r="G510" s="272" t="n">
        <f aca="false">IFERROR(__xludf.dummyfunction("""COMPUTED_VALUE"""),2525899)</f>
        <v>2525899</v>
      </c>
      <c r="H510" s="193" t="str">
        <f aca="false">IFERROR(__xludf.dummyfunction("""COMPUTED_VALUE"""),"UFA - Early Bird")</f>
        <v>UFA - Early Bird</v>
      </c>
      <c r="I510" s="272" t="str">
        <f aca="false">IFERROR(__xludf.dummyfunction("""COMPUTED_VALUE"""),"")</f>
        <v/>
      </c>
      <c r="J510" s="193"/>
      <c r="K510" s="273"/>
      <c r="L510" s="193"/>
      <c r="M510" s="273"/>
      <c r="N510" s="193"/>
      <c r="O510" s="193" t="n">
        <f aca="false">IFERROR(__xludf.dummyfunction("""COMPUTED_VALUE"""),1)</f>
        <v>1</v>
      </c>
      <c r="P510" s="193"/>
      <c r="Q510" s="193"/>
      <c r="R510" s="193"/>
      <c r="S510" s="193"/>
      <c r="T510" s="193"/>
      <c r="U510" s="193"/>
      <c r="V510" s="193"/>
      <c r="W510" s="193"/>
      <c r="X510" s="193"/>
      <c r="Y510" s="193"/>
      <c r="Z510" s="193"/>
    </row>
    <row r="511" customFormat="false" ht="15.75" hidden="false" customHeight="false" outlineLevel="0" collapsed="false">
      <c r="A511" s="193" t="str">
        <f aca="false">IFERROR(__xludf.dummyfunction("""COMPUTED_VALUE"""),"Jared Butler")</f>
        <v>Jared Butler</v>
      </c>
      <c r="B511" s="271" t="str">
        <f aca="false">IFERROR(__xludf.dummyfunction("""COMPUTED_VALUE"""),"Philadelphia Sixers")</f>
        <v>Philadelphia Sixers</v>
      </c>
      <c r="C511" s="272" t="n">
        <f aca="false">IFERROR(__xludf.dummyfunction("""COMPUTED_VALUE"""),745726)</f>
        <v>745726</v>
      </c>
      <c r="D511" s="193"/>
      <c r="E511" s="272" t="n">
        <f aca="false">IFERROR(__xludf.dummyfunction("""COMPUTED_VALUE"""),2349578)</f>
        <v>2349578</v>
      </c>
      <c r="F511" s="193"/>
      <c r="G511" s="272" t="n">
        <f aca="false">IFERROR(__xludf.dummyfunction("""COMPUTED_VALUE"""),2525899)</f>
        <v>2525899</v>
      </c>
      <c r="H511" s="193" t="str">
        <f aca="false">IFERROR(__xludf.dummyfunction("""COMPUTED_VALUE"""),"UFA - Early Bird")</f>
        <v>UFA - Early Bird</v>
      </c>
      <c r="I511" s="272" t="str">
        <f aca="false">IFERROR(__xludf.dummyfunction("""COMPUTED_VALUE"""),"")</f>
        <v/>
      </c>
      <c r="J511" s="193"/>
      <c r="K511" s="273"/>
      <c r="L511" s="193"/>
      <c r="M511" s="273"/>
      <c r="N511" s="193"/>
      <c r="O511" s="193" t="n">
        <f aca="false">IFERROR(__xludf.dummyfunction("""COMPUTED_VALUE"""),1)</f>
        <v>1</v>
      </c>
      <c r="P511" s="193"/>
      <c r="Q511" s="193"/>
      <c r="R511" s="193"/>
      <c r="S511" s="193"/>
      <c r="T511" s="193"/>
      <c r="U511" s="193"/>
      <c r="V511" s="193"/>
      <c r="W511" s="193"/>
      <c r="X511" s="193"/>
      <c r="Y511" s="193"/>
      <c r="Z511" s="193"/>
    </row>
    <row r="512" customFormat="false" ht="15.75" hidden="false" customHeight="false" outlineLevel="0" collapsed="false">
      <c r="A512" s="193" t="str">
        <f aca="false">IFERROR(__xludf.dummyfunction("""COMPUTED_VALUE"""),"Kyle Lowry")</f>
        <v>Kyle Lowry</v>
      </c>
      <c r="B512" s="271" t="str">
        <f aca="false">IFERROR(__xludf.dummyfunction("""COMPUTED_VALUE"""),"Philadelphia Sixers")</f>
        <v>Philadelphia Sixers</v>
      </c>
      <c r="C512" s="272" t="n">
        <f aca="false">IFERROR(__xludf.dummyfunction("""COMPUTED_VALUE"""),2087519)</f>
        <v>2087519</v>
      </c>
      <c r="D512" s="193"/>
      <c r="E512" s="272" t="n">
        <f aca="false">IFERROR(__xludf.dummyfunction("""COMPUTED_VALUE"""),2296274)</f>
        <v>2296274</v>
      </c>
      <c r="F512" s="193" t="str">
        <f aca="false">IFERROR(__xludf.dummyfunction("""COMPUTED_VALUE"""),"UFA - Non-Bird")</f>
        <v>UFA - Non-Bird</v>
      </c>
      <c r="G512" s="273"/>
      <c r="H512" s="193"/>
      <c r="I512" s="272" t="str">
        <f aca="false">IFERROR(__xludf.dummyfunction("""COMPUTED_VALUE"""),"")</f>
        <v/>
      </c>
      <c r="J512" s="193"/>
      <c r="K512" s="273"/>
      <c r="L512" s="193"/>
      <c r="M512" s="273"/>
      <c r="N512" s="193"/>
      <c r="O512" s="193" t="n">
        <f aca="false">IFERROR(__xludf.dummyfunction("""COMPUTED_VALUE"""),1)</f>
        <v>1</v>
      </c>
      <c r="P512" s="193"/>
      <c r="Q512" s="193"/>
      <c r="R512" s="193"/>
      <c r="S512" s="193"/>
      <c r="T512" s="193"/>
      <c r="U512" s="193"/>
      <c r="V512" s="193"/>
      <c r="W512" s="193"/>
      <c r="X512" s="193"/>
      <c r="Y512" s="193"/>
      <c r="Z512" s="193"/>
    </row>
    <row r="513" customFormat="false" ht="15.75" hidden="false" customHeight="false" outlineLevel="0" collapsed="false">
      <c r="A513" s="193" t="str">
        <f aca="false">IFERROR(__xludf.dummyfunction("""COMPUTED_VALUE"""),"Amir Coffey")</f>
        <v>Amir Coffey</v>
      </c>
      <c r="B513" s="271" t="str">
        <f aca="false">IFERROR(__xludf.dummyfunction("""COMPUTED_VALUE"""),"Philadelphia Sixers")</f>
        <v>Philadelphia Sixers</v>
      </c>
      <c r="C513" s="272" t="n">
        <f aca="false">IFERROR(__xludf.dummyfunction("""COMPUTED_VALUE"""),3938271)</f>
        <v>3938271</v>
      </c>
      <c r="D513" s="193"/>
      <c r="E513" s="272" t="n">
        <f aca="false">IFERROR(__xludf.dummyfunction("""COMPUTED_VALUE"""),2296271)</f>
        <v>2296271</v>
      </c>
      <c r="F513" s="193"/>
      <c r="G513" s="272" t="n">
        <f aca="false">IFERROR(__xludf.dummyfunction("""COMPUTED_VALUE"""),2525898.1)</f>
        <v>2525898.1</v>
      </c>
      <c r="H513" s="271" t="str">
        <f aca="false">IFERROR(__xludf.dummyfunction("""COMPUTED_VALUE"""),"UFA - Non-Bird")</f>
        <v>UFA - Non-Bird</v>
      </c>
      <c r="I513" s="273"/>
      <c r="J513" s="193"/>
      <c r="K513" s="273"/>
      <c r="L513" s="193"/>
      <c r="M513" s="273"/>
      <c r="N513" s="193"/>
      <c r="O513" s="193" t="n">
        <f aca="false">IFERROR(__xludf.dummyfunction("""COMPUTED_VALUE"""),1)</f>
        <v>1</v>
      </c>
      <c r="P513" s="193"/>
      <c r="Q513" s="193"/>
      <c r="R513" s="193"/>
      <c r="S513" s="193"/>
      <c r="T513" s="193"/>
      <c r="U513" s="193"/>
      <c r="V513" s="193"/>
      <c r="W513" s="193"/>
      <c r="X513" s="193"/>
      <c r="Y513" s="193"/>
      <c r="Z513" s="193"/>
    </row>
    <row r="514" customFormat="false" ht="15.75" hidden="false" customHeight="false" outlineLevel="0" collapsed="false">
      <c r="A514" s="193" t="str">
        <f aca="false">IFERROR(__xludf.dummyfunction("""COMPUTED_VALUE"""),"Jalen Wilson")</f>
        <v>Jalen Wilson</v>
      </c>
      <c r="B514" s="271" t="str">
        <f aca="false">IFERROR(__xludf.dummyfunction("""COMPUTED_VALUE"""),"Philadelphia Sixers")</f>
        <v>Philadelphia Sixers</v>
      </c>
      <c r="C514" s="272" t="n">
        <f aca="false">IFERROR(__xludf.dummyfunction("""COMPUTED_VALUE"""),1891857)</f>
        <v>1891857</v>
      </c>
      <c r="D514" s="193"/>
      <c r="E514" s="272" t="n">
        <f aca="false">IFERROR(__xludf.dummyfunction("""COMPUTED_VALUE"""),2221677)</f>
        <v>2221677</v>
      </c>
      <c r="F514" s="193"/>
      <c r="G514" s="272" t="n">
        <f aca="false">IFERROR(__xludf.dummyfunction("""COMPUTED_VALUE"""),2999264)</f>
        <v>2999264</v>
      </c>
      <c r="H514" s="193" t="str">
        <f aca="false">IFERROR(__xludf.dummyfunction("""COMPUTED_VALUE"""),"RFA - Bird")</f>
        <v>RFA - Bird</v>
      </c>
      <c r="I514" s="272" t="str">
        <f aca="false">IFERROR(__xludf.dummyfunction("""COMPUTED_VALUE"""),"")</f>
        <v/>
      </c>
      <c r="J514" s="193"/>
      <c r="K514" s="273"/>
      <c r="L514" s="193"/>
      <c r="M514" s="273"/>
      <c r="N514" s="193"/>
      <c r="O514" s="193" t="n">
        <f aca="false">IFERROR(__xludf.dummyfunction("""COMPUTED_VALUE"""),1)</f>
        <v>1</v>
      </c>
      <c r="P514" s="193"/>
      <c r="Q514" s="193"/>
      <c r="R514" s="193"/>
      <c r="S514" s="193"/>
      <c r="T514" s="193"/>
      <c r="U514" s="193"/>
      <c r="V514" s="193"/>
      <c r="W514" s="193"/>
      <c r="X514" s="193"/>
      <c r="Y514" s="193"/>
      <c r="Z514" s="193"/>
    </row>
    <row r="515" customFormat="false" ht="15.75" hidden="false" customHeight="false" outlineLevel="0" collapsed="false">
      <c r="A515" s="193" t="str">
        <f aca="false">IFERROR(__xludf.dummyfunction("""COMPUTED_VALUE"""),"Jeff Dowtin")</f>
        <v>Jeff Dowtin</v>
      </c>
      <c r="B515" s="271" t="str">
        <f aca="false">IFERROR(__xludf.dummyfunction("""COMPUTED_VALUE"""),"Philadelphia Sixers")</f>
        <v>Philadelphia Sixers</v>
      </c>
      <c r="C515" s="272" t="str">
        <f aca="false">IFERROR(__xludf.dummyfunction("""COMPUTED_VALUE"""),"Two-way")</f>
        <v>Two-way</v>
      </c>
      <c r="D515" s="271" t="str">
        <f aca="false">IFERROR(__xludf.dummyfunction("""COMPUTED_VALUE"""),"Two-way")</f>
        <v>Two-way</v>
      </c>
      <c r="E515" s="272" t="n">
        <f aca="false">IFERROR(__xludf.dummyfunction("""COMPUTED_VALUE"""),2048491)</f>
        <v>2048491</v>
      </c>
      <c r="F515" s="271" t="str">
        <f aca="false">IFERROR(__xludf.dummyfunction("""COMPUTED_VALUE"""),"UFA - Two-way")</f>
        <v>UFA - Two-way</v>
      </c>
      <c r="G515" s="273"/>
      <c r="H515" s="193"/>
      <c r="I515" s="273"/>
      <c r="J515" s="193"/>
      <c r="K515" s="273"/>
      <c r="L515" s="193"/>
      <c r="M515" s="273"/>
      <c r="N515" s="193"/>
      <c r="O515" s="193" t="n">
        <f aca="false">IFERROR(__xludf.dummyfunction("""COMPUTED_VALUE"""),1)</f>
        <v>1</v>
      </c>
      <c r="P515" s="193"/>
      <c r="Q515" s="193"/>
      <c r="R515" s="193"/>
      <c r="S515" s="193"/>
      <c r="T515" s="193"/>
      <c r="U515" s="193"/>
      <c r="V515" s="193"/>
      <c r="W515" s="193"/>
      <c r="X515" s="193"/>
      <c r="Y515" s="193"/>
      <c r="Z515" s="193"/>
    </row>
    <row r="516" customFormat="false" ht="15.75" hidden="false" customHeight="false" outlineLevel="0" collapsed="false">
      <c r="A516" s="193" t="str">
        <f aca="false">IFERROR(__xludf.dummyfunction("""COMPUTED_VALUE"""),"Adem Bona")</f>
        <v>Adem Bona</v>
      </c>
      <c r="B516" s="271" t="str">
        <f aca="false">IFERROR(__xludf.dummyfunction("""COMPUTED_VALUE"""),"Philadelphia Sixers")</f>
        <v>Philadelphia Sixers</v>
      </c>
      <c r="C516" s="272" t="n">
        <f aca="false">IFERROR(__xludf.dummyfunction("""COMPUTED_VALUE"""),1157153)</f>
        <v>1157153</v>
      </c>
      <c r="D516" s="193"/>
      <c r="E516" s="272" t="n">
        <f aca="false">IFERROR(__xludf.dummyfunction("""COMPUTED_VALUE"""),1955377)</f>
        <v>1955377</v>
      </c>
      <c r="F516" s="193"/>
      <c r="G516" s="272" t="n">
        <f aca="false">IFERROR(__xludf.dummyfunction("""COMPUTED_VALUE"""),2296271)</f>
        <v>2296271</v>
      </c>
      <c r="H516" s="271" t="str">
        <f aca="false">IFERROR(__xludf.dummyfunction("""COMPUTED_VALUE"""),"Non Guaranteed")</f>
        <v>Non Guaranteed</v>
      </c>
      <c r="I516" s="272" t="n">
        <f aca="false">IFERROR(__xludf.dummyfunction("""COMPUTED_VALUE"""),2486995)</f>
        <v>2486995</v>
      </c>
      <c r="J516" s="193" t="str">
        <f aca="false">IFERROR(__xludf.dummyfunction("""COMPUTED_VALUE"""),"Club Option")</f>
        <v>Club Option</v>
      </c>
      <c r="K516" s="272" t="n">
        <f aca="false">IFERROR(__xludf.dummyfunction("""COMPUTED_VALUE"""),3056337)</f>
        <v>3056337</v>
      </c>
      <c r="L516" s="193" t="str">
        <f aca="false">IFERROR(__xludf.dummyfunction("""COMPUTED_VALUE"""),"UFA - Bird")</f>
        <v>UFA - Bird</v>
      </c>
      <c r="M516" s="273"/>
      <c r="N516" s="193"/>
      <c r="O516" s="193" t="n">
        <f aca="false">IFERROR(__xludf.dummyfunction("""COMPUTED_VALUE"""),1)</f>
        <v>1</v>
      </c>
      <c r="P516" s="193"/>
      <c r="Q516" s="193"/>
      <c r="R516" s="193"/>
      <c r="S516" s="193"/>
      <c r="T516" s="193"/>
      <c r="U516" s="193"/>
      <c r="V516" s="193"/>
      <c r="W516" s="193"/>
      <c r="X516" s="193"/>
      <c r="Y516" s="193"/>
      <c r="Z516" s="193"/>
    </row>
    <row r="517" customFormat="false" ht="15.75" hidden="false" customHeight="false" outlineLevel="0" collapsed="false">
      <c r="A517" s="193" t="str">
        <f aca="false">IFERROR(__xludf.dummyfunction("""COMPUTED_VALUE"""),"Justin Edwards")</f>
        <v>Justin Edwards</v>
      </c>
      <c r="B517" s="271" t="str">
        <f aca="false">IFERROR(__xludf.dummyfunction("""COMPUTED_VALUE"""),"Philadelphia Sixers")</f>
        <v>Philadelphia Sixers</v>
      </c>
      <c r="C517" s="272" t="n">
        <f aca="false">IFERROR(__xludf.dummyfunction("""COMPUTED_VALUE"""),425619)</f>
        <v>425619</v>
      </c>
      <c r="D517" s="193"/>
      <c r="E517" s="272" t="n">
        <f aca="false">IFERROR(__xludf.dummyfunction("""COMPUTED_VALUE"""),1955377)</f>
        <v>1955377</v>
      </c>
      <c r="F517" s="193"/>
      <c r="G517" s="272" t="n">
        <f aca="false">IFERROR(__xludf.dummyfunction("""COMPUTED_VALUE"""),2725905)</f>
        <v>2725905</v>
      </c>
      <c r="H517" s="193" t="str">
        <f aca="false">IFERROR(__xludf.dummyfunction("""COMPUTED_VALUE"""),"RFA - Early Bird")</f>
        <v>RFA - Early Bird</v>
      </c>
      <c r="I517" s="272" t="str">
        <f aca="false">IFERROR(__xludf.dummyfunction("""COMPUTED_VALUE"""),"")</f>
        <v/>
      </c>
      <c r="J517" s="193"/>
      <c r="K517" s="273"/>
      <c r="L517" s="193"/>
      <c r="M517" s="273"/>
      <c r="N517" s="193"/>
      <c r="O517" s="193" t="n">
        <f aca="false">IFERROR(__xludf.dummyfunction("""COMPUTED_VALUE"""),1)</f>
        <v>1</v>
      </c>
      <c r="P517" s="193"/>
      <c r="Q517" s="193"/>
      <c r="R517" s="193"/>
      <c r="S517" s="193"/>
      <c r="T517" s="193"/>
      <c r="U517" s="193"/>
      <c r="V517" s="193"/>
      <c r="W517" s="193"/>
      <c r="X517" s="193"/>
      <c r="Y517" s="193"/>
      <c r="Z517" s="193"/>
    </row>
    <row r="518" customFormat="false" ht="15.75" hidden="false" customHeight="false" outlineLevel="0" collapsed="false">
      <c r="A518" s="193" t="str">
        <f aca="false">IFERROR(__xludf.dummyfunction("""COMPUTED_VALUE"""),"Koby Brea (R)")</f>
        <v>Koby Brea (R)</v>
      </c>
      <c r="B518" s="271" t="str">
        <f aca="false">IFERROR(__xludf.dummyfunction("""COMPUTED_VALUE"""),"Philadelphia Sixers")</f>
        <v>Philadelphia Sixers</v>
      </c>
      <c r="C518" s="273"/>
      <c r="D518" s="193"/>
      <c r="E518" s="272" t="n">
        <f aca="false">IFERROR(__xludf.dummyfunction("""COMPUTED_VALUE"""),1272869)</f>
        <v>1272869</v>
      </c>
      <c r="F518" s="193"/>
      <c r="G518" s="272" t="n">
        <f aca="false">IFERROR(__xludf.dummyfunction("""COMPUTED_VALUE"""),2150915.55)</f>
        <v>2150915.55</v>
      </c>
      <c r="H518" s="271" t="str">
        <f aca="false">IFERROR(__xludf.dummyfunction("""COMPUTED_VALUE"""),"Non Guaranteed")</f>
        <v>Non Guaranteed</v>
      </c>
      <c r="I518" s="272" t="n">
        <f aca="false">IFERROR(__xludf.dummyfunction("""COMPUTED_VALUE"""),2525899)</f>
        <v>2525899</v>
      </c>
      <c r="J518" s="271" t="str">
        <f aca="false">IFERROR(__xludf.dummyfunction("""COMPUTED_VALUE"""),"Club Option")</f>
        <v>Club Option</v>
      </c>
      <c r="K518" s="272" t="n">
        <f aca="false">IFERROR(__xludf.dummyfunction("""COMPUTED_VALUE"""),4799206.2)</f>
        <v>4799206.2</v>
      </c>
      <c r="L518" s="271" t="str">
        <f aca="false">IFERROR(__xludf.dummyfunction("""COMPUTED_VALUE"""),"UFA - Bird")</f>
        <v>UFA - Bird</v>
      </c>
      <c r="M518" s="273"/>
      <c r="N518" s="193"/>
      <c r="O518" s="193" t="n">
        <f aca="false">IFERROR(__xludf.dummyfunction("""COMPUTED_VALUE"""),1)</f>
        <v>1</v>
      </c>
      <c r="P518" s="193"/>
      <c r="Q518" s="193"/>
      <c r="R518" s="193"/>
      <c r="S518" s="193"/>
      <c r="T518" s="193"/>
      <c r="U518" s="193"/>
      <c r="V518" s="193"/>
      <c r="W518" s="193"/>
      <c r="X518" s="193"/>
      <c r="Y518" s="193"/>
      <c r="Z518" s="193"/>
    </row>
    <row r="519" customFormat="false" ht="15.75" hidden="false" customHeight="false" outlineLevel="0" collapsed="false">
      <c r="A519" s="193" t="str">
        <f aca="false">IFERROR(__xludf.dummyfunction("""COMPUTED_VALUE"""),"TyTy Washington Jr.")</f>
        <v>TyTy Washington Jr.</v>
      </c>
      <c r="B519" s="271" t="str">
        <f aca="false">IFERROR(__xludf.dummyfunction("""COMPUTED_VALUE"""),"Phoenix Suns")</f>
        <v>Phoenix Suns</v>
      </c>
      <c r="C519" s="272" t="str">
        <f aca="false">IFERROR(__xludf.dummyfunction("""COMPUTED_VALUE"""),"Two-way")</f>
        <v>Two-way</v>
      </c>
      <c r="D519" s="271" t="str">
        <f aca="false">IFERROR(__xludf.dummyfunction("""COMPUTED_VALUE"""),"Two-way")</f>
        <v>Two-way</v>
      </c>
      <c r="E519" s="272" t="str">
        <f aca="false">IFERROR(__xludf.dummyfunction("""COMPUTED_VALUE"""),"Two-way")</f>
        <v>Two-way</v>
      </c>
      <c r="F519" s="271" t="str">
        <f aca="false">IFERROR(__xludf.dummyfunction("""COMPUTED_VALUE"""),"Two-way")</f>
        <v>Two-way</v>
      </c>
      <c r="G519" s="272" t="n">
        <f aca="false">IFERROR(__xludf.dummyfunction("""COMPUTED_VALUE"""),2253346)</f>
        <v>2253346</v>
      </c>
      <c r="H519" s="271" t="str">
        <f aca="false">IFERROR(__xludf.dummyfunction("""COMPUTED_VALUE"""),"UFA - Two-way")</f>
        <v>UFA - Two-way</v>
      </c>
      <c r="I519" s="273"/>
      <c r="J519" s="193"/>
      <c r="K519" s="273"/>
      <c r="L519" s="193"/>
      <c r="M519" s="273"/>
      <c r="N519" s="193"/>
      <c r="O519" s="193" t="n">
        <f aca="false">IFERROR(__xludf.dummyfunction("""COMPUTED_VALUE"""),1)</f>
        <v>1</v>
      </c>
      <c r="P519" s="193"/>
      <c r="Q519" s="193"/>
      <c r="R519" s="193"/>
      <c r="S519" s="193"/>
      <c r="T519" s="193"/>
      <c r="U519" s="193"/>
      <c r="V519" s="193"/>
      <c r="W519" s="193"/>
      <c r="X519" s="193"/>
      <c r="Y519" s="193"/>
      <c r="Z519" s="193"/>
    </row>
    <row r="520" customFormat="false" ht="15.75" hidden="false" customHeight="false" outlineLevel="0" collapsed="false">
      <c r="A520" s="193" t="str">
        <f aca="false">IFERROR(__xludf.dummyfunction("""COMPUTED_VALUE"""),"Adama Sanogo")</f>
        <v>Adama Sanogo</v>
      </c>
      <c r="B520" s="271" t="str">
        <f aca="false">IFERROR(__xludf.dummyfunction("""COMPUTED_VALUE"""),"Phoenix Suns")</f>
        <v>Phoenix Suns</v>
      </c>
      <c r="C520" s="272" t="str">
        <f aca="false">IFERROR(__xludf.dummyfunction("""COMPUTED_VALUE"""),"Two-way")</f>
        <v>Two-way</v>
      </c>
      <c r="D520" s="271" t="str">
        <f aca="false">IFERROR(__xludf.dummyfunction("""COMPUTED_VALUE"""),"Two-way")</f>
        <v>Two-way</v>
      </c>
      <c r="E520" s="272" t="str">
        <f aca="false">IFERROR(__xludf.dummyfunction("""COMPUTED_VALUE"""),"Two-Way")</f>
        <v>Two-Way</v>
      </c>
      <c r="F520" s="193" t="str">
        <f aca="false">IFERROR(__xludf.dummyfunction("""COMPUTED_VALUE"""),"Two-Way")</f>
        <v>Two-Way</v>
      </c>
      <c r="G520" s="272" t="n">
        <f aca="false">IFERROR(__xludf.dummyfunction("""COMPUTED_VALUE"""),2253346)</f>
        <v>2253346</v>
      </c>
      <c r="H520" s="193" t="str">
        <f aca="false">IFERROR(__xludf.dummyfunction("""COMPUTED_VALUE"""),"UFA - Two-Way")</f>
        <v>UFA - Two-Way</v>
      </c>
      <c r="I520" s="273"/>
      <c r="J520" s="193"/>
      <c r="K520" s="273"/>
      <c r="L520" s="193"/>
      <c r="M520" s="273"/>
      <c r="N520" s="193"/>
      <c r="O520" s="193" t="n">
        <f aca="false">IFERROR(__xludf.dummyfunction("""COMPUTED_VALUE"""),1)</f>
        <v>1</v>
      </c>
      <c r="P520" s="193"/>
      <c r="Q520" s="193"/>
      <c r="R520" s="193"/>
      <c r="S520" s="193"/>
      <c r="T520" s="193"/>
      <c r="U520" s="193"/>
      <c r="V520" s="193"/>
      <c r="W520" s="193"/>
      <c r="X520" s="193"/>
      <c r="Y520" s="193"/>
      <c r="Z520" s="193"/>
    </row>
    <row r="521" customFormat="false" ht="15.75" hidden="false" customHeight="false" outlineLevel="0" collapsed="false">
      <c r="A521" s="193" t="str">
        <f aca="false">IFERROR(__xludf.dummyfunction("""COMPUTED_VALUE"""),"Jalen Bridges")</f>
        <v>Jalen Bridges</v>
      </c>
      <c r="B521" s="271" t="str">
        <f aca="false">IFERROR(__xludf.dummyfunction("""COMPUTED_VALUE"""),"Phoenix Suns")</f>
        <v>Phoenix Suns</v>
      </c>
      <c r="C521" s="272" t="str">
        <f aca="false">IFERROR(__xludf.dummyfunction("""COMPUTED_VALUE"""),"Two-way")</f>
        <v>Two-way</v>
      </c>
      <c r="D521" s="271" t="str">
        <f aca="false">IFERROR(__xludf.dummyfunction("""COMPUTED_VALUE"""),"Two-way")</f>
        <v>Two-way</v>
      </c>
      <c r="E521" s="272" t="str">
        <f aca="false">IFERROR(__xludf.dummyfunction("""COMPUTED_VALUE"""),"Two-Way")</f>
        <v>Two-Way</v>
      </c>
      <c r="F521" s="271" t="str">
        <f aca="false">IFERROR(__xludf.dummyfunction("""COMPUTED_VALUE"""),"Two-Way")</f>
        <v>Two-Way</v>
      </c>
      <c r="G521" s="272" t="n">
        <f aca="false">IFERROR(__xludf.dummyfunction("""COMPUTED_VALUE"""),2253346)</f>
        <v>2253346</v>
      </c>
      <c r="H521" s="271" t="str">
        <f aca="false">IFERROR(__xludf.dummyfunction("""COMPUTED_VALUE"""),"UFA - Two-Way")</f>
        <v>UFA - Two-Way</v>
      </c>
      <c r="I521" s="273"/>
      <c r="J521" s="193"/>
      <c r="K521" s="273"/>
      <c r="L521" s="193"/>
      <c r="M521" s="273"/>
      <c r="N521" s="193"/>
      <c r="O521" s="193" t="n">
        <f aca="false">IFERROR(__xludf.dummyfunction("""COMPUTED_VALUE"""),1)</f>
        <v>1</v>
      </c>
      <c r="P521" s="193"/>
      <c r="Q521" s="193"/>
      <c r="R521" s="193"/>
      <c r="S521" s="193"/>
      <c r="T521" s="193"/>
      <c r="U521" s="193"/>
      <c r="V521" s="193"/>
      <c r="W521" s="193"/>
      <c r="X521" s="193"/>
      <c r="Y521" s="193"/>
      <c r="Z521" s="193"/>
    </row>
    <row r="522" customFormat="false" ht="15.75" hidden="false" customHeight="false" outlineLevel="0" collapsed="false">
      <c r="A522" s="193" t="str">
        <f aca="false">IFERROR(__xludf.dummyfunction("""COMPUTED_VALUE"""),"Bradley Beal")</f>
        <v>Bradley Beal</v>
      </c>
      <c r="B522" s="271" t="str">
        <f aca="false">IFERROR(__xludf.dummyfunction("""COMPUTED_VALUE"""),"Phoenix Suns")</f>
        <v>Phoenix Suns</v>
      </c>
      <c r="C522" s="272" t="n">
        <f aca="false">IFERROR(__xludf.dummyfunction("""COMPUTED_VALUE"""),50203930)</f>
        <v>50203930</v>
      </c>
      <c r="D522" s="193"/>
      <c r="E522" s="272" t="n">
        <f aca="false">IFERROR(__xludf.dummyfunction("""COMPUTED_VALUE"""),53666270)</f>
        <v>53666270</v>
      </c>
      <c r="F522" s="193"/>
      <c r="G522" s="272" t="n">
        <f aca="false">IFERROR(__xludf.dummyfunction("""COMPUTED_VALUE"""),57128610)</f>
        <v>57128610</v>
      </c>
      <c r="H522" s="271" t="str">
        <f aca="false">IFERROR(__xludf.dummyfunction("""COMPUTED_VALUE"""),"Player Option")</f>
        <v>Player Option</v>
      </c>
      <c r="I522" s="272" t="n">
        <f aca="false">IFERROR(__xludf.dummyfunction("""COMPUTED_VALUE"""),65684850)</f>
        <v>65684850</v>
      </c>
      <c r="J522" s="193" t="str">
        <f aca="false">IFERROR(__xludf.dummyfunction("""COMPUTED_VALUE"""),"UFA - Bird")</f>
        <v>UFA - Bird</v>
      </c>
      <c r="K522" s="273"/>
      <c r="L522" s="193"/>
      <c r="M522" s="273"/>
      <c r="N522" s="193"/>
      <c r="O522" s="193" t="n">
        <f aca="false">IFERROR(__xludf.dummyfunction("""COMPUTED_VALUE"""),1)</f>
        <v>1</v>
      </c>
      <c r="P522" s="193"/>
      <c r="Q522" s="193"/>
      <c r="R522" s="193"/>
      <c r="S522" s="193"/>
      <c r="T522" s="193"/>
      <c r="U522" s="193"/>
      <c r="V522" s="193"/>
      <c r="W522" s="193"/>
      <c r="X522" s="193"/>
      <c r="Y522" s="193"/>
      <c r="Z522" s="193"/>
    </row>
    <row r="523" customFormat="false" ht="15.75" hidden="false" customHeight="false" outlineLevel="0" collapsed="false">
      <c r="A523" s="193" t="str">
        <f aca="false">IFERROR(__xludf.dummyfunction("""COMPUTED_VALUE"""),"Devin Booker")</f>
        <v>Devin Booker</v>
      </c>
      <c r="B523" s="271" t="str">
        <f aca="false">IFERROR(__xludf.dummyfunction("""COMPUTED_VALUE"""),"Phoenix Suns")</f>
        <v>Phoenix Suns</v>
      </c>
      <c r="C523" s="272" t="n">
        <f aca="false">IFERROR(__xludf.dummyfunction("""COMPUTED_VALUE"""),49205800)</f>
        <v>49205800</v>
      </c>
      <c r="D523" s="193"/>
      <c r="E523" s="272" t="n">
        <f aca="false">IFERROR(__xludf.dummyfunction("""COMPUTED_VALUE"""),53142264)</f>
        <v>53142264</v>
      </c>
      <c r="F523" s="193"/>
      <c r="G523" s="272" t="n">
        <f aca="false">IFERROR(__xludf.dummyfunction("""COMPUTED_VALUE"""),57078728)</f>
        <v>57078728</v>
      </c>
      <c r="H523" s="193"/>
      <c r="I523" s="272" t="n">
        <f aca="false">IFERROR(__xludf.dummyfunction("""COMPUTED_VALUE"""),61015192)</f>
        <v>61015192</v>
      </c>
      <c r="J523" s="193"/>
      <c r="K523" s="272" t="n">
        <f aca="false">IFERROR(__xludf.dummyfunction("""COMPUTED_VALUE"""),72042212)</f>
        <v>72042212</v>
      </c>
      <c r="L523" s="193" t="str">
        <f aca="false">IFERROR(__xludf.dummyfunction("""COMPUTED_VALUE"""),"UFA - Bird")</f>
        <v>UFA - Bird</v>
      </c>
      <c r="M523" s="273"/>
      <c r="N523" s="193"/>
      <c r="O523" s="193" t="n">
        <f aca="false">IFERROR(__xludf.dummyfunction("""COMPUTED_VALUE"""),1)</f>
        <v>1</v>
      </c>
      <c r="P523" s="193"/>
      <c r="Q523" s="193"/>
      <c r="R523" s="193"/>
      <c r="S523" s="193"/>
      <c r="T523" s="193"/>
      <c r="U523" s="193"/>
      <c r="V523" s="193"/>
      <c r="W523" s="193"/>
      <c r="X523" s="193"/>
      <c r="Y523" s="193"/>
      <c r="Z523" s="193"/>
    </row>
    <row r="524" customFormat="false" ht="15.75" hidden="false" customHeight="false" outlineLevel="0" collapsed="false">
      <c r="A524" s="193" t="str">
        <f aca="false">IFERROR(__xludf.dummyfunction("""COMPUTED_VALUE"""),"Harrison Barnes")</f>
        <v>Harrison Barnes</v>
      </c>
      <c r="B524" s="271" t="str">
        <f aca="false">IFERROR(__xludf.dummyfunction("""COMPUTED_VALUE"""),"Phoenix Suns")</f>
        <v>Phoenix Suns</v>
      </c>
      <c r="C524" s="272" t="n">
        <f aca="false">IFERROR(__xludf.dummyfunction("""COMPUTED_VALUE"""),18000000)</f>
        <v>18000000</v>
      </c>
      <c r="D524" s="193"/>
      <c r="E524" s="272" t="n">
        <f aca="false">IFERROR(__xludf.dummyfunction("""COMPUTED_VALUE"""),19000000)</f>
        <v>19000000</v>
      </c>
      <c r="F524" s="193"/>
      <c r="G524" s="272" t="n">
        <f aca="false">IFERROR(__xludf.dummyfunction("""COMPUTED_VALUE"""),28500000)</f>
        <v>28500000</v>
      </c>
      <c r="H524" s="271" t="str">
        <f aca="false">IFERROR(__xludf.dummyfunction("""COMPUTED_VALUE"""),"UFA - Bird")</f>
        <v>UFA - Bird</v>
      </c>
      <c r="I524" s="273"/>
      <c r="J524" s="193"/>
      <c r="K524" s="273"/>
      <c r="L524" s="193"/>
      <c r="M524" s="273"/>
      <c r="N524" s="193"/>
      <c r="O524" s="193" t="n">
        <f aca="false">IFERROR(__xludf.dummyfunction("""COMPUTED_VALUE"""),1)</f>
        <v>1</v>
      </c>
      <c r="P524" s="193"/>
      <c r="Q524" s="193"/>
      <c r="R524" s="193"/>
      <c r="S524" s="193"/>
      <c r="T524" s="193"/>
      <c r="U524" s="193"/>
      <c r="V524" s="193"/>
      <c r="W524" s="193"/>
      <c r="X524" s="193"/>
      <c r="Y524" s="193"/>
      <c r="Z524" s="193"/>
    </row>
    <row r="525" customFormat="false" ht="15.75" hidden="false" customHeight="false" outlineLevel="0" collapsed="false">
      <c r="A525" s="193" t="str">
        <f aca="false">IFERROR(__xludf.dummyfunction("""COMPUTED_VALUE"""),"Keldon Johnson")</f>
        <v>Keldon Johnson</v>
      </c>
      <c r="B525" s="271" t="str">
        <f aca="false">IFERROR(__xludf.dummyfunction("""COMPUTED_VALUE"""),"Phoenix Suns")</f>
        <v>Phoenix Suns</v>
      </c>
      <c r="C525" s="272" t="n">
        <f aca="false">IFERROR(__xludf.dummyfunction("""COMPUTED_VALUE"""),19000000)</f>
        <v>19000000</v>
      </c>
      <c r="D525" s="193"/>
      <c r="E525" s="272" t="n">
        <f aca="false">IFERROR(__xludf.dummyfunction("""COMPUTED_VALUE"""),17500000)</f>
        <v>17500000</v>
      </c>
      <c r="F525" s="193"/>
      <c r="G525" s="272" t="n">
        <f aca="false">IFERROR(__xludf.dummyfunction("""COMPUTED_VALUE"""),17500000)</f>
        <v>17500000</v>
      </c>
      <c r="H525" s="193"/>
      <c r="I525" s="272" t="n">
        <f aca="false">IFERROR(__xludf.dummyfunction("""COMPUTED_VALUE"""),26250000)</f>
        <v>26250000</v>
      </c>
      <c r="J525" s="271" t="str">
        <f aca="false">IFERROR(__xludf.dummyfunction("""COMPUTED_VALUE"""),"UFA - Bird")</f>
        <v>UFA - Bird</v>
      </c>
      <c r="K525" s="273"/>
      <c r="L525" s="193"/>
      <c r="M525" s="273"/>
      <c r="N525" s="193"/>
      <c r="O525" s="193" t="n">
        <f aca="false">IFERROR(__xludf.dummyfunction("""COMPUTED_VALUE"""),1)</f>
        <v>1</v>
      </c>
      <c r="P525" s="193"/>
      <c r="Q525" s="193"/>
      <c r="R525" s="193"/>
      <c r="S525" s="193"/>
      <c r="T525" s="193"/>
      <c r="U525" s="193"/>
      <c r="V525" s="193"/>
      <c r="W525" s="193"/>
      <c r="X525" s="193"/>
      <c r="Y525" s="193"/>
      <c r="Z525" s="193"/>
    </row>
    <row r="526" customFormat="false" ht="15.75" hidden="false" customHeight="false" outlineLevel="0" collapsed="false">
      <c r="A526" s="193" t="str">
        <f aca="false">IFERROR(__xludf.dummyfunction("""COMPUTED_VALUE"""),"Grayson Allen")</f>
        <v>Grayson Allen</v>
      </c>
      <c r="B526" s="271" t="str">
        <f aca="false">IFERROR(__xludf.dummyfunction("""COMPUTED_VALUE"""),"Phoenix Suns")</f>
        <v>Phoenix Suns</v>
      </c>
      <c r="C526" s="272" t="n">
        <f aca="false">IFERROR(__xludf.dummyfunction("""COMPUTED_VALUE"""),15625000)</f>
        <v>15625000</v>
      </c>
      <c r="D526" s="193"/>
      <c r="E526" s="272" t="n">
        <f aca="false">IFERROR(__xludf.dummyfunction("""COMPUTED_VALUE"""),16875000)</f>
        <v>16875000</v>
      </c>
      <c r="F526" s="193"/>
      <c r="G526" s="272" t="n">
        <f aca="false">IFERROR(__xludf.dummyfunction("""COMPUTED_VALUE"""),18125000)</f>
        <v>18125000</v>
      </c>
      <c r="H526" s="193"/>
      <c r="I526" s="272" t="n">
        <f aca="false">IFERROR(__xludf.dummyfunction("""COMPUTED_VALUE"""),19375000)</f>
        <v>19375000</v>
      </c>
      <c r="J526" s="271" t="str">
        <f aca="false">IFERROR(__xludf.dummyfunction("""COMPUTED_VALUE"""),"Player Option")</f>
        <v>Player Option</v>
      </c>
      <c r="K526" s="272" t="n">
        <f aca="false">IFERROR(__xludf.dummyfunction("""COMPUTED_VALUE"""),29062500)</f>
        <v>29062500</v>
      </c>
      <c r="L526" s="193" t="str">
        <f aca="false">IFERROR(__xludf.dummyfunction("""COMPUTED_VALUE"""),"UFA - Bird")</f>
        <v>UFA - Bird</v>
      </c>
      <c r="M526" s="273"/>
      <c r="N526" s="193"/>
      <c r="O526" s="193" t="n">
        <f aca="false">IFERROR(__xludf.dummyfunction("""COMPUTED_VALUE"""),1)</f>
        <v>1</v>
      </c>
      <c r="P526" s="193"/>
      <c r="Q526" s="193"/>
      <c r="R526" s="193"/>
      <c r="S526" s="193"/>
      <c r="T526" s="193"/>
      <c r="U526" s="193"/>
      <c r="V526" s="193"/>
      <c r="W526" s="193"/>
      <c r="X526" s="193"/>
      <c r="Y526" s="193"/>
      <c r="Z526" s="193"/>
    </row>
    <row r="527" customFormat="false" ht="15.75" hidden="false" customHeight="false" outlineLevel="0" collapsed="false">
      <c r="A527" s="193" t="str">
        <f aca="false">IFERROR(__xludf.dummyfunction("""COMPUTED_VALUE"""),"Vasilije Micic")</f>
        <v>Vasilije Micic</v>
      </c>
      <c r="B527" s="271" t="str">
        <f aca="false">IFERROR(__xludf.dummyfunction("""COMPUTED_VALUE"""),"Phoenix Suns")</f>
        <v>Phoenix Suns</v>
      </c>
      <c r="C527" s="272" t="n">
        <f aca="false">IFERROR(__xludf.dummyfunction("""COMPUTED_VALUE"""),7723000)</f>
        <v>7723000</v>
      </c>
      <c r="D527" s="193"/>
      <c r="E527" s="272" t="n">
        <f aca="false">IFERROR(__xludf.dummyfunction("""COMPUTED_VALUE"""),15407385)</f>
        <v>15407385</v>
      </c>
      <c r="F527" s="193" t="str">
        <f aca="false">IFERROR(__xludf.dummyfunction("""COMPUTED_VALUE"""),"UFA - Early Bird")</f>
        <v>UFA - Early Bird</v>
      </c>
      <c r="G527" s="273"/>
      <c r="H527" s="193"/>
      <c r="I527" s="272" t="str">
        <f aca="false">IFERROR(__xludf.dummyfunction("""COMPUTED_VALUE"""),"")</f>
        <v/>
      </c>
      <c r="J527" s="193"/>
      <c r="K527" s="273"/>
      <c r="L527" s="193"/>
      <c r="M527" s="273"/>
      <c r="N527" s="193"/>
      <c r="O527" s="193" t="n">
        <f aca="false">IFERROR(__xludf.dummyfunction("""COMPUTED_VALUE"""),1)</f>
        <v>1</v>
      </c>
      <c r="P527" s="193"/>
      <c r="Q527" s="193"/>
      <c r="R527" s="193"/>
      <c r="S527" s="193"/>
      <c r="T527" s="193"/>
      <c r="U527" s="193"/>
      <c r="V527" s="193"/>
      <c r="W527" s="193"/>
      <c r="X527" s="193"/>
      <c r="Y527" s="193"/>
      <c r="Z527" s="193"/>
    </row>
    <row r="528" customFormat="false" ht="15.75" hidden="false" customHeight="false" outlineLevel="0" collapsed="false">
      <c r="A528" s="193" t="str">
        <f aca="false">IFERROR(__xludf.dummyfunction("""COMPUTED_VALUE"""),"Royce O'Neale")</f>
        <v>Royce O'Neale</v>
      </c>
      <c r="B528" s="271" t="str">
        <f aca="false">IFERROR(__xludf.dummyfunction("""COMPUTED_VALUE"""),"Phoenix Suns")</f>
        <v>Phoenix Suns</v>
      </c>
      <c r="C528" s="272" t="n">
        <f aca="false">IFERROR(__xludf.dummyfunction("""COMPUTED_VALUE"""),9375000)</f>
        <v>9375000</v>
      </c>
      <c r="D528" s="193"/>
      <c r="E528" s="272" t="n">
        <f aca="false">IFERROR(__xludf.dummyfunction("""COMPUTED_VALUE"""),10125000)</f>
        <v>10125000</v>
      </c>
      <c r="F528" s="193"/>
      <c r="G528" s="272" t="n">
        <f aca="false">IFERROR(__xludf.dummyfunction("""COMPUTED_VALUE"""),10875000)</f>
        <v>10875000</v>
      </c>
      <c r="H528" s="193"/>
      <c r="I528" s="272" t="n">
        <f aca="false">IFERROR(__xludf.dummyfunction("""COMPUTED_VALUE"""),11625000)</f>
        <v>11625000</v>
      </c>
      <c r="J528" s="193"/>
      <c r="K528" s="272" t="n">
        <f aca="false">IFERROR(__xludf.dummyfunction("""COMPUTED_VALUE"""),23027500)</f>
        <v>23027500</v>
      </c>
      <c r="L528" s="193" t="str">
        <f aca="false">IFERROR(__xludf.dummyfunction("""COMPUTED_VALUE"""),"UFA - Bird")</f>
        <v>UFA - Bird</v>
      </c>
      <c r="M528" s="273"/>
      <c r="N528" s="193"/>
      <c r="O528" s="193" t="n">
        <f aca="false">IFERROR(__xludf.dummyfunction("""COMPUTED_VALUE"""),1)</f>
        <v>1</v>
      </c>
      <c r="P528" s="193"/>
      <c r="Q528" s="193"/>
      <c r="R528" s="193"/>
      <c r="S528" s="193"/>
      <c r="T528" s="193"/>
      <c r="U528" s="193"/>
      <c r="V528" s="193"/>
      <c r="W528" s="193"/>
      <c r="X528" s="193"/>
      <c r="Y528" s="193"/>
      <c r="Z528" s="193"/>
    </row>
    <row r="529" customFormat="false" ht="15.75" hidden="false" customHeight="false" outlineLevel="0" collapsed="false">
      <c r="A529" s="193" t="str">
        <f aca="false">IFERROR(__xludf.dummyfunction("""COMPUTED_VALUE"""),"Collin Murray-Boyles (R)")</f>
        <v>Collin Murray-Boyles (R)</v>
      </c>
      <c r="B529" s="271" t="str">
        <f aca="false">IFERROR(__xludf.dummyfunction("""COMPUTED_VALUE"""),"Phoenix Suns")</f>
        <v>Phoenix Suns</v>
      </c>
      <c r="C529" s="273"/>
      <c r="D529" s="193"/>
      <c r="E529" s="272" t="n">
        <f aca="false">IFERROR(__xludf.dummyfunction("""COMPUTED_VALUE"""),4900320)</f>
        <v>4900320</v>
      </c>
      <c r="F529" s="193"/>
      <c r="G529" s="272" t="n">
        <f aca="false">IFERROR(__xludf.dummyfunction("""COMPUTED_VALUE"""),5145360)</f>
        <v>5145360</v>
      </c>
      <c r="H529" s="193"/>
      <c r="I529" s="272" t="n">
        <f aca="false">IFERROR(__xludf.dummyfunction("""COMPUTED_VALUE"""),5390640)</f>
        <v>5390640</v>
      </c>
      <c r="J529" s="271" t="str">
        <f aca="false">IFERROR(__xludf.dummyfunction("""COMPUTED_VALUE"""),"Club Option")</f>
        <v>Club Option</v>
      </c>
      <c r="K529" s="272" t="n">
        <f aca="false">IFERROR(__xludf.dummyfunction("""COMPUTED_VALUE"""),7983537.84)</f>
        <v>7983537.84</v>
      </c>
      <c r="L529" s="271" t="str">
        <f aca="false">IFERROR(__xludf.dummyfunction("""COMPUTED_VALUE"""),"Club Option")</f>
        <v>Club Option</v>
      </c>
      <c r="M529" s="272" t="n">
        <f aca="false">IFERROR(__xludf.dummyfunction("""COMPUTED_VALUE"""),23950613.52)</f>
        <v>23950613.52</v>
      </c>
      <c r="N529" s="271" t="str">
        <f aca="false">IFERROR(__xludf.dummyfunction("""COMPUTED_VALUE"""),"RFA - Bird")</f>
        <v>RFA - Bird</v>
      </c>
      <c r="O529" s="193" t="n">
        <f aca="false">IFERROR(__xludf.dummyfunction("""COMPUTED_VALUE"""),1)</f>
        <v>1</v>
      </c>
      <c r="P529" s="193"/>
      <c r="Q529" s="193"/>
      <c r="R529" s="193"/>
      <c r="S529" s="193"/>
      <c r="T529" s="193"/>
      <c r="U529" s="193"/>
      <c r="V529" s="193"/>
      <c r="W529" s="193"/>
      <c r="X529" s="193"/>
      <c r="Y529" s="193"/>
      <c r="Z529" s="193"/>
    </row>
    <row r="530" customFormat="false" ht="15.75" hidden="false" customHeight="false" outlineLevel="0" collapsed="false">
      <c r="A530" s="193" t="str">
        <f aca="false">IFERROR(__xludf.dummyfunction("""COMPUTED_VALUE"""),"Nassir Little")</f>
        <v>Nassir Little</v>
      </c>
      <c r="B530" s="271" t="str">
        <f aca="false">IFERROR(__xludf.dummyfunction("""COMPUTED_VALUE"""),"Phoenix Suns")</f>
        <v>Phoenix Suns</v>
      </c>
      <c r="C530" s="272" t="n">
        <f aca="false">IFERROR(__xludf.dummyfunction("""COMPUTED_VALUE"""),3107143)</f>
        <v>3107143</v>
      </c>
      <c r="D530" s="271" t="str">
        <f aca="false">IFERROR(__xludf.dummyfunction("""COMPUTED_VALUE"""),"Dead Cap")</f>
        <v>Dead Cap</v>
      </c>
      <c r="E530" s="272" t="n">
        <f aca="false">IFERROR(__xludf.dummyfunction("""COMPUTED_VALUE"""),3107143)</f>
        <v>3107143</v>
      </c>
      <c r="F530" s="271" t="str">
        <f aca="false">IFERROR(__xludf.dummyfunction("""COMPUTED_VALUE"""),"Dead Cap")</f>
        <v>Dead Cap</v>
      </c>
      <c r="G530" s="272" t="n">
        <f aca="false">IFERROR(__xludf.dummyfunction("""COMPUTED_VALUE"""),3107143)</f>
        <v>3107143</v>
      </c>
      <c r="H530" s="271" t="str">
        <f aca="false">IFERROR(__xludf.dummyfunction("""COMPUTED_VALUE"""),"Dead Cap")</f>
        <v>Dead Cap</v>
      </c>
      <c r="I530" s="272" t="n">
        <f aca="false">IFERROR(__xludf.dummyfunction("""COMPUTED_VALUE"""),3107143)</f>
        <v>3107143</v>
      </c>
      <c r="J530" s="271" t="str">
        <f aca="false">IFERROR(__xludf.dummyfunction("""COMPUTED_VALUE"""),"Dead Cap")</f>
        <v>Dead Cap</v>
      </c>
      <c r="K530" s="272" t="n">
        <f aca="false">IFERROR(__xludf.dummyfunction("""COMPUTED_VALUE"""),3107143)</f>
        <v>3107143</v>
      </c>
      <c r="L530" s="271" t="str">
        <f aca="false">IFERROR(__xludf.dummyfunction("""COMPUTED_VALUE"""),"Dead Cap")</f>
        <v>Dead Cap</v>
      </c>
      <c r="M530" s="273"/>
      <c r="N530" s="193"/>
      <c r="O530" s="193" t="n">
        <f aca="false">IFERROR(__xludf.dummyfunction("""COMPUTED_VALUE"""),1)</f>
        <v>1</v>
      </c>
      <c r="P530" s="193"/>
      <c r="Q530" s="193"/>
      <c r="R530" s="193"/>
      <c r="S530" s="193"/>
      <c r="T530" s="193"/>
      <c r="U530" s="193"/>
      <c r="V530" s="193"/>
      <c r="W530" s="193"/>
      <c r="X530" s="193"/>
      <c r="Y530" s="193"/>
      <c r="Z530" s="193"/>
    </row>
    <row r="531" customFormat="false" ht="15.75" hidden="false" customHeight="false" outlineLevel="0" collapsed="false">
      <c r="A531" s="193" t="str">
        <f aca="false">IFERROR(__xludf.dummyfunction("""COMPUTED_VALUE"""),"Miles Byrd (R)")</f>
        <v>Miles Byrd (R)</v>
      </c>
      <c r="B531" s="271" t="str">
        <f aca="false">IFERROR(__xludf.dummyfunction("""COMPUTED_VALUE"""),"Phoenix Suns")</f>
        <v>Phoenix Suns</v>
      </c>
      <c r="C531" s="273"/>
      <c r="D531" s="193"/>
      <c r="E531" s="272" t="n">
        <f aca="false">IFERROR(__xludf.dummyfunction("""COMPUTED_VALUE"""),2763960)</f>
        <v>2763960</v>
      </c>
      <c r="F531" s="193"/>
      <c r="G531" s="272" t="n">
        <f aca="false">IFERROR(__xludf.dummyfunction("""COMPUTED_VALUE"""),2902080)</f>
        <v>2902080</v>
      </c>
      <c r="H531" s="193"/>
      <c r="I531" s="272" t="n">
        <f aca="false">IFERROR(__xludf.dummyfunction("""COMPUTED_VALUE"""),3040320)</f>
        <v>3040320</v>
      </c>
      <c r="J531" s="271" t="str">
        <f aca="false">IFERROR(__xludf.dummyfunction("""COMPUTED_VALUE"""),"Club Option")</f>
        <v>Club Option</v>
      </c>
      <c r="K531" s="272" t="n">
        <f aca="false">IFERROR(__xludf.dummyfunction("""COMPUTED_VALUE"""),5487777.6)</f>
        <v>5487777.6</v>
      </c>
      <c r="L531" s="271" t="str">
        <f aca="false">IFERROR(__xludf.dummyfunction("""COMPUTED_VALUE"""),"Club Option")</f>
        <v>Club Option</v>
      </c>
      <c r="M531" s="272" t="n">
        <f aca="false">IFERROR(__xludf.dummyfunction("""COMPUTED_VALUE"""),16463332.8)</f>
        <v>16463332.8</v>
      </c>
      <c r="N531" s="271" t="str">
        <f aca="false">IFERROR(__xludf.dummyfunction("""COMPUTED_VALUE"""),"RFA - Bird")</f>
        <v>RFA - Bird</v>
      </c>
      <c r="O531" s="193" t="n">
        <f aca="false">IFERROR(__xludf.dummyfunction("""COMPUTED_VALUE"""),1)</f>
        <v>1</v>
      </c>
      <c r="P531" s="193"/>
      <c r="Q531" s="193"/>
      <c r="R531" s="193"/>
      <c r="S531" s="193"/>
      <c r="T531" s="193"/>
      <c r="U531" s="193"/>
      <c r="V531" s="193"/>
      <c r="W531" s="193"/>
      <c r="X531" s="193"/>
      <c r="Y531" s="193"/>
      <c r="Z531" s="193"/>
    </row>
    <row r="532" customFormat="false" ht="15.75" hidden="false" customHeight="false" outlineLevel="0" collapsed="false">
      <c r="A532" s="193" t="str">
        <f aca="false">IFERROR(__xludf.dummyfunction("""COMPUTED_VALUE"""),"Ryan Dunn")</f>
        <v>Ryan Dunn</v>
      </c>
      <c r="B532" s="271" t="str">
        <f aca="false">IFERROR(__xludf.dummyfunction("""COMPUTED_VALUE"""),"Phoenix Suns")</f>
        <v>Phoenix Suns</v>
      </c>
      <c r="C532" s="272" t="n">
        <f aca="false">IFERROR(__xludf.dummyfunction("""COMPUTED_VALUE"""),2530800)</f>
        <v>2530800</v>
      </c>
      <c r="D532" s="193"/>
      <c r="E532" s="272" t="n">
        <f aca="false">IFERROR(__xludf.dummyfunction("""COMPUTED_VALUE"""),2657760)</f>
        <v>2657760</v>
      </c>
      <c r="F532" s="193"/>
      <c r="G532" s="272" t="n">
        <f aca="false">IFERROR(__xludf.dummyfunction("""COMPUTED_VALUE"""),2784240)</f>
        <v>2784240</v>
      </c>
      <c r="H532" s="193" t="str">
        <f aca="false">IFERROR(__xludf.dummyfunction("""COMPUTED_VALUE"""),"Club Option")</f>
        <v>Club Option</v>
      </c>
      <c r="I532" s="272" t="n">
        <f aca="false">IFERROR(__xludf.dummyfunction("""COMPUTED_VALUE"""),5025553)</f>
        <v>5025553</v>
      </c>
      <c r="J532" s="193" t="str">
        <f aca="false">IFERROR(__xludf.dummyfunction("""COMPUTED_VALUE"""),"Club Option")</f>
        <v>Club Option</v>
      </c>
      <c r="K532" s="272" t="n">
        <f aca="false">IFERROR(__xludf.dummyfunction("""COMPUTED_VALUE"""),15076659)</f>
        <v>15076659</v>
      </c>
      <c r="L532" s="271" t="str">
        <f aca="false">IFERROR(__xludf.dummyfunction("""COMPUTED_VALUE"""),"RFA - Bird")</f>
        <v>RFA - Bird</v>
      </c>
      <c r="M532" s="273"/>
      <c r="N532" s="193"/>
      <c r="O532" s="193" t="n">
        <f aca="false">IFERROR(__xludf.dummyfunction("""COMPUTED_VALUE"""),1)</f>
        <v>1</v>
      </c>
      <c r="P532" s="193"/>
      <c r="Q532" s="193"/>
      <c r="R532" s="193"/>
      <c r="S532" s="193"/>
      <c r="T532" s="193"/>
      <c r="U532" s="193"/>
      <c r="V532" s="193"/>
      <c r="W532" s="193"/>
      <c r="X532" s="193"/>
      <c r="Y532" s="193"/>
      <c r="Z532" s="193"/>
    </row>
    <row r="533" customFormat="false" ht="15.75" hidden="false" customHeight="false" outlineLevel="0" collapsed="false">
      <c r="A533" s="193" t="str">
        <f aca="false">IFERROR(__xludf.dummyfunction("""COMPUTED_VALUE"""),"Saben Lee")</f>
        <v>Saben Lee</v>
      </c>
      <c r="B533" s="271" t="str">
        <f aca="false">IFERROR(__xludf.dummyfunction("""COMPUTED_VALUE"""),"Phoenix Suns")</f>
        <v>Phoenix Suns</v>
      </c>
      <c r="C533" s="272" t="n">
        <f aca="false">IFERROR(__xludf.dummyfunction("""COMPUTED_VALUE"""),2237692)</f>
        <v>2237692</v>
      </c>
      <c r="D533" s="271" t="str">
        <f aca="false">IFERROR(__xludf.dummyfunction("""COMPUTED_VALUE"""),"UFA - Two-way")</f>
        <v>UFA - Two-way</v>
      </c>
      <c r="E533" s="272" t="n">
        <f aca="false">IFERROR(__xludf.dummyfunction("""COMPUTED_VALUE"""),2461463)</f>
        <v>2461463</v>
      </c>
      <c r="F533" s="271" t="str">
        <f aca="false">IFERROR(__xludf.dummyfunction("""COMPUTED_VALUE"""),"UFA - Two-way")</f>
        <v>UFA - Two-way</v>
      </c>
      <c r="G533" s="273"/>
      <c r="H533" s="193"/>
      <c r="I533" s="273"/>
      <c r="J533" s="193"/>
      <c r="K533" s="273"/>
      <c r="L533" s="193"/>
      <c r="M533" s="273"/>
      <c r="N533" s="193"/>
      <c r="O533" s="193" t="n">
        <f aca="false">IFERROR(__xludf.dummyfunction("""COMPUTED_VALUE"""),1)</f>
        <v>1</v>
      </c>
      <c r="P533" s="193"/>
      <c r="Q533" s="193"/>
      <c r="R533" s="193"/>
      <c r="S533" s="193"/>
      <c r="T533" s="193"/>
      <c r="U533" s="193"/>
      <c r="V533" s="193"/>
      <c r="W533" s="193"/>
      <c r="X533" s="193"/>
      <c r="Y533" s="193"/>
      <c r="Z533" s="193"/>
    </row>
    <row r="534" customFormat="false" ht="15.75" hidden="false" customHeight="false" outlineLevel="0" collapsed="false">
      <c r="A534" s="193" t="str">
        <f aca="false">IFERROR(__xludf.dummyfunction("""COMPUTED_VALUE"""),"Trey Alexander")</f>
        <v>Trey Alexander</v>
      </c>
      <c r="B534" s="271" t="str">
        <f aca="false">IFERROR(__xludf.dummyfunction("""COMPUTED_VALUE"""),"Phoenix Suns")</f>
        <v>Phoenix Suns</v>
      </c>
      <c r="C534" s="272" t="str">
        <f aca="false">IFERROR(__xludf.dummyfunction("""COMPUTED_VALUE"""),"Two-way")</f>
        <v>Two-way</v>
      </c>
      <c r="D534" s="193"/>
      <c r="E534" s="272" t="n">
        <f aca="false">IFERROR(__xludf.dummyfunction("""COMPUTED_VALUE"""),2388121.84)</f>
        <v>2388121.84</v>
      </c>
      <c r="F534" s="193"/>
      <c r="G534" s="272" t="n">
        <f aca="false">IFERROR(__xludf.dummyfunction("""COMPUTED_VALUE"""),2388121.84)</f>
        <v>2388121.84</v>
      </c>
      <c r="H534" s="193"/>
      <c r="I534" s="272" t="n">
        <f aca="false">IFERROR(__xludf.dummyfunction("""COMPUTED_VALUE"""),2865746.21)</f>
        <v>2865746.21</v>
      </c>
      <c r="J534" s="271" t="str">
        <f aca="false">IFERROR(__xludf.dummyfunction("""COMPUTED_VALUE"""),"UFA - Early Bird")</f>
        <v>UFA - Early Bird</v>
      </c>
      <c r="K534" s="273"/>
      <c r="L534" s="193"/>
      <c r="M534" s="273"/>
      <c r="N534" s="193"/>
      <c r="O534" s="193" t="n">
        <f aca="false">IFERROR(__xludf.dummyfunction("""COMPUTED_VALUE"""),1)</f>
        <v>1</v>
      </c>
      <c r="P534" s="193"/>
      <c r="Q534" s="193"/>
      <c r="R534" s="193"/>
      <c r="S534" s="193"/>
      <c r="T534" s="193"/>
      <c r="U534" s="193"/>
      <c r="V534" s="193"/>
      <c r="W534" s="193"/>
      <c r="X534" s="193"/>
      <c r="Y534" s="193"/>
      <c r="Z534" s="193"/>
    </row>
    <row r="535" customFormat="false" ht="15.75" hidden="false" customHeight="false" outlineLevel="0" collapsed="false">
      <c r="A535" s="193" t="str">
        <f aca="false">IFERROR(__xludf.dummyfunction("""COMPUTED_VALUE"""),"Damion Lee")</f>
        <v>Damion Lee</v>
      </c>
      <c r="B535" s="271" t="str">
        <f aca="false">IFERROR(__xludf.dummyfunction("""COMPUTED_VALUE"""),"Phoenix Suns")</f>
        <v>Phoenix Suns</v>
      </c>
      <c r="C535" s="272" t="n">
        <f aca="false">IFERROR(__xludf.dummyfunction("""COMPUTED_VALUE"""),2087519)</f>
        <v>2087519</v>
      </c>
      <c r="D535" s="193"/>
      <c r="E535" s="272" t="n">
        <f aca="false">IFERROR(__xludf.dummyfunction("""COMPUTED_VALUE"""),2296274)</f>
        <v>2296274</v>
      </c>
      <c r="F535" s="271" t="str">
        <f aca="false">IFERROR(__xludf.dummyfunction("""COMPUTED_VALUE"""),"UFA - Non-Bird")</f>
        <v>UFA - Non-Bird</v>
      </c>
      <c r="G535" s="272" t="str">
        <f aca="false">IFERROR(__xludf.dummyfunction("""COMPUTED_VALUE"""),"")</f>
        <v/>
      </c>
      <c r="H535" s="193"/>
      <c r="I535" s="272" t="str">
        <f aca="false">IFERROR(__xludf.dummyfunction("""COMPUTED_VALUE"""),"")</f>
        <v/>
      </c>
      <c r="J535" s="193"/>
      <c r="K535" s="273"/>
      <c r="L535" s="193"/>
      <c r="M535" s="273"/>
      <c r="N535" s="193"/>
      <c r="O535" s="193" t="n">
        <f aca="false">IFERROR(__xludf.dummyfunction("""COMPUTED_VALUE"""),1)</f>
        <v>1</v>
      </c>
      <c r="P535" s="193"/>
      <c r="Q535" s="193"/>
      <c r="R535" s="193"/>
      <c r="S535" s="193"/>
      <c r="T535" s="193"/>
      <c r="U535" s="193"/>
      <c r="V535" s="193"/>
      <c r="W535" s="193"/>
      <c r="X535" s="193"/>
      <c r="Y535" s="193"/>
      <c r="Z535" s="193"/>
    </row>
    <row r="536" customFormat="false" ht="15.75" hidden="false" customHeight="false" outlineLevel="0" collapsed="false">
      <c r="A536" s="193" t="str">
        <f aca="false">IFERROR(__xludf.dummyfunction("""COMPUTED_VALUE"""),"Terrence Ross")</f>
        <v>Terrence Ross</v>
      </c>
      <c r="B536" s="271" t="str">
        <f aca="false">IFERROR(__xludf.dummyfunction("""COMPUTED_VALUE"""),"Phoenix Suns")</f>
        <v>Phoenix Suns</v>
      </c>
      <c r="C536" s="272" t="n">
        <f aca="false">IFERROR(__xludf.dummyfunction("""COMPUTED_VALUE"""),2087519)</f>
        <v>2087519</v>
      </c>
      <c r="D536" s="271" t="str">
        <f aca="false">IFERROR(__xludf.dummyfunction("""COMPUTED_VALUE"""),"UFA - Non-Bird")</f>
        <v>UFA - Non-Bird</v>
      </c>
      <c r="E536" s="272" t="n">
        <f aca="false">IFERROR(__xludf.dummyfunction("""COMPUTED_VALUE"""),2296274)</f>
        <v>2296274</v>
      </c>
      <c r="F536" s="271" t="str">
        <f aca="false">IFERROR(__xludf.dummyfunction("""COMPUTED_VALUE"""),"UFA - Non-Bird")</f>
        <v>UFA - Non-Bird</v>
      </c>
      <c r="G536" s="273"/>
      <c r="H536" s="193"/>
      <c r="I536" s="273"/>
      <c r="J536" s="193"/>
      <c r="K536" s="273"/>
      <c r="L536" s="193"/>
      <c r="M536" s="273"/>
      <c r="N536" s="193"/>
      <c r="O536" s="193" t="n">
        <f aca="false">IFERROR(__xludf.dummyfunction("""COMPUTED_VALUE"""),1)</f>
        <v>1</v>
      </c>
      <c r="P536" s="193"/>
      <c r="Q536" s="193"/>
      <c r="R536" s="193"/>
      <c r="S536" s="193"/>
      <c r="T536" s="193"/>
      <c r="U536" s="193"/>
      <c r="V536" s="193"/>
      <c r="W536" s="193"/>
      <c r="X536" s="193"/>
      <c r="Y536" s="193"/>
      <c r="Z536" s="193"/>
    </row>
    <row r="537" customFormat="false" ht="15.75" hidden="false" customHeight="false" outlineLevel="0" collapsed="false">
      <c r="A537" s="193" t="str">
        <f aca="false">IFERROR(__xludf.dummyfunction("""COMPUTED_VALUE"""),"Isaiah Crawford")</f>
        <v>Isaiah Crawford</v>
      </c>
      <c r="B537" s="271" t="str">
        <f aca="false">IFERROR(__xludf.dummyfunction("""COMPUTED_VALUE"""),"Phoenix Suns")</f>
        <v>Phoenix Suns</v>
      </c>
      <c r="C537" s="272" t="str">
        <f aca="false">IFERROR(__xludf.dummyfunction("""COMPUTED_VALUE"""),"Two-way")</f>
        <v>Two-way</v>
      </c>
      <c r="D537" s="193"/>
      <c r="E537" s="272" t="n">
        <f aca="false">IFERROR(__xludf.dummyfunction("""COMPUTED_VALUE"""),2296271)</f>
        <v>2296271</v>
      </c>
      <c r="F537" s="193"/>
      <c r="G537" s="272" t="n">
        <f aca="false">IFERROR(__xludf.dummyfunction("""COMPUTED_VALUE"""),2296271)</f>
        <v>2296271</v>
      </c>
      <c r="H537" s="193"/>
      <c r="I537" s="272" t="n">
        <f aca="false">IFERROR(__xludf.dummyfunction("""COMPUTED_VALUE"""),2525898.1)</f>
        <v>2525898.1</v>
      </c>
      <c r="J537" s="271" t="str">
        <f aca="false">IFERROR(__xludf.dummyfunction("""COMPUTED_VALUE"""),"UFA - Early Bird")</f>
        <v>UFA - Early Bird</v>
      </c>
      <c r="K537" s="273"/>
      <c r="L537" s="193"/>
      <c r="M537" s="273"/>
      <c r="N537" s="193"/>
      <c r="O537" s="193" t="n">
        <f aca="false">IFERROR(__xludf.dummyfunction("""COMPUTED_VALUE"""),1)</f>
        <v>1</v>
      </c>
      <c r="P537" s="193"/>
      <c r="Q537" s="193"/>
      <c r="R537" s="193"/>
      <c r="S537" s="193"/>
      <c r="T537" s="193"/>
      <c r="U537" s="193"/>
      <c r="V537" s="193"/>
      <c r="W537" s="193"/>
      <c r="X537" s="193"/>
      <c r="Y537" s="193"/>
      <c r="Z537" s="193"/>
    </row>
    <row r="538" customFormat="false" ht="15.75" hidden="false" customHeight="false" outlineLevel="0" collapsed="false">
      <c r="A538" s="193" t="str">
        <f aca="false">IFERROR(__xludf.dummyfunction("""COMPUTED_VALUE"""),"Collin Gillespie")</f>
        <v>Collin Gillespie</v>
      </c>
      <c r="B538" s="271" t="str">
        <f aca="false">IFERROR(__xludf.dummyfunction("""COMPUTED_VALUE"""),"Phoenix Suns")</f>
        <v>Phoenix Suns</v>
      </c>
      <c r="C538" s="272" t="str">
        <f aca="false">IFERROR(__xludf.dummyfunction("""COMPUTED_VALUE"""),"Two-way")</f>
        <v>Two-way</v>
      </c>
      <c r="D538" s="271" t="str">
        <f aca="false">IFERROR(__xludf.dummyfunction("""COMPUTED_VALUE"""),"Two-way")</f>
        <v>Two-way</v>
      </c>
      <c r="E538" s="272" t="n">
        <f aca="false">IFERROR(__xludf.dummyfunction("""COMPUTED_VALUE"""),2048491)</f>
        <v>2048491</v>
      </c>
      <c r="F538" s="271" t="str">
        <f aca="false">IFERROR(__xludf.dummyfunction("""COMPUTED_VALUE"""),"UFA - Two-way")</f>
        <v>UFA - Two-way</v>
      </c>
      <c r="G538" s="273"/>
      <c r="H538" s="193"/>
      <c r="I538" s="273"/>
      <c r="J538" s="193"/>
      <c r="K538" s="273"/>
      <c r="L538" s="193"/>
      <c r="M538" s="273"/>
      <c r="N538" s="193"/>
      <c r="O538" s="193" t="n">
        <f aca="false">IFERROR(__xludf.dummyfunction("""COMPUTED_VALUE"""),1)</f>
        <v>1</v>
      </c>
      <c r="P538" s="193"/>
      <c r="Q538" s="193"/>
      <c r="R538" s="193"/>
      <c r="S538" s="193"/>
      <c r="T538" s="193"/>
      <c r="U538" s="193"/>
      <c r="V538" s="193"/>
      <c r="W538" s="193"/>
      <c r="X538" s="193"/>
      <c r="Y538" s="193"/>
      <c r="Z538" s="193"/>
    </row>
    <row r="539" customFormat="false" ht="15.75" hidden="false" customHeight="false" outlineLevel="0" collapsed="false">
      <c r="A539" s="193" t="str">
        <f aca="false">IFERROR(__xludf.dummyfunction("""COMPUTED_VALUE"""),"Gabriel Lundberg")</f>
        <v>Gabriel Lundberg</v>
      </c>
      <c r="B539" s="271" t="str">
        <f aca="false">IFERROR(__xludf.dummyfunction("""COMPUTED_VALUE"""),"Phoenix Suns")</f>
        <v>Phoenix Suns</v>
      </c>
      <c r="C539" s="272" t="n">
        <f aca="false">IFERROR(__xludf.dummyfunction("""COMPUTED_VALUE"""),1862265)</f>
        <v>1862265</v>
      </c>
      <c r="D539" s="271" t="str">
        <f aca="false">IFERROR(__xludf.dummyfunction("""COMPUTED_VALUE"""),"UFA - Two-way")</f>
        <v>UFA - Two-way</v>
      </c>
      <c r="E539" s="272" t="n">
        <f aca="false">IFERROR(__xludf.dummyfunction("""COMPUTED_VALUE"""),2048491)</f>
        <v>2048491</v>
      </c>
      <c r="F539" s="271" t="str">
        <f aca="false">IFERROR(__xludf.dummyfunction("""COMPUTED_VALUE"""),"UFA - Two-way")</f>
        <v>UFA - Two-way</v>
      </c>
      <c r="G539" s="273"/>
      <c r="H539" s="193"/>
      <c r="I539" s="273"/>
      <c r="J539" s="193"/>
      <c r="K539" s="273"/>
      <c r="L539" s="193"/>
      <c r="M539" s="273"/>
      <c r="N539" s="193"/>
      <c r="O539" s="193" t="n">
        <f aca="false">IFERROR(__xludf.dummyfunction("""COMPUTED_VALUE"""),1)</f>
        <v>1</v>
      </c>
      <c r="P539" s="193"/>
      <c r="Q539" s="193"/>
      <c r="R539" s="193"/>
      <c r="S539" s="193"/>
      <c r="T539" s="193"/>
      <c r="U539" s="193"/>
      <c r="V539" s="193"/>
      <c r="W539" s="193"/>
      <c r="X539" s="193"/>
      <c r="Y539" s="193"/>
      <c r="Z539" s="193"/>
    </row>
    <row r="540" customFormat="false" ht="15.75" hidden="false" customHeight="false" outlineLevel="0" collapsed="false">
      <c r="A540" s="193" t="str">
        <f aca="false">IFERROR(__xludf.dummyfunction("""COMPUTED_VALUE"""),"Ishmail Wainright")</f>
        <v>Ishmail Wainright</v>
      </c>
      <c r="B540" s="271" t="str">
        <f aca="false">IFERROR(__xludf.dummyfunction("""COMPUTED_VALUE"""),"Phoenix Suns")</f>
        <v>Phoenix Suns</v>
      </c>
      <c r="C540" s="272" t="n">
        <f aca="false">IFERROR(__xludf.dummyfunction("""COMPUTED_VALUE"""),1862265)</f>
        <v>1862265</v>
      </c>
      <c r="D540" s="271" t="str">
        <f aca="false">IFERROR(__xludf.dummyfunction("""COMPUTED_VALUE"""),"UFA - Two-way")</f>
        <v>UFA - Two-way</v>
      </c>
      <c r="E540" s="272" t="n">
        <f aca="false">IFERROR(__xludf.dummyfunction("""COMPUTED_VALUE"""),2048491)</f>
        <v>2048491</v>
      </c>
      <c r="F540" s="271" t="str">
        <f aca="false">IFERROR(__xludf.dummyfunction("""COMPUTED_VALUE"""),"UFA - Two-way")</f>
        <v>UFA - Two-way</v>
      </c>
      <c r="G540" s="273"/>
      <c r="H540" s="193"/>
      <c r="I540" s="273"/>
      <c r="J540" s="193"/>
      <c r="K540" s="273"/>
      <c r="L540" s="193"/>
      <c r="M540" s="273"/>
      <c r="N540" s="193"/>
      <c r="O540" s="193" t="n">
        <f aca="false">IFERROR(__xludf.dummyfunction("""COMPUTED_VALUE"""),1)</f>
        <v>1</v>
      </c>
      <c r="P540" s="193"/>
      <c r="Q540" s="193"/>
      <c r="R540" s="193"/>
      <c r="S540" s="193"/>
      <c r="T540" s="193"/>
      <c r="U540" s="193"/>
      <c r="V540" s="193"/>
      <c r="W540" s="193"/>
      <c r="X540" s="193"/>
      <c r="Y540" s="193"/>
      <c r="Z540" s="193"/>
    </row>
    <row r="541" customFormat="false" ht="15.75" hidden="false" customHeight="false" outlineLevel="0" collapsed="false">
      <c r="A541" s="193" t="str">
        <f aca="false">IFERROR(__xludf.dummyfunction("""COMPUTED_VALUE"""),"Udoka Azubuike")</f>
        <v>Udoka Azubuike</v>
      </c>
      <c r="B541" s="271" t="str">
        <f aca="false">IFERROR(__xludf.dummyfunction("""COMPUTED_VALUE"""),"Phoenix Suns")</f>
        <v>Phoenix Suns</v>
      </c>
      <c r="C541" s="272" t="n">
        <f aca="false">IFERROR(__xludf.dummyfunction("""COMPUTED_VALUE"""),1862265)</f>
        <v>1862265</v>
      </c>
      <c r="D541" s="271" t="str">
        <f aca="false">IFERROR(__xludf.dummyfunction("""COMPUTED_VALUE"""),"UFA - Two-way")</f>
        <v>UFA - Two-way</v>
      </c>
      <c r="E541" s="272" t="n">
        <f aca="false">IFERROR(__xludf.dummyfunction("""COMPUTED_VALUE"""),2048491)</f>
        <v>2048491</v>
      </c>
      <c r="F541" s="271" t="str">
        <f aca="false">IFERROR(__xludf.dummyfunction("""COMPUTED_VALUE"""),"UFA - Two-way")</f>
        <v>UFA - Two-way</v>
      </c>
      <c r="G541" s="273"/>
      <c r="H541" s="193"/>
      <c r="I541" s="273"/>
      <c r="J541" s="193"/>
      <c r="K541" s="273"/>
      <c r="L541" s="193"/>
      <c r="M541" s="273"/>
      <c r="N541" s="193"/>
      <c r="O541" s="193" t="n">
        <f aca="false">IFERROR(__xludf.dummyfunction("""COMPUTED_VALUE"""),1)</f>
        <v>1</v>
      </c>
      <c r="P541" s="193"/>
      <c r="Q541" s="193"/>
      <c r="R541" s="193"/>
      <c r="S541" s="193"/>
      <c r="T541" s="193"/>
      <c r="U541" s="193"/>
      <c r="V541" s="193"/>
      <c r="W541" s="193"/>
      <c r="X541" s="193"/>
      <c r="Y541" s="193"/>
      <c r="Z541" s="193"/>
    </row>
    <row r="542" customFormat="false" ht="15.75" hidden="false" customHeight="false" outlineLevel="0" collapsed="false">
      <c r="A542" s="193" t="str">
        <f aca="false">IFERROR(__xludf.dummyfunction("""COMPUTED_VALUE"""),"Oso Ighodaro")</f>
        <v>Oso Ighodaro</v>
      </c>
      <c r="B542" s="271" t="str">
        <f aca="false">IFERROR(__xludf.dummyfunction("""COMPUTED_VALUE"""),"Phoenix Suns")</f>
        <v>Phoenix Suns</v>
      </c>
      <c r="C542" s="272" t="n">
        <f aca="false">IFERROR(__xludf.dummyfunction("""COMPUTED_VALUE"""),1157153)</f>
        <v>1157153</v>
      </c>
      <c r="D542" s="193"/>
      <c r="E542" s="272" t="n">
        <f aca="false">IFERROR(__xludf.dummyfunction("""COMPUTED_VALUE"""),1955377)</f>
        <v>1955377</v>
      </c>
      <c r="F542" s="193"/>
      <c r="G542" s="272" t="n">
        <f aca="false">IFERROR(__xludf.dummyfunction("""COMPUTED_VALUE"""),2296271)</f>
        <v>2296271</v>
      </c>
      <c r="H542" s="271" t="str">
        <f aca="false">IFERROR(__xludf.dummyfunction("""COMPUTED_VALUE"""),"Non Guaranteed")</f>
        <v>Non Guaranteed</v>
      </c>
      <c r="I542" s="272" t="n">
        <f aca="false">IFERROR(__xludf.dummyfunction("""COMPUTED_VALUE"""),2486995)</f>
        <v>2486995</v>
      </c>
      <c r="J542" s="193" t="str">
        <f aca="false">IFERROR(__xludf.dummyfunction("""COMPUTED_VALUE"""),"Club Option")</f>
        <v>Club Option</v>
      </c>
      <c r="K542" s="272" t="n">
        <f aca="false">IFERROR(__xludf.dummyfunction("""COMPUTED_VALUE"""),3056337)</f>
        <v>3056337</v>
      </c>
      <c r="L542" s="193" t="str">
        <f aca="false">IFERROR(__xludf.dummyfunction("""COMPUTED_VALUE"""),"UFA - Bird")</f>
        <v>UFA - Bird</v>
      </c>
      <c r="M542" s="273"/>
      <c r="N542" s="193"/>
      <c r="O542" s="193" t="n">
        <f aca="false">IFERROR(__xludf.dummyfunction("""COMPUTED_VALUE"""),1)</f>
        <v>1</v>
      </c>
      <c r="P542" s="193"/>
      <c r="Q542" s="193"/>
      <c r="R542" s="193"/>
      <c r="S542" s="193"/>
      <c r="T542" s="193"/>
      <c r="U542" s="193"/>
      <c r="V542" s="193"/>
      <c r="W542" s="193"/>
      <c r="X542" s="193"/>
      <c r="Y542" s="193"/>
      <c r="Z542" s="193"/>
    </row>
    <row r="543" customFormat="false" ht="15.75" hidden="false" customHeight="false" outlineLevel="0" collapsed="false">
      <c r="A543" s="193" t="str">
        <f aca="false">IFERROR(__xludf.dummyfunction("""COMPUTED_VALUE"""),"Ben Saraf (R)")</f>
        <v>Ben Saraf (R)</v>
      </c>
      <c r="B543" s="271" t="str">
        <f aca="false">IFERROR(__xludf.dummyfunction("""COMPUTED_VALUE"""),"Phoenix Suns")</f>
        <v>Phoenix Suns</v>
      </c>
      <c r="C543" s="273"/>
      <c r="D543" s="193"/>
      <c r="E543" s="272" t="n">
        <f aca="false">IFERROR(__xludf.dummyfunction("""COMPUTED_VALUE"""),1272869)</f>
        <v>1272869</v>
      </c>
      <c r="F543" s="193"/>
      <c r="G543" s="272" t="n">
        <f aca="false">IFERROR(__xludf.dummyfunction("""COMPUTED_VALUE"""),2150915.55)</f>
        <v>2150915.55</v>
      </c>
      <c r="H543" s="271" t="str">
        <f aca="false">IFERROR(__xludf.dummyfunction("""COMPUTED_VALUE"""),"Non Guaranteed")</f>
        <v>Non Guaranteed</v>
      </c>
      <c r="I543" s="272" t="n">
        <f aca="false">IFERROR(__xludf.dummyfunction("""COMPUTED_VALUE"""),2525899)</f>
        <v>2525899</v>
      </c>
      <c r="J543" s="271" t="str">
        <f aca="false">IFERROR(__xludf.dummyfunction("""COMPUTED_VALUE"""),"Club Option")</f>
        <v>Club Option</v>
      </c>
      <c r="K543" s="272" t="n">
        <f aca="false">IFERROR(__xludf.dummyfunction("""COMPUTED_VALUE"""),4799206.2)</f>
        <v>4799206.2</v>
      </c>
      <c r="L543" s="271" t="str">
        <f aca="false">IFERROR(__xludf.dummyfunction("""COMPUTED_VALUE"""),"UFA - Bird")</f>
        <v>UFA - Bird</v>
      </c>
      <c r="M543" s="273"/>
      <c r="N543" s="193"/>
      <c r="O543" s="193" t="n">
        <f aca="false">IFERROR(__xludf.dummyfunction("""COMPUTED_VALUE"""),1)</f>
        <v>1</v>
      </c>
      <c r="P543" s="193"/>
      <c r="Q543" s="193"/>
      <c r="R543" s="193"/>
      <c r="S543" s="193"/>
      <c r="T543" s="193"/>
      <c r="U543" s="193"/>
      <c r="V543" s="193"/>
      <c r="W543" s="193"/>
      <c r="X543" s="193"/>
      <c r="Y543" s="193"/>
      <c r="Z543" s="193"/>
    </row>
    <row r="544" customFormat="false" ht="15.75" hidden="false" customHeight="false" outlineLevel="0" collapsed="false">
      <c r="A544" s="193" t="str">
        <f aca="false">IFERROR(__xludf.dummyfunction("""COMPUTED_VALUE"""),"Vladislav Goldin (R)")</f>
        <v>Vladislav Goldin (R)</v>
      </c>
      <c r="B544" s="271" t="str">
        <f aca="false">IFERROR(__xludf.dummyfunction("""COMPUTED_VALUE"""),"Phoenix Suns")</f>
        <v>Phoenix Suns</v>
      </c>
      <c r="C544" s="273"/>
      <c r="D544" s="193"/>
      <c r="E544" s="272" t="n">
        <f aca="false">IFERROR(__xludf.dummyfunction("""COMPUTED_VALUE"""),1272869)</f>
        <v>1272869</v>
      </c>
      <c r="F544" s="193"/>
      <c r="G544" s="272" t="n">
        <f aca="false">IFERROR(__xludf.dummyfunction("""COMPUTED_VALUE"""),2150915.55)</f>
        <v>2150915.55</v>
      </c>
      <c r="H544" s="271" t="str">
        <f aca="false">IFERROR(__xludf.dummyfunction("""COMPUTED_VALUE"""),"Non Guaranteed")</f>
        <v>Non Guaranteed</v>
      </c>
      <c r="I544" s="272" t="n">
        <f aca="false">IFERROR(__xludf.dummyfunction("""COMPUTED_VALUE"""),2796190.22)</f>
        <v>2796190.22</v>
      </c>
      <c r="J544" s="271" t="str">
        <f aca="false">IFERROR(__xludf.dummyfunction("""COMPUTED_VALUE"""),"UFA - Early Bird")</f>
        <v>UFA - Early Bird</v>
      </c>
      <c r="K544" s="273"/>
      <c r="L544" s="193"/>
      <c r="M544" s="273"/>
      <c r="N544" s="193"/>
      <c r="O544" s="193" t="n">
        <f aca="false">IFERROR(__xludf.dummyfunction("""COMPUTED_VALUE"""),1)</f>
        <v>1</v>
      </c>
      <c r="P544" s="193"/>
      <c r="Q544" s="193"/>
      <c r="R544" s="193"/>
      <c r="S544" s="193"/>
      <c r="T544" s="193"/>
      <c r="U544" s="193"/>
      <c r="V544" s="193"/>
      <c r="W544" s="193"/>
      <c r="X544" s="193"/>
      <c r="Y544" s="193"/>
      <c r="Z544" s="193"/>
    </row>
    <row r="545" customFormat="false" ht="15.75" hidden="false" customHeight="false" outlineLevel="0" collapsed="false">
      <c r="A545" s="193" t="str">
        <f aca="false">IFERROR(__xludf.dummyfunction("""COMPUTED_VALUE"""),"E.J. Liddell")</f>
        <v>E.J. Liddell</v>
      </c>
      <c r="B545" s="271" t="str">
        <f aca="false">IFERROR(__xludf.dummyfunction("""COMPUTED_VALUE"""),"Phoenix Suns")</f>
        <v>Phoenix Suns</v>
      </c>
      <c r="C545" s="272" t="n">
        <f aca="false">IFERROR(__xludf.dummyfunction("""COMPUTED_VALUE"""),706898)</f>
        <v>706898</v>
      </c>
      <c r="D545" s="271" t="str">
        <f aca="false">IFERROR(__xludf.dummyfunction("""COMPUTED_VALUE"""),"Dead Cap")</f>
        <v>Dead Cap</v>
      </c>
      <c r="E545" s="272" t="n">
        <f aca="false">IFERROR(__xludf.dummyfunction("""COMPUTED_VALUE"""),706898)</f>
        <v>706898</v>
      </c>
      <c r="F545" s="271" t="str">
        <f aca="false">IFERROR(__xludf.dummyfunction("""COMPUTED_VALUE"""),"Dead Cap")</f>
        <v>Dead Cap</v>
      </c>
      <c r="G545" s="272" t="n">
        <f aca="false">IFERROR(__xludf.dummyfunction("""COMPUTED_VALUE"""),706898)</f>
        <v>706898</v>
      </c>
      <c r="H545" s="271" t="str">
        <f aca="false">IFERROR(__xludf.dummyfunction("""COMPUTED_VALUE"""),"Dead Cap")</f>
        <v>Dead Cap</v>
      </c>
      <c r="I545" s="273"/>
      <c r="J545" s="193"/>
      <c r="K545" s="273"/>
      <c r="L545" s="193"/>
      <c r="M545" s="273"/>
      <c r="N545" s="193"/>
      <c r="O545" s="193" t="n">
        <f aca="false">IFERROR(__xludf.dummyfunction("""COMPUTED_VALUE"""),1)</f>
        <v>1</v>
      </c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</row>
    <row r="546" customFormat="false" ht="15.75" hidden="false" customHeight="false" outlineLevel="0" collapsed="false">
      <c r="A546" s="193" t="str">
        <f aca="false">IFERROR(__xludf.dummyfunction("""COMPUTED_VALUE"""),"Sidy Cissoko")</f>
        <v>Sidy Cissoko</v>
      </c>
      <c r="B546" s="271" t="str">
        <f aca="false">IFERROR(__xludf.dummyfunction("""COMPUTED_VALUE"""),"Portland Trail Blazers")</f>
        <v>Portland Trail Blazers</v>
      </c>
      <c r="C546" s="272" t="str">
        <f aca="false">IFERROR(__xludf.dummyfunction("""COMPUTED_VALUE"""),"Two-way")</f>
        <v>Two-way</v>
      </c>
      <c r="D546" s="271" t="str">
        <f aca="false">IFERROR(__xludf.dummyfunction("""COMPUTED_VALUE"""),"Two-way")</f>
        <v>Two-way</v>
      </c>
      <c r="E546" s="272" t="str">
        <f aca="false">IFERROR(__xludf.dummyfunction("""COMPUTED_VALUE"""),"Two-way")</f>
        <v>Two-way</v>
      </c>
      <c r="F546" s="271" t="str">
        <f aca="false">IFERROR(__xludf.dummyfunction("""COMPUTED_VALUE"""),"Two-way")</f>
        <v>Two-way</v>
      </c>
      <c r="G546" s="272" t="n">
        <f aca="false">IFERROR(__xludf.dummyfunction("""COMPUTED_VALUE"""),2253346)</f>
        <v>2253346</v>
      </c>
      <c r="H546" s="193" t="str">
        <f aca="false">IFERROR(__xludf.dummyfunction("""COMPUTED_VALUE"""),"UFA - Two-way")</f>
        <v>UFA - Two-way</v>
      </c>
      <c r="I546" s="273"/>
      <c r="J546" s="193"/>
      <c r="K546" s="273"/>
      <c r="L546" s="193"/>
      <c r="M546" s="273"/>
      <c r="N546" s="193"/>
      <c r="O546" s="193" t="n">
        <f aca="false">IFERROR(__xludf.dummyfunction("""COMPUTED_VALUE"""),1)</f>
        <v>1</v>
      </c>
      <c r="P546" s="193"/>
      <c r="Q546" s="193"/>
      <c r="R546" s="193"/>
      <c r="S546" s="193"/>
      <c r="T546" s="193"/>
      <c r="U546" s="193"/>
      <c r="V546" s="193"/>
      <c r="W546" s="193"/>
      <c r="X546" s="193"/>
      <c r="Y546" s="193"/>
      <c r="Z546" s="193"/>
    </row>
    <row r="547" customFormat="false" ht="15.75" hidden="false" customHeight="false" outlineLevel="0" collapsed="false">
      <c r="A547" s="193" t="str">
        <f aca="false">IFERROR(__xludf.dummyfunction("""COMPUTED_VALUE"""),"Trae Young")</f>
        <v>Trae Young</v>
      </c>
      <c r="B547" s="271" t="str">
        <f aca="false">IFERROR(__xludf.dummyfunction("""COMPUTED_VALUE"""),"Portland Trail Blazers")</f>
        <v>Portland Trail Blazers</v>
      </c>
      <c r="C547" s="273"/>
      <c r="D547" s="193"/>
      <c r="E547" s="272" t="n">
        <f aca="false">IFERROR(__xludf.dummyfunction("""COMPUTED_VALUE"""),45999660)</f>
        <v>45999660</v>
      </c>
      <c r="F547" s="193"/>
      <c r="G547" s="272" t="n">
        <f aca="false">IFERROR(__xludf.dummyfunction("""COMPUTED_VALUE"""),48967380)</f>
        <v>48967380</v>
      </c>
      <c r="H547" s="193" t="str">
        <f aca="false">IFERROR(__xludf.dummyfunction("""COMPUTED_VALUE"""),"Player Option")</f>
        <v>Player Option</v>
      </c>
      <c r="I547" s="272" t="n">
        <f aca="false">IFERROR(__xludf.dummyfunction("""COMPUTED_VALUE"""),54497450)</f>
        <v>54497450</v>
      </c>
      <c r="J547" s="193" t="str">
        <f aca="false">IFERROR(__xludf.dummyfunction("""COMPUTED_VALUE"""),"UFA - Bird")</f>
        <v>UFA - Bird</v>
      </c>
      <c r="K547" s="273"/>
      <c r="L547" s="193"/>
      <c r="M547" s="273"/>
      <c r="N547" s="193"/>
      <c r="O547" s="193" t="n">
        <f aca="false">IFERROR(__xludf.dummyfunction("""COMPUTED_VALUE"""),1)</f>
        <v>1</v>
      </c>
      <c r="P547" s="193"/>
      <c r="Q547" s="193"/>
      <c r="R547" s="193"/>
      <c r="S547" s="193"/>
      <c r="T547" s="193"/>
      <c r="U547" s="193"/>
      <c r="V547" s="193"/>
      <c r="W547" s="193"/>
      <c r="X547" s="193"/>
      <c r="Y547" s="193"/>
      <c r="Z547" s="193"/>
    </row>
    <row r="548" customFormat="false" ht="15.75" hidden="false" customHeight="false" outlineLevel="0" collapsed="false">
      <c r="A548" s="193" t="str">
        <f aca="false">IFERROR(__xludf.dummyfunction("""COMPUTED_VALUE"""),"Deandre Ayton")</f>
        <v>Deandre Ayton</v>
      </c>
      <c r="B548" s="271" t="str">
        <f aca="false">IFERROR(__xludf.dummyfunction("""COMPUTED_VALUE"""),"Portland Trail Blazers")</f>
        <v>Portland Trail Blazers</v>
      </c>
      <c r="C548" s="272" t="n">
        <f aca="false">IFERROR(__xludf.dummyfunction("""COMPUTED_VALUE"""),34005126)</f>
        <v>34005126</v>
      </c>
      <c r="D548" s="193"/>
      <c r="E548" s="272" t="n">
        <f aca="false">IFERROR(__xludf.dummyfunction("""COMPUTED_VALUE"""),35550814)</f>
        <v>35550814</v>
      </c>
      <c r="F548" s="193"/>
      <c r="G548" s="272" t="n">
        <f aca="false">IFERROR(__xludf.dummyfunction("""COMPUTED_VALUE"""),46189238)</f>
        <v>46189238</v>
      </c>
      <c r="H548" s="193" t="str">
        <f aca="false">IFERROR(__xludf.dummyfunction("""COMPUTED_VALUE"""),"UFA - Bird")</f>
        <v>UFA - Bird</v>
      </c>
      <c r="I548" s="272" t="str">
        <f aca="false">IFERROR(__xludf.dummyfunction("""COMPUTED_VALUE"""),"")</f>
        <v/>
      </c>
      <c r="J548" s="193"/>
      <c r="K548" s="273"/>
      <c r="L548" s="193"/>
      <c r="M548" s="273"/>
      <c r="N548" s="193"/>
      <c r="O548" s="193" t="n">
        <f aca="false">IFERROR(__xludf.dummyfunction("""COMPUTED_VALUE"""),1)</f>
        <v>1</v>
      </c>
      <c r="P548" s="193"/>
      <c r="Q548" s="193"/>
      <c r="R548" s="193"/>
      <c r="S548" s="193"/>
      <c r="T548" s="193"/>
      <c r="U548" s="193"/>
      <c r="V548" s="193"/>
      <c r="W548" s="193"/>
      <c r="X548" s="193"/>
      <c r="Y548" s="193"/>
      <c r="Z548" s="193"/>
    </row>
    <row r="549" customFormat="false" ht="15.75" hidden="false" customHeight="false" outlineLevel="0" collapsed="false">
      <c r="A549" s="193" t="str">
        <f aca="false">IFERROR(__xludf.dummyfunction("""COMPUTED_VALUE"""),"Kevin Huerter")</f>
        <v>Kevin Huerter</v>
      </c>
      <c r="B549" s="271" t="str">
        <f aca="false">IFERROR(__xludf.dummyfunction("""COMPUTED_VALUE"""),"Portland Trail Blazers")</f>
        <v>Portland Trail Blazers</v>
      </c>
      <c r="C549" s="272" t="n">
        <f aca="false">IFERROR(__xludf.dummyfunction("""COMPUTED_VALUE"""),16830357)</f>
        <v>16830357</v>
      </c>
      <c r="D549" s="193"/>
      <c r="E549" s="272" t="n">
        <f aca="false">IFERROR(__xludf.dummyfunction("""COMPUTED_VALUE"""),17991071)</f>
        <v>17991071</v>
      </c>
      <c r="F549" s="193"/>
      <c r="G549" s="272" t="n">
        <f aca="false">IFERROR(__xludf.dummyfunction("""COMPUTED_VALUE"""),26986607)</f>
        <v>26986607</v>
      </c>
      <c r="H549" s="193" t="str">
        <f aca="false">IFERROR(__xludf.dummyfunction("""COMPUTED_VALUE"""),"UFA - Bird")</f>
        <v>UFA - Bird</v>
      </c>
      <c r="I549" s="272" t="str">
        <f aca="false">IFERROR(__xludf.dummyfunction("""COMPUTED_VALUE"""),"")</f>
        <v/>
      </c>
      <c r="J549" s="193"/>
      <c r="K549" s="273"/>
      <c r="L549" s="193"/>
      <c r="M549" s="273"/>
      <c r="N549" s="193"/>
      <c r="O549" s="193" t="n">
        <f aca="false">IFERROR(__xludf.dummyfunction("""COMPUTED_VALUE"""),1)</f>
        <v>1</v>
      </c>
      <c r="P549" s="193"/>
      <c r="Q549" s="193"/>
      <c r="R549" s="193"/>
      <c r="S549" s="193"/>
      <c r="T549" s="193"/>
      <c r="U549" s="193"/>
      <c r="V549" s="193"/>
      <c r="W549" s="193"/>
      <c r="X549" s="193"/>
      <c r="Y549" s="193"/>
      <c r="Z549" s="193"/>
    </row>
    <row r="550" customFormat="false" ht="15.75" hidden="false" customHeight="false" outlineLevel="0" collapsed="false">
      <c r="A550" s="193" t="str">
        <f aca="false">IFERROR(__xludf.dummyfunction("""COMPUTED_VALUE"""),"Terance Mann")</f>
        <v>Terance Mann</v>
      </c>
      <c r="B550" s="271" t="str">
        <f aca="false">IFERROR(__xludf.dummyfunction("""COMPUTED_VALUE"""),"Portland Trail Blazers")</f>
        <v>Portland Trail Blazers</v>
      </c>
      <c r="C550" s="273"/>
      <c r="D550" s="193"/>
      <c r="E550" s="272" t="n">
        <f aca="false">IFERROR(__xludf.dummyfunction("""COMPUTED_VALUE"""),15500000)</f>
        <v>15500000</v>
      </c>
      <c r="F550" s="193"/>
      <c r="G550" s="272" t="n">
        <f aca="false">IFERROR(__xludf.dummyfunction("""COMPUTED_VALUE"""),15500000)</f>
        <v>15500000</v>
      </c>
      <c r="H550" s="193"/>
      <c r="I550" s="272" t="n">
        <f aca="false">IFERROR(__xludf.dummyfunction("""COMPUTED_VALUE"""),16000000)</f>
        <v>16000000</v>
      </c>
      <c r="J550" s="193"/>
      <c r="K550" s="272" t="n">
        <f aca="false">IFERROR(__xludf.dummyfunction("""COMPUTED_VALUE"""),24000000)</f>
        <v>24000000</v>
      </c>
      <c r="L550" s="193" t="str">
        <f aca="false">IFERROR(__xludf.dummyfunction("""COMPUTED_VALUE"""),"UFA - Bird")</f>
        <v>UFA - Bird</v>
      </c>
      <c r="M550" s="273"/>
      <c r="N550" s="193"/>
      <c r="O550" s="193" t="n">
        <f aca="false">IFERROR(__xludf.dummyfunction("""COMPUTED_VALUE"""),1)</f>
        <v>1</v>
      </c>
      <c r="P550" s="193"/>
      <c r="Q550" s="193"/>
      <c r="R550" s="193"/>
      <c r="S550" s="193"/>
      <c r="T550" s="193"/>
      <c r="U550" s="193"/>
      <c r="V550" s="193"/>
      <c r="W550" s="193"/>
      <c r="X550" s="193"/>
      <c r="Y550" s="193"/>
      <c r="Z550" s="193"/>
    </row>
    <row r="551" customFormat="false" ht="15.75" hidden="false" customHeight="false" outlineLevel="0" collapsed="false">
      <c r="A551" s="193" t="str">
        <f aca="false">IFERROR(__xludf.dummyfunction("""COMPUTED_VALUE"""),"Deni Avdija")</f>
        <v>Deni Avdija</v>
      </c>
      <c r="B551" s="271" t="str">
        <f aca="false">IFERROR(__xludf.dummyfunction("""COMPUTED_VALUE"""),"Portland Trail Blazers")</f>
        <v>Portland Trail Blazers</v>
      </c>
      <c r="C551" s="272" t="n">
        <f aca="false">IFERROR(__xludf.dummyfunction("""COMPUTED_VALUE"""),15625000)</f>
        <v>15625000</v>
      </c>
      <c r="D551" s="193"/>
      <c r="E551" s="272" t="n">
        <f aca="false">IFERROR(__xludf.dummyfunction("""COMPUTED_VALUE"""),14375000)</f>
        <v>14375000</v>
      </c>
      <c r="F551" s="193"/>
      <c r="G551" s="272" t="n">
        <f aca="false">IFERROR(__xludf.dummyfunction("""COMPUTED_VALUE"""),13125000)</f>
        <v>13125000</v>
      </c>
      <c r="H551" s="193"/>
      <c r="I551" s="272" t="n">
        <f aca="false">IFERROR(__xludf.dummyfunction("""COMPUTED_VALUE"""),11875000)</f>
        <v>11875000</v>
      </c>
      <c r="J551" s="193"/>
      <c r="K551" s="272" t="n">
        <f aca="false">IFERROR(__xludf.dummyfunction("""COMPUTED_VALUE"""),22562500)</f>
        <v>22562500</v>
      </c>
      <c r="L551" s="193" t="str">
        <f aca="false">IFERROR(__xludf.dummyfunction("""COMPUTED_VALUE"""),"UFA - Bird")</f>
        <v>UFA - Bird</v>
      </c>
      <c r="M551" s="273"/>
      <c r="N551" s="193"/>
      <c r="O551" s="193" t="n">
        <f aca="false">IFERROR(__xludf.dummyfunction("""COMPUTED_VALUE"""),1)</f>
        <v>1</v>
      </c>
      <c r="P551" s="193"/>
      <c r="Q551" s="193"/>
      <c r="R551" s="193"/>
      <c r="S551" s="193"/>
      <c r="T551" s="193"/>
      <c r="U551" s="193"/>
      <c r="V551" s="193"/>
      <c r="W551" s="193"/>
      <c r="X551" s="193"/>
      <c r="Y551" s="193"/>
      <c r="Z551" s="193"/>
    </row>
    <row r="552" customFormat="false" ht="15.75" hidden="false" customHeight="false" outlineLevel="0" collapsed="false">
      <c r="A552" s="193" t="str">
        <f aca="false">IFERROR(__xludf.dummyfunction("""COMPUTED_VALUE"""),"Jarred Vanderbilt")</f>
        <v>Jarred Vanderbilt</v>
      </c>
      <c r="B552" s="271" t="str">
        <f aca="false">IFERROR(__xludf.dummyfunction("""COMPUTED_VALUE"""),"Portland Trail Blazers")</f>
        <v>Portland Trail Blazers</v>
      </c>
      <c r="C552" s="273"/>
      <c r="D552" s="193"/>
      <c r="E552" s="272" t="n">
        <f aca="false">IFERROR(__xludf.dummyfunction("""COMPUTED_VALUE"""),11571429)</f>
        <v>11571429</v>
      </c>
      <c r="F552" s="193"/>
      <c r="G552" s="272" t="n">
        <f aca="false">IFERROR(__xludf.dummyfunction("""COMPUTED_VALUE"""),12428571)</f>
        <v>12428571</v>
      </c>
      <c r="H552" s="193"/>
      <c r="I552" s="272" t="n">
        <f aca="false">IFERROR(__xludf.dummyfunction("""COMPUTED_VALUE"""),13285714)</f>
        <v>13285714</v>
      </c>
      <c r="J552" s="193" t="str">
        <f aca="false">IFERROR(__xludf.dummyfunction("""COMPUTED_VALUE"""),"Player Option")</f>
        <v>Player Option</v>
      </c>
      <c r="K552" s="272" t="n">
        <f aca="false">IFERROR(__xludf.dummyfunction("""COMPUTED_VALUE"""),19928571)</f>
        <v>19928571</v>
      </c>
      <c r="L552" s="271" t="str">
        <f aca="false">IFERROR(__xludf.dummyfunction("""COMPUTED_VALUE"""),"UFA - Bird")</f>
        <v>UFA - Bird</v>
      </c>
      <c r="M552" s="273"/>
      <c r="N552" s="193"/>
      <c r="O552" s="193" t="n">
        <f aca="false">IFERROR(__xludf.dummyfunction("""COMPUTED_VALUE"""),1)</f>
        <v>1</v>
      </c>
      <c r="P552" s="193"/>
      <c r="Q552" s="193"/>
      <c r="R552" s="193"/>
      <c r="S552" s="193"/>
      <c r="T552" s="193"/>
      <c r="U552" s="193"/>
      <c r="V552" s="193"/>
      <c r="W552" s="193"/>
      <c r="X552" s="193"/>
      <c r="Y552" s="193"/>
      <c r="Z552" s="193"/>
    </row>
    <row r="553" customFormat="false" ht="15.75" hidden="false" customHeight="false" outlineLevel="0" collapsed="false">
      <c r="A553" s="193" t="str">
        <f aca="false">IFERROR(__xludf.dummyfunction("""COMPUTED_VALUE"""),"Gabe Vincent")</f>
        <v>Gabe Vincent</v>
      </c>
      <c r="B553" s="271" t="str">
        <f aca="false">IFERROR(__xludf.dummyfunction("""COMPUTED_VALUE"""),"Portland Trail Blazers")</f>
        <v>Portland Trail Blazers</v>
      </c>
      <c r="C553" s="273"/>
      <c r="D553" s="193"/>
      <c r="E553" s="272" t="n">
        <f aca="false">IFERROR(__xludf.dummyfunction("""COMPUTED_VALUE"""),11500000)</f>
        <v>11500000</v>
      </c>
      <c r="F553" s="193"/>
      <c r="G553" s="272" t="n">
        <f aca="false">IFERROR(__xludf.dummyfunction("""COMPUTED_VALUE"""),21850000)</f>
        <v>21850000</v>
      </c>
      <c r="H553" s="271" t="str">
        <f aca="false">IFERROR(__xludf.dummyfunction("""COMPUTED_VALUE"""),"UFA - Bird")</f>
        <v>UFA - Bird</v>
      </c>
      <c r="I553" s="272" t="str">
        <f aca="false">IFERROR(__xludf.dummyfunction("""COMPUTED_VALUE"""),"")</f>
        <v/>
      </c>
      <c r="J553" s="193"/>
      <c r="K553" s="273"/>
      <c r="L553" s="193"/>
      <c r="M553" s="273"/>
      <c r="N553" s="193"/>
      <c r="O553" s="193" t="n">
        <f aca="false">IFERROR(__xludf.dummyfunction("""COMPUTED_VALUE"""),1)</f>
        <v>1</v>
      </c>
      <c r="P553" s="193"/>
      <c r="Q553" s="193"/>
      <c r="R553" s="193"/>
      <c r="S553" s="193"/>
      <c r="T553" s="193"/>
      <c r="U553" s="193"/>
      <c r="V553" s="193"/>
      <c r="W553" s="193"/>
      <c r="X553" s="193"/>
      <c r="Y553" s="193"/>
      <c r="Z553" s="193"/>
    </row>
    <row r="554" customFormat="false" ht="15.75" hidden="false" customHeight="false" outlineLevel="0" collapsed="false">
      <c r="A554" s="193" t="str">
        <f aca="false">IFERROR(__xludf.dummyfunction("""COMPUTED_VALUE"""),"Shaedon Sharpe")</f>
        <v>Shaedon Sharpe</v>
      </c>
      <c r="B554" s="271" t="str">
        <f aca="false">IFERROR(__xludf.dummyfunction("""COMPUTED_VALUE"""),"Portland Trail Blazers")</f>
        <v>Portland Trail Blazers</v>
      </c>
      <c r="C554" s="272" t="n">
        <f aca="false">IFERROR(__xludf.dummyfunction("""COMPUTED_VALUE"""),6614160)</f>
        <v>6614160</v>
      </c>
      <c r="D554" s="193"/>
      <c r="E554" s="272" t="n">
        <f aca="false">IFERROR(__xludf.dummyfunction("""COMPUTED_VALUE"""),8399983)</f>
        <v>8399983</v>
      </c>
      <c r="F554" s="193"/>
      <c r="G554" s="272" t="n">
        <f aca="false">IFERROR(__xludf.dummyfunction("""COMPUTED_VALUE"""),25199949)</f>
        <v>25199949</v>
      </c>
      <c r="H554" s="193" t="str">
        <f aca="false">IFERROR(__xludf.dummyfunction("""COMPUTED_VALUE"""),"RFA - Bird")</f>
        <v>RFA - Bird</v>
      </c>
      <c r="I554" s="272" t="str">
        <f aca="false">IFERROR(__xludf.dummyfunction("""COMPUTED_VALUE"""),"")</f>
        <v/>
      </c>
      <c r="J554" s="193"/>
      <c r="K554" s="273"/>
      <c r="L554" s="193"/>
      <c r="M554" s="273"/>
      <c r="N554" s="193"/>
      <c r="O554" s="193" t="n">
        <f aca="false">IFERROR(__xludf.dummyfunction("""COMPUTED_VALUE"""),1)</f>
        <v>1</v>
      </c>
      <c r="P554" s="193"/>
      <c r="Q554" s="193"/>
      <c r="R554" s="193"/>
      <c r="S554" s="193"/>
      <c r="T554" s="193"/>
      <c r="U554" s="193"/>
      <c r="V554" s="193"/>
      <c r="W554" s="193"/>
      <c r="X554" s="193"/>
      <c r="Y554" s="193"/>
      <c r="Z554" s="193"/>
    </row>
    <row r="555" customFormat="false" ht="15.75" hidden="false" customHeight="false" outlineLevel="0" collapsed="false">
      <c r="A555" s="193" t="str">
        <f aca="false">IFERROR(__xludf.dummyfunction("""COMPUTED_VALUE"""),"Donovan Clingan")</f>
        <v>Donovan Clingan</v>
      </c>
      <c r="B555" s="271" t="str">
        <f aca="false">IFERROR(__xludf.dummyfunction("""COMPUTED_VALUE"""),"Portland Trail Blazers")</f>
        <v>Portland Trail Blazers</v>
      </c>
      <c r="C555" s="272" t="n">
        <f aca="false">IFERROR(__xludf.dummyfunction("""COMPUTED_VALUE"""),6836400)</f>
        <v>6836400</v>
      </c>
      <c r="D555" s="193"/>
      <c r="E555" s="272" t="n">
        <f aca="false">IFERROR(__xludf.dummyfunction("""COMPUTED_VALUE"""),7178400)</f>
        <v>7178400</v>
      </c>
      <c r="F555" s="193"/>
      <c r="G555" s="272" t="n">
        <f aca="false">IFERROR(__xludf.dummyfunction("""COMPUTED_VALUE"""),7519920)</f>
        <v>7519920</v>
      </c>
      <c r="H555" s="193" t="str">
        <f aca="false">IFERROR(__xludf.dummyfunction("""COMPUTED_VALUE"""),"Club Option")</f>
        <v>Club Option</v>
      </c>
      <c r="I555" s="272" t="n">
        <f aca="false">IFERROR(__xludf.dummyfunction("""COMPUTED_VALUE"""),9550298)</f>
        <v>9550298</v>
      </c>
      <c r="J555" s="193" t="str">
        <f aca="false">IFERROR(__xludf.dummyfunction("""COMPUTED_VALUE"""),"Club Option")</f>
        <v>Club Option</v>
      </c>
      <c r="K555" s="272" t="n">
        <f aca="false">IFERROR(__xludf.dummyfunction("""COMPUTED_VALUE"""),28650894)</f>
        <v>28650894</v>
      </c>
      <c r="L555" s="193" t="str">
        <f aca="false">IFERROR(__xludf.dummyfunction("""COMPUTED_VALUE"""),"RFA - Bird")</f>
        <v>RFA - Bird</v>
      </c>
      <c r="M555" s="273"/>
      <c r="N555" s="193"/>
      <c r="O555" s="193" t="n">
        <f aca="false">IFERROR(__xludf.dummyfunction("""COMPUTED_VALUE"""),1)</f>
        <v>1</v>
      </c>
      <c r="P555" s="193"/>
      <c r="Q555" s="193"/>
      <c r="R555" s="193"/>
      <c r="S555" s="193"/>
      <c r="T555" s="193"/>
      <c r="U555" s="193"/>
      <c r="V555" s="193"/>
      <c r="W555" s="193"/>
      <c r="X555" s="193"/>
      <c r="Y555" s="193"/>
      <c r="Z555" s="193"/>
    </row>
    <row r="556" customFormat="false" ht="15.75" hidden="false" customHeight="false" outlineLevel="0" collapsed="false">
      <c r="A556" s="193" t="str">
        <f aca="false">IFERROR(__xludf.dummyfunction("""COMPUTED_VALUE"""),"Kobe Brown")</f>
        <v>Kobe Brown</v>
      </c>
      <c r="B556" s="271" t="str">
        <f aca="false">IFERROR(__xludf.dummyfunction("""COMPUTED_VALUE"""),"Portland Trail Blazers")</f>
        <v>Portland Trail Blazers</v>
      </c>
      <c r="C556" s="273"/>
      <c r="D556" s="193"/>
      <c r="E556" s="272" t="n">
        <f aca="false">IFERROR(__xludf.dummyfunction("""COMPUTED_VALUE"""),2654880)</f>
        <v>2654880</v>
      </c>
      <c r="F556" s="193"/>
      <c r="G556" s="272" t="n">
        <f aca="false">IFERROR(__xludf.dummyfunction("""COMPUTED_VALUE"""),4792059)</f>
        <v>4792059</v>
      </c>
      <c r="H556" s="271" t="str">
        <f aca="false">IFERROR(__xludf.dummyfunction("""COMPUTED_VALUE"""),"Club Option")</f>
        <v>Club Option</v>
      </c>
      <c r="I556" s="272" t="n">
        <f aca="false">IFERROR(__xludf.dummyfunction("""COMPUTED_VALUE"""),14376177)</f>
        <v>14376177</v>
      </c>
      <c r="J556" s="271" t="str">
        <f aca="false">IFERROR(__xludf.dummyfunction("""COMPUTED_VALUE"""),"RFA - Bird")</f>
        <v>RFA - Bird</v>
      </c>
      <c r="K556" s="273"/>
      <c r="L556" s="193"/>
      <c r="M556" s="273"/>
      <c r="N556" s="193"/>
      <c r="O556" s="193" t="n">
        <f aca="false">IFERROR(__xludf.dummyfunction("""COMPUTED_VALUE"""),1)</f>
        <v>1</v>
      </c>
      <c r="P556" s="193"/>
      <c r="Q556" s="193"/>
      <c r="R556" s="193"/>
      <c r="S556" s="193"/>
      <c r="T556" s="193"/>
      <c r="U556" s="193"/>
      <c r="V556" s="193"/>
      <c r="W556" s="193"/>
      <c r="X556" s="193"/>
      <c r="Y556" s="193"/>
      <c r="Z556" s="193"/>
    </row>
    <row r="557" customFormat="false" ht="15.75" hidden="false" customHeight="false" outlineLevel="0" collapsed="false">
      <c r="A557" s="193" t="str">
        <f aca="false">IFERROR(__xludf.dummyfunction("""COMPUTED_VALUE"""),"Jabari Walker")</f>
        <v>Jabari Walker</v>
      </c>
      <c r="B557" s="271" t="str">
        <f aca="false">IFERROR(__xludf.dummyfunction("""COMPUTED_VALUE"""),"Portland Trail Blazers")</f>
        <v>Portland Trail Blazers</v>
      </c>
      <c r="C557" s="272" t="n">
        <f aca="false">IFERROR(__xludf.dummyfunction("""COMPUTED_VALUE"""),2019699)</f>
        <v>2019699</v>
      </c>
      <c r="D557" s="193"/>
      <c r="E557" s="272" t="n">
        <f aca="false">IFERROR(__xludf.dummyfunction("""COMPUTED_VALUE"""),2578867)</f>
        <v>2578867</v>
      </c>
      <c r="F557" s="193"/>
      <c r="G557" s="272" t="n">
        <f aca="false">IFERROR(__xludf.dummyfunction("""COMPUTED_VALUE"""),3094640.4)</f>
        <v>3094640.4</v>
      </c>
      <c r="H557" s="193" t="str">
        <f aca="false">IFERROR(__xludf.dummyfunction("""COMPUTED_VALUE"""),"UFA - Non-Bird")</f>
        <v>UFA - Non-Bird</v>
      </c>
      <c r="I557" s="273"/>
      <c r="J557" s="193"/>
      <c r="K557" s="273"/>
      <c r="L557" s="193"/>
      <c r="M557" s="273"/>
      <c r="N557" s="193"/>
      <c r="O557" s="193" t="n">
        <f aca="false">IFERROR(__xludf.dummyfunction("""COMPUTED_VALUE"""),1)</f>
        <v>1</v>
      </c>
      <c r="P557" s="193"/>
      <c r="Q557" s="193"/>
      <c r="R557" s="193"/>
      <c r="S557" s="193"/>
      <c r="T557" s="193"/>
      <c r="U557" s="193"/>
      <c r="V557" s="193"/>
      <c r="W557" s="193"/>
      <c r="X557" s="193"/>
      <c r="Y557" s="193"/>
      <c r="Z557" s="193"/>
    </row>
    <row r="558" customFormat="false" ht="15.75" hidden="false" customHeight="false" outlineLevel="0" collapsed="false">
      <c r="A558" s="193" t="str">
        <f aca="false">IFERROR(__xludf.dummyfunction("""COMPUTED_VALUE"""),"Dalano Banton")</f>
        <v>Dalano Banton</v>
      </c>
      <c r="B558" s="271" t="str">
        <f aca="false">IFERROR(__xludf.dummyfunction("""COMPUTED_VALUE"""),"Portland Trail Blazers")</f>
        <v>Portland Trail Blazers</v>
      </c>
      <c r="C558" s="272" t="n">
        <f aca="false">IFERROR(__xludf.dummyfunction("""COMPUTED_VALUE"""),2196970)</f>
        <v>2196970</v>
      </c>
      <c r="D558" s="193"/>
      <c r="E558" s="272" t="n">
        <f aca="false">IFERROR(__xludf.dummyfunction("""COMPUTED_VALUE"""),2443854)</f>
        <v>2443854</v>
      </c>
      <c r="F558" s="193" t="str">
        <f aca="false">IFERROR(__xludf.dummyfunction("""COMPUTED_VALUE"""),"UFA - Early Bird")</f>
        <v>UFA - Early Bird</v>
      </c>
      <c r="G558" s="272" t="str">
        <f aca="false">IFERROR(__xludf.dummyfunction("""COMPUTED_VALUE"""),"")</f>
        <v/>
      </c>
      <c r="H558" s="193"/>
      <c r="I558" s="272" t="str">
        <f aca="false">IFERROR(__xludf.dummyfunction("""COMPUTED_VALUE"""),"")</f>
        <v/>
      </c>
      <c r="J558" s="193"/>
      <c r="K558" s="273"/>
      <c r="L558" s="193"/>
      <c r="M558" s="273"/>
      <c r="N558" s="193"/>
      <c r="O558" s="193" t="n">
        <f aca="false">IFERROR(__xludf.dummyfunction("""COMPUTED_VALUE"""),1)</f>
        <v>1</v>
      </c>
      <c r="P558" s="193"/>
      <c r="Q558" s="193"/>
      <c r="R558" s="193"/>
      <c r="S558" s="193"/>
      <c r="T558" s="193"/>
      <c r="U558" s="193"/>
      <c r="V558" s="193"/>
      <c r="W558" s="193"/>
      <c r="X558" s="193"/>
      <c r="Y558" s="193"/>
      <c r="Z558" s="193"/>
    </row>
    <row r="559" customFormat="false" ht="15.75" hidden="false" customHeight="false" outlineLevel="0" collapsed="false">
      <c r="A559" s="193" t="str">
        <f aca="false">IFERROR(__xludf.dummyfunction("""COMPUTED_VALUE"""),"Ben McLemore")</f>
        <v>Ben McLemore</v>
      </c>
      <c r="B559" s="271" t="str">
        <f aca="false">IFERROR(__xludf.dummyfunction("""COMPUTED_VALUE"""),"Portland Trail Blazers")</f>
        <v>Portland Trail Blazers</v>
      </c>
      <c r="C559" s="272" t="n">
        <f aca="false">IFERROR(__xludf.dummyfunction("""COMPUTED_VALUE"""),2087519)</f>
        <v>2087519</v>
      </c>
      <c r="D559" s="271" t="str">
        <f aca="false">IFERROR(__xludf.dummyfunction("""COMPUTED_VALUE"""),"UFA - Non-Bird")</f>
        <v>UFA - Non-Bird</v>
      </c>
      <c r="E559" s="272" t="n">
        <f aca="false">IFERROR(__xludf.dummyfunction("""COMPUTED_VALUE"""),2296271)</f>
        <v>2296271</v>
      </c>
      <c r="F559" s="193" t="str">
        <f aca="false">IFERROR(__xludf.dummyfunction("""COMPUTED_VALUE"""),"UFA - Non-Bird")</f>
        <v>UFA - Non-Bird</v>
      </c>
      <c r="G559" s="273"/>
      <c r="H559" s="193"/>
      <c r="I559" s="273"/>
      <c r="J559" s="193"/>
      <c r="K559" s="273"/>
      <c r="L559" s="193"/>
      <c r="M559" s="273"/>
      <c r="N559" s="193"/>
      <c r="O559" s="193" t="n">
        <f aca="false">IFERROR(__xludf.dummyfunction("""COMPUTED_VALUE"""),1)</f>
        <v>1</v>
      </c>
      <c r="P559" s="193"/>
      <c r="Q559" s="193"/>
      <c r="R559" s="193"/>
      <c r="S559" s="193"/>
      <c r="T559" s="193"/>
      <c r="U559" s="193"/>
      <c r="V559" s="193"/>
      <c r="W559" s="193"/>
      <c r="X559" s="193"/>
      <c r="Y559" s="193"/>
      <c r="Z559" s="193"/>
    </row>
    <row r="560" customFormat="false" ht="15.75" hidden="false" customHeight="false" outlineLevel="0" collapsed="false">
      <c r="A560" s="193" t="str">
        <f aca="false">IFERROR(__xludf.dummyfunction("""COMPUTED_VALUE"""),"Rondae Hollis-Jefferson")</f>
        <v>Rondae Hollis-Jefferson</v>
      </c>
      <c r="B560" s="271" t="str">
        <f aca="false">IFERROR(__xludf.dummyfunction("""COMPUTED_VALUE"""),"Portland Trail Blazers")</f>
        <v>Portland Trail Blazers</v>
      </c>
      <c r="C560" s="272" t="n">
        <f aca="false">IFERROR(__xludf.dummyfunction("""COMPUTED_VALUE"""),2087519)</f>
        <v>2087519</v>
      </c>
      <c r="D560" s="271" t="str">
        <f aca="false">IFERROR(__xludf.dummyfunction("""COMPUTED_VALUE"""),"UFA - Non-Bird")</f>
        <v>UFA - Non-Bird</v>
      </c>
      <c r="E560" s="272" t="n">
        <f aca="false">IFERROR(__xludf.dummyfunction("""COMPUTED_VALUE"""),2296271)</f>
        <v>2296271</v>
      </c>
      <c r="F560" s="193" t="str">
        <f aca="false">IFERROR(__xludf.dummyfunction("""COMPUTED_VALUE"""),"UFA - Non-Bird")</f>
        <v>UFA - Non-Bird</v>
      </c>
      <c r="G560" s="273"/>
      <c r="H560" s="193"/>
      <c r="I560" s="273"/>
      <c r="J560" s="193"/>
      <c r="K560" s="273"/>
      <c r="L560" s="193"/>
      <c r="M560" s="273"/>
      <c r="N560" s="193"/>
      <c r="O560" s="193" t="n">
        <f aca="false">IFERROR(__xludf.dummyfunction("""COMPUTED_VALUE"""),1)</f>
        <v>1</v>
      </c>
      <c r="P560" s="193"/>
      <c r="Q560" s="193"/>
      <c r="R560" s="193"/>
      <c r="S560" s="193"/>
      <c r="T560" s="193"/>
      <c r="U560" s="193"/>
      <c r="V560" s="193"/>
      <c r="W560" s="193"/>
      <c r="X560" s="193"/>
      <c r="Y560" s="193"/>
      <c r="Z560" s="193"/>
    </row>
    <row r="561" customFormat="false" ht="15.75" hidden="false" customHeight="false" outlineLevel="0" collapsed="false">
      <c r="A561" s="193" t="str">
        <f aca="false">IFERROR(__xludf.dummyfunction("""COMPUTED_VALUE"""),"Duop Reath")</f>
        <v>Duop Reath</v>
      </c>
      <c r="B561" s="271" t="str">
        <f aca="false">IFERROR(__xludf.dummyfunction("""COMPUTED_VALUE"""),"Portland Trail Blazers")</f>
        <v>Portland Trail Blazers</v>
      </c>
      <c r="C561" s="272" t="n">
        <f aca="false">IFERROR(__xludf.dummyfunction("""COMPUTED_VALUE"""),2048780)</f>
        <v>2048780</v>
      </c>
      <c r="D561" s="193"/>
      <c r="E561" s="272" t="n">
        <f aca="false">IFERROR(__xludf.dummyfunction("""COMPUTED_VALUE"""),2221677)</f>
        <v>2221677</v>
      </c>
      <c r="F561" s="193"/>
      <c r="G561" s="272" t="n">
        <f aca="false">IFERROR(__xludf.dummyfunction("""COMPUTED_VALUE"""),2999264)</f>
        <v>2999264</v>
      </c>
      <c r="H561" s="193" t="str">
        <f aca="false">IFERROR(__xludf.dummyfunction("""COMPUTED_VALUE"""),"UFA - Bird")</f>
        <v>UFA - Bird</v>
      </c>
      <c r="I561" s="272" t="str">
        <f aca="false">IFERROR(__xludf.dummyfunction("""COMPUTED_VALUE"""),"")</f>
        <v/>
      </c>
      <c r="J561" s="193"/>
      <c r="K561" s="273"/>
      <c r="L561" s="193"/>
      <c r="M561" s="273"/>
      <c r="N561" s="193"/>
      <c r="O561" s="193" t="n">
        <f aca="false">IFERROR(__xludf.dummyfunction("""COMPUTED_VALUE"""),1)</f>
        <v>1</v>
      </c>
      <c r="P561" s="193"/>
      <c r="Q561" s="193"/>
      <c r="R561" s="193"/>
      <c r="S561" s="193"/>
      <c r="T561" s="193"/>
      <c r="U561" s="193"/>
      <c r="V561" s="193"/>
      <c r="W561" s="193"/>
      <c r="X561" s="193"/>
      <c r="Y561" s="193"/>
      <c r="Z561" s="193"/>
    </row>
    <row r="562" customFormat="false" ht="15.75" hidden="false" customHeight="false" outlineLevel="0" collapsed="false">
      <c r="A562" s="193" t="str">
        <f aca="false">IFERROR(__xludf.dummyfunction("""COMPUTED_VALUE"""),"Rayan Rupert")</f>
        <v>Rayan Rupert</v>
      </c>
      <c r="B562" s="271" t="str">
        <f aca="false">IFERROR(__xludf.dummyfunction("""COMPUTED_VALUE"""),"Portland Trail Blazers")</f>
        <v>Portland Trail Blazers</v>
      </c>
      <c r="C562" s="272" t="n">
        <f aca="false">IFERROR(__xludf.dummyfunction("""COMPUTED_VALUE"""),1891857)</f>
        <v>1891857</v>
      </c>
      <c r="D562" s="193"/>
      <c r="E562" s="272" t="n">
        <f aca="false">IFERROR(__xludf.dummyfunction("""COMPUTED_VALUE"""),2221677)</f>
        <v>2221677</v>
      </c>
      <c r="F562" s="193"/>
      <c r="G562" s="272" t="n">
        <f aca="false">IFERROR(__xludf.dummyfunction("""COMPUTED_VALUE"""),2999264)</f>
        <v>2999264</v>
      </c>
      <c r="H562" s="193" t="str">
        <f aca="false">IFERROR(__xludf.dummyfunction("""COMPUTED_VALUE"""),"RFA - Bird")</f>
        <v>RFA - Bird</v>
      </c>
      <c r="I562" s="272" t="str">
        <f aca="false">IFERROR(__xludf.dummyfunction("""COMPUTED_VALUE"""),"")</f>
        <v/>
      </c>
      <c r="J562" s="193"/>
      <c r="K562" s="273"/>
      <c r="L562" s="193"/>
      <c r="M562" s="273"/>
      <c r="N562" s="193"/>
      <c r="O562" s="193" t="n">
        <f aca="false">IFERROR(__xludf.dummyfunction("""COMPUTED_VALUE"""),1)</f>
        <v>1</v>
      </c>
      <c r="P562" s="193"/>
      <c r="Q562" s="193"/>
      <c r="R562" s="193"/>
      <c r="S562" s="193"/>
      <c r="T562" s="193"/>
      <c r="U562" s="193"/>
      <c r="V562" s="193"/>
      <c r="W562" s="193"/>
      <c r="X562" s="193"/>
      <c r="Y562" s="193"/>
      <c r="Z562" s="193"/>
    </row>
    <row r="563" customFormat="false" ht="15.75" hidden="false" customHeight="false" outlineLevel="0" collapsed="false">
      <c r="A563" s="193" t="str">
        <f aca="false">IFERROR(__xludf.dummyfunction("""COMPUTED_VALUE"""),"Toumani Camara")</f>
        <v>Toumani Camara</v>
      </c>
      <c r="B563" s="271" t="str">
        <f aca="false">IFERROR(__xludf.dummyfunction("""COMPUTED_VALUE"""),"Portland Trail Blazers")</f>
        <v>Portland Trail Blazers</v>
      </c>
      <c r="C563" s="272" t="n">
        <f aca="false">IFERROR(__xludf.dummyfunction("""COMPUTED_VALUE"""),1891857)</f>
        <v>1891857</v>
      </c>
      <c r="D563" s="193"/>
      <c r="E563" s="272" t="n">
        <f aca="false">IFERROR(__xludf.dummyfunction("""COMPUTED_VALUE"""),2221677)</f>
        <v>2221677</v>
      </c>
      <c r="F563" s="193"/>
      <c r="G563" s="272" t="n">
        <f aca="false">IFERROR(__xludf.dummyfunction("""COMPUTED_VALUE"""),2406205)</f>
        <v>2406205</v>
      </c>
      <c r="H563" s="193" t="str">
        <f aca="false">IFERROR(__xludf.dummyfunction("""COMPUTED_VALUE"""),"Non-Guaranteed")</f>
        <v>Non-Guaranteed</v>
      </c>
      <c r="I563" s="272" t="str">
        <f aca="false">IFERROR(__xludf.dummyfunction("""COMPUTED_VALUE"""),"")</f>
        <v/>
      </c>
      <c r="J563" s="193"/>
      <c r="K563" s="273"/>
      <c r="L563" s="193"/>
      <c r="M563" s="273"/>
      <c r="N563" s="193"/>
      <c r="O563" s="193" t="n">
        <f aca="false">IFERROR(__xludf.dummyfunction("""COMPUTED_VALUE"""),1)</f>
        <v>1</v>
      </c>
      <c r="P563" s="193"/>
      <c r="Q563" s="193"/>
      <c r="R563" s="193"/>
      <c r="S563" s="193"/>
      <c r="T563" s="193"/>
      <c r="U563" s="193"/>
      <c r="V563" s="193"/>
      <c r="W563" s="193"/>
      <c r="X563" s="193"/>
      <c r="Y563" s="193"/>
      <c r="Z563" s="193"/>
    </row>
    <row r="564" customFormat="false" ht="15.75" hidden="false" customHeight="false" outlineLevel="0" collapsed="false">
      <c r="A564" s="193" t="str">
        <f aca="false">IFERROR(__xludf.dummyfunction("""COMPUTED_VALUE"""),"Ashton Hagans")</f>
        <v>Ashton Hagans</v>
      </c>
      <c r="B564" s="271" t="str">
        <f aca="false">IFERROR(__xludf.dummyfunction("""COMPUTED_VALUE"""),"Portland Trail Blazers")</f>
        <v>Portland Trail Blazers</v>
      </c>
      <c r="C564" s="272" t="n">
        <f aca="false">IFERROR(__xludf.dummyfunction("""COMPUTED_VALUE"""),1862265)</f>
        <v>1862265</v>
      </c>
      <c r="D564" s="271" t="str">
        <f aca="false">IFERROR(__xludf.dummyfunction("""COMPUTED_VALUE"""),"UFA - Two-way")</f>
        <v>UFA - Two-way</v>
      </c>
      <c r="E564" s="272" t="n">
        <f aca="false">IFERROR(__xludf.dummyfunction("""COMPUTED_VALUE"""),2048494)</f>
        <v>2048494</v>
      </c>
      <c r="F564" s="193" t="str">
        <f aca="false">IFERROR(__xludf.dummyfunction("""COMPUTED_VALUE"""),"UFA - Two-way")</f>
        <v>UFA - Two-way</v>
      </c>
      <c r="G564" s="273"/>
      <c r="H564" s="193"/>
      <c r="I564" s="273"/>
      <c r="J564" s="193"/>
      <c r="K564" s="273"/>
      <c r="L564" s="193"/>
      <c r="M564" s="273"/>
      <c r="N564" s="193"/>
      <c r="O564" s="193" t="n">
        <f aca="false">IFERROR(__xludf.dummyfunction("""COMPUTED_VALUE"""),1)</f>
        <v>1</v>
      </c>
      <c r="P564" s="193"/>
      <c r="Q564" s="193"/>
      <c r="R564" s="193"/>
      <c r="S564" s="193"/>
      <c r="T564" s="193"/>
      <c r="U564" s="193"/>
      <c r="V564" s="193"/>
      <c r="W564" s="193"/>
      <c r="X564" s="193"/>
      <c r="Y564" s="193"/>
      <c r="Z564" s="193"/>
    </row>
    <row r="565" customFormat="false" ht="15.75" hidden="false" customHeight="false" outlineLevel="0" collapsed="false">
      <c r="A565" s="193" t="str">
        <f aca="false">IFERROR(__xludf.dummyfunction("""COMPUTED_VALUE"""),"Bryce McGowens")</f>
        <v>Bryce McGowens</v>
      </c>
      <c r="B565" s="271" t="str">
        <f aca="false">IFERROR(__xludf.dummyfunction("""COMPUTED_VALUE"""),"Oklahoma City Thunder")</f>
        <v>Oklahoma City Thunder</v>
      </c>
      <c r="C565" s="272" t="str">
        <f aca="false">IFERROR(__xludf.dummyfunction("""COMPUTED_VALUE"""),"Two-way")</f>
        <v>Two-way</v>
      </c>
      <c r="D565" s="271" t="str">
        <f aca="false">IFERROR(__xludf.dummyfunction("""COMPUTED_VALUE"""),"Two-way")</f>
        <v>Two-way</v>
      </c>
      <c r="E565" s="272" t="str">
        <f aca="false">IFERROR(__xludf.dummyfunction("""COMPUTED_VALUE"""),"Two-Way")</f>
        <v>Two-Way</v>
      </c>
      <c r="F565" s="193" t="str">
        <f aca="false">IFERROR(__xludf.dummyfunction("""COMPUTED_VALUE"""),"Two-Way")</f>
        <v>Two-Way</v>
      </c>
      <c r="G565" s="272" t="n">
        <f aca="false">IFERROR(__xludf.dummyfunction("""COMPUTED_VALUE"""),2253346)</f>
        <v>2253346</v>
      </c>
      <c r="H565" s="193" t="str">
        <f aca="false">IFERROR(__xludf.dummyfunction("""COMPUTED_VALUE"""),"UFA - Two-Way")</f>
        <v>UFA - Two-Way</v>
      </c>
      <c r="I565" s="273"/>
      <c r="J565" s="193"/>
      <c r="K565" s="273"/>
      <c r="L565" s="193"/>
      <c r="M565" s="273"/>
      <c r="N565" s="193"/>
      <c r="O565" s="193" t="n">
        <f aca="false">IFERROR(__xludf.dummyfunction("""COMPUTED_VALUE"""),1)</f>
        <v>1</v>
      </c>
      <c r="P565" s="193"/>
      <c r="Q565" s="193"/>
      <c r="R565" s="193"/>
      <c r="S565" s="193"/>
      <c r="T565" s="193"/>
      <c r="U565" s="193"/>
      <c r="V565" s="193"/>
      <c r="W565" s="193"/>
      <c r="X565" s="193"/>
      <c r="Y565" s="193"/>
      <c r="Z565" s="193"/>
    </row>
    <row r="566" customFormat="false" ht="15.75" hidden="false" customHeight="false" outlineLevel="0" collapsed="false">
      <c r="A566" s="193" t="str">
        <f aca="false">IFERROR(__xludf.dummyfunction("""COMPUTED_VALUE"""),"Keljin Blevins")</f>
        <v>Keljin Blevins</v>
      </c>
      <c r="B566" s="271" t="str">
        <f aca="false">IFERROR(__xludf.dummyfunction("""COMPUTED_VALUE"""),"Portland Trail Blazers")</f>
        <v>Portland Trail Blazers</v>
      </c>
      <c r="C566" s="272" t="n">
        <f aca="false">IFERROR(__xludf.dummyfunction("""COMPUTED_VALUE"""),1862265)</f>
        <v>1862265</v>
      </c>
      <c r="D566" s="271" t="str">
        <f aca="false">IFERROR(__xludf.dummyfunction("""COMPUTED_VALUE"""),"UFA - Two-way")</f>
        <v>UFA - Two-way</v>
      </c>
      <c r="E566" s="272" t="n">
        <f aca="false">IFERROR(__xludf.dummyfunction("""COMPUTED_VALUE"""),2048491)</f>
        <v>2048491</v>
      </c>
      <c r="F566" s="193" t="str">
        <f aca="false">IFERROR(__xludf.dummyfunction("""COMPUTED_VALUE"""),"UFA - Two-way")</f>
        <v>UFA - Two-way</v>
      </c>
      <c r="G566" s="273"/>
      <c r="H566" s="193"/>
      <c r="I566" s="273"/>
      <c r="J566" s="193"/>
      <c r="K566" s="273"/>
      <c r="L566" s="193"/>
      <c r="M566" s="273"/>
      <c r="N566" s="193"/>
      <c r="O566" s="193" t="n">
        <f aca="false">IFERROR(__xludf.dummyfunction("""COMPUTED_VALUE"""),1)</f>
        <v>1</v>
      </c>
      <c r="P566" s="193"/>
      <c r="Q566" s="193"/>
      <c r="R566" s="193"/>
      <c r="S566" s="193"/>
      <c r="T566" s="193"/>
      <c r="U566" s="193"/>
      <c r="V566" s="193"/>
      <c r="W566" s="193"/>
      <c r="X566" s="193"/>
      <c r="Y566" s="193"/>
      <c r="Z566" s="193"/>
    </row>
    <row r="567" customFormat="false" ht="15.75" hidden="false" customHeight="false" outlineLevel="0" collapsed="false">
      <c r="A567" s="193" t="str">
        <f aca="false">IFERROR(__xludf.dummyfunction("""COMPUTED_VALUE"""),"TJ Leaf")</f>
        <v>TJ Leaf</v>
      </c>
      <c r="B567" s="271" t="str">
        <f aca="false">IFERROR(__xludf.dummyfunction("""COMPUTED_VALUE"""),"Portland Trail Blazers")</f>
        <v>Portland Trail Blazers</v>
      </c>
      <c r="C567" s="272" t="n">
        <f aca="false">IFERROR(__xludf.dummyfunction("""COMPUTED_VALUE"""),1862265)</f>
        <v>1862265</v>
      </c>
      <c r="D567" s="271" t="str">
        <f aca="false">IFERROR(__xludf.dummyfunction("""COMPUTED_VALUE"""),"UFA - Two-way")</f>
        <v>UFA - Two-way</v>
      </c>
      <c r="E567" s="272" t="n">
        <f aca="false">IFERROR(__xludf.dummyfunction("""COMPUTED_VALUE"""),2048491)</f>
        <v>2048491</v>
      </c>
      <c r="F567" s="193" t="str">
        <f aca="false">IFERROR(__xludf.dummyfunction("""COMPUTED_VALUE"""),"UFA - Two-way")</f>
        <v>UFA - Two-way</v>
      </c>
      <c r="G567" s="273"/>
      <c r="H567" s="193"/>
      <c r="I567" s="273"/>
      <c r="J567" s="193"/>
      <c r="K567" s="273"/>
      <c r="L567" s="193"/>
      <c r="M567" s="273"/>
      <c r="N567" s="193"/>
      <c r="O567" s="193" t="n">
        <f aca="false">IFERROR(__xludf.dummyfunction("""COMPUTED_VALUE"""),1)</f>
        <v>1</v>
      </c>
      <c r="P567" s="193"/>
      <c r="Q567" s="193"/>
      <c r="R567" s="193"/>
      <c r="S567" s="193"/>
      <c r="T567" s="193"/>
      <c r="U567" s="193"/>
      <c r="V567" s="193"/>
      <c r="W567" s="193"/>
      <c r="X567" s="193"/>
      <c r="Y567" s="193"/>
      <c r="Z567" s="193"/>
    </row>
    <row r="568" customFormat="false" ht="15.75" hidden="false" customHeight="false" outlineLevel="0" collapsed="false">
      <c r="A568" s="193" t="str">
        <f aca="false">IFERROR(__xludf.dummyfunction("""COMPUTED_VALUE"""),"Justin Minaya")</f>
        <v>Justin Minaya</v>
      </c>
      <c r="B568" s="271" t="str">
        <f aca="false">IFERROR(__xludf.dummyfunction("""COMPUTED_VALUE"""),"Portland Trail Blazers")</f>
        <v>Portland Trail Blazers</v>
      </c>
      <c r="C568" s="272" t="str">
        <f aca="false">IFERROR(__xludf.dummyfunction("""COMPUTED_VALUE"""),"Two-way")</f>
        <v>Two-way</v>
      </c>
      <c r="D568" s="271" t="str">
        <f aca="false">IFERROR(__xludf.dummyfunction("""COMPUTED_VALUE"""),"Two-way")</f>
        <v>Two-way</v>
      </c>
      <c r="E568" s="272" t="n">
        <f aca="false">IFERROR(__xludf.dummyfunction("""COMPUTED_VALUE"""),1862265)</f>
        <v>1862265</v>
      </c>
      <c r="F568" s="193" t="str">
        <f aca="false">IFERROR(__xludf.dummyfunction("""COMPUTED_VALUE"""),"UFA - Two-way")</f>
        <v>UFA - Two-way</v>
      </c>
      <c r="G568" s="273"/>
      <c r="H568" s="193"/>
      <c r="I568" s="273"/>
      <c r="J568" s="193"/>
      <c r="K568" s="273"/>
      <c r="L568" s="193"/>
      <c r="M568" s="273"/>
      <c r="N568" s="193"/>
      <c r="O568" s="193" t="n">
        <f aca="false">IFERROR(__xludf.dummyfunction("""COMPUTED_VALUE"""),1)</f>
        <v>1</v>
      </c>
      <c r="P568" s="193"/>
      <c r="Q568" s="193"/>
      <c r="R568" s="193"/>
      <c r="S568" s="193"/>
      <c r="T568" s="193"/>
      <c r="U568" s="193"/>
      <c r="V568" s="193"/>
      <c r="W568" s="193"/>
      <c r="X568" s="193"/>
      <c r="Y568" s="193"/>
      <c r="Z568" s="193"/>
    </row>
    <row r="569" customFormat="false" ht="15.75" hidden="false" customHeight="false" outlineLevel="0" collapsed="false">
      <c r="A569" s="193" t="str">
        <f aca="false">IFERROR(__xludf.dummyfunction("""COMPUTED_VALUE"""),"Didi Louzada")</f>
        <v>Didi Louzada</v>
      </c>
      <c r="B569" s="271" t="str">
        <f aca="false">IFERROR(__xludf.dummyfunction("""COMPUTED_VALUE"""),"Portland Trail Blazers")</f>
        <v>Portland Trail Blazers</v>
      </c>
      <c r="C569" s="272" t="n">
        <f aca="false">IFERROR(__xludf.dummyfunction("""COMPUTED_VALUE"""),268032)</f>
        <v>268032</v>
      </c>
      <c r="D569" s="271" t="str">
        <f aca="false">IFERROR(__xludf.dummyfunction("""COMPUTED_VALUE"""),"Dead Cap")</f>
        <v>Dead Cap</v>
      </c>
      <c r="E569" s="272" t="n">
        <f aca="false">IFERROR(__xludf.dummyfunction("""COMPUTED_VALUE"""),268032)</f>
        <v>268032</v>
      </c>
      <c r="F569" s="193" t="str">
        <f aca="false">IFERROR(__xludf.dummyfunction("""COMPUTED_VALUE"""),"Dead Cap")</f>
        <v>Dead Cap</v>
      </c>
      <c r="G569" s="272" t="n">
        <f aca="false">IFERROR(__xludf.dummyfunction("""COMPUTED_VALUE"""),268032)</f>
        <v>268032</v>
      </c>
      <c r="H569" s="193" t="str">
        <f aca="false">IFERROR(__xludf.dummyfunction("""COMPUTED_VALUE"""),"Dead Cap")</f>
        <v>Dead Cap</v>
      </c>
      <c r="I569" s="272" t="n">
        <f aca="false">IFERROR(__xludf.dummyfunction("""COMPUTED_VALUE"""),268032)</f>
        <v>268032</v>
      </c>
      <c r="J569" s="193" t="str">
        <f aca="false">IFERROR(__xludf.dummyfunction("""COMPUTED_VALUE"""),"Dead Cap")</f>
        <v>Dead Cap</v>
      </c>
      <c r="K569" s="272" t="n">
        <f aca="false">IFERROR(__xludf.dummyfunction("""COMPUTED_VALUE"""),268032)</f>
        <v>268032</v>
      </c>
      <c r="L569" s="193" t="str">
        <f aca="false">IFERROR(__xludf.dummyfunction("""COMPUTED_VALUE"""),"Dead Cap")</f>
        <v>Dead Cap</v>
      </c>
      <c r="M569" s="273"/>
      <c r="N569" s="193"/>
      <c r="O569" s="193" t="n">
        <f aca="false">IFERROR(__xludf.dummyfunction("""COMPUTED_VALUE"""),1)</f>
        <v>1</v>
      </c>
      <c r="P569" s="193"/>
      <c r="Q569" s="193"/>
      <c r="R569" s="193"/>
      <c r="S569" s="193"/>
      <c r="T569" s="193"/>
      <c r="U569" s="193"/>
      <c r="V569" s="193"/>
      <c r="W569" s="193"/>
      <c r="X569" s="193"/>
      <c r="Y569" s="193"/>
      <c r="Z569" s="193"/>
    </row>
    <row r="570" customFormat="false" ht="15.75" hidden="false" customHeight="false" outlineLevel="0" collapsed="false">
      <c r="A570" s="193" t="str">
        <f aca="false">IFERROR(__xludf.dummyfunction("""COMPUTED_VALUE"""),"Jordan Walsh")</f>
        <v>Jordan Walsh</v>
      </c>
      <c r="B570" s="271" t="str">
        <f aca="false">IFERROR(__xludf.dummyfunction("""COMPUTED_VALUE"""),"Sacramento Kings")</f>
        <v>Sacramento Kings</v>
      </c>
      <c r="C570" s="272" t="str">
        <f aca="false">IFERROR(__xludf.dummyfunction("""COMPUTED_VALUE"""),"Two-Way")</f>
        <v>Two-Way</v>
      </c>
      <c r="D570" s="193" t="str">
        <f aca="false">IFERROR(__xludf.dummyfunction("""COMPUTED_VALUE"""),"Two-Way")</f>
        <v>Two-Way</v>
      </c>
      <c r="E570" s="272" t="str">
        <f aca="false">IFERROR(__xludf.dummyfunction("""COMPUTED_VALUE"""),"Two-Way")</f>
        <v>Two-Way</v>
      </c>
      <c r="F570" s="193" t="str">
        <f aca="false">IFERROR(__xludf.dummyfunction("""COMPUTED_VALUE"""),"Two-Way")</f>
        <v>Two-Way</v>
      </c>
      <c r="G570" s="272" t="n">
        <f aca="false">IFERROR(__xludf.dummyfunction("""COMPUTED_VALUE"""),2253346)</f>
        <v>2253346</v>
      </c>
      <c r="H570" s="193" t="str">
        <f aca="false">IFERROR(__xludf.dummyfunction("""COMPUTED_VALUE"""),"UFA - Two-Way")</f>
        <v>UFA - Two-Way</v>
      </c>
      <c r="I570" s="273"/>
      <c r="J570" s="193"/>
      <c r="K570" s="273"/>
      <c r="L570" s="193"/>
      <c r="M570" s="273"/>
      <c r="N570" s="193"/>
      <c r="O570" s="193" t="n">
        <f aca="false">IFERROR(__xludf.dummyfunction("""COMPUTED_VALUE"""),1)</f>
        <v>1</v>
      </c>
      <c r="P570" s="193"/>
      <c r="Q570" s="193"/>
      <c r="R570" s="193"/>
      <c r="S570" s="193"/>
      <c r="T570" s="193"/>
      <c r="U570" s="193"/>
      <c r="V570" s="193"/>
      <c r="W570" s="193"/>
      <c r="X570" s="193"/>
      <c r="Y570" s="193"/>
      <c r="Z570" s="193"/>
    </row>
    <row r="571" customFormat="false" ht="15.75" hidden="false" customHeight="false" outlineLevel="0" collapsed="false">
      <c r="A571" s="193" t="str">
        <f aca="false">IFERROR(__xludf.dummyfunction("""COMPUTED_VALUE"""),"Wendell Moore Jr.")</f>
        <v>Wendell Moore Jr.</v>
      </c>
      <c r="B571" s="271" t="str">
        <f aca="false">IFERROR(__xludf.dummyfunction("""COMPUTED_VALUE"""),"Sacramento Kings")</f>
        <v>Sacramento Kings</v>
      </c>
      <c r="C571" s="271" t="str">
        <f aca="false">IFERROR(__xludf.dummyfunction("""COMPUTED_VALUE"""),"Two-way")</f>
        <v>Two-way</v>
      </c>
      <c r="D571" s="271" t="str">
        <f aca="false">IFERROR(__xludf.dummyfunction("""COMPUTED_VALUE"""),"Two-way")</f>
        <v>Two-way</v>
      </c>
      <c r="E571" s="272" t="str">
        <f aca="false">IFERROR(__xludf.dummyfunction("""COMPUTED_VALUE"""),"Two-Way")</f>
        <v>Two-Way</v>
      </c>
      <c r="F571" s="193" t="str">
        <f aca="false">IFERROR(__xludf.dummyfunction("""COMPUTED_VALUE"""),"Two-Way")</f>
        <v>Two-Way</v>
      </c>
      <c r="G571" s="272" t="n">
        <f aca="false">IFERROR(__xludf.dummyfunction("""COMPUTED_VALUE"""),2253346)</f>
        <v>2253346</v>
      </c>
      <c r="H571" s="193" t="str">
        <f aca="false">IFERROR(__xludf.dummyfunction("""COMPUTED_VALUE"""),"UFA - Two-Way")</f>
        <v>UFA - Two-Way</v>
      </c>
      <c r="I571" s="273"/>
      <c r="J571" s="193"/>
      <c r="K571" s="273"/>
      <c r="L571" s="193"/>
      <c r="M571" s="273"/>
      <c r="N571" s="193"/>
      <c r="O571" s="193" t="n">
        <f aca="false">IFERROR(__xludf.dummyfunction("""COMPUTED_VALUE"""),1)</f>
        <v>1</v>
      </c>
      <c r="P571" s="193"/>
      <c r="Q571" s="193"/>
      <c r="R571" s="193"/>
      <c r="S571" s="193"/>
      <c r="T571" s="193"/>
      <c r="U571" s="193"/>
      <c r="V571" s="193"/>
      <c r="W571" s="193"/>
      <c r="X571" s="193"/>
      <c r="Y571" s="193"/>
      <c r="Z571" s="193"/>
    </row>
    <row r="572" customFormat="false" ht="15.75" hidden="false" customHeight="false" outlineLevel="0" collapsed="false">
      <c r="A572" s="193" t="str">
        <f aca="false">IFERROR(__xludf.dummyfunction("""COMPUTED_VALUE"""),"Ibou Badji")</f>
        <v>Ibou Badji</v>
      </c>
      <c r="B572" s="271" t="str">
        <f aca="false">IFERROR(__xludf.dummyfunction("""COMPUTED_VALUE"""),"Sacramento Kings")</f>
        <v>Sacramento Kings</v>
      </c>
      <c r="C572" s="271" t="str">
        <f aca="false">IFERROR(__xludf.dummyfunction("""COMPUTED_VALUE"""),"Two-way")</f>
        <v>Two-way</v>
      </c>
      <c r="D572" s="271" t="str">
        <f aca="false">IFERROR(__xludf.dummyfunction("""COMPUTED_VALUE"""),"Two-way")</f>
        <v>Two-way</v>
      </c>
      <c r="E572" s="272" t="str">
        <f aca="false">IFERROR(__xludf.dummyfunction("""COMPUTED_VALUE"""),"Two-Way")</f>
        <v>Two-Way</v>
      </c>
      <c r="F572" s="193" t="str">
        <f aca="false">IFERROR(__xludf.dummyfunction("""COMPUTED_VALUE"""),"Two-Way")</f>
        <v>Two-Way</v>
      </c>
      <c r="G572" s="272" t="n">
        <f aca="false">IFERROR(__xludf.dummyfunction("""COMPUTED_VALUE"""),2253346)</f>
        <v>2253346</v>
      </c>
      <c r="H572" s="193" t="str">
        <f aca="false">IFERROR(__xludf.dummyfunction("""COMPUTED_VALUE"""),"UFA - Two-Way")</f>
        <v>UFA - Two-Way</v>
      </c>
      <c r="I572" s="273"/>
      <c r="J572" s="193"/>
      <c r="K572" s="273"/>
      <c r="L572" s="193"/>
      <c r="M572" s="273"/>
      <c r="N572" s="193"/>
      <c r="O572" s="193" t="n">
        <f aca="false">IFERROR(__xludf.dummyfunction("""COMPUTED_VALUE"""),1)</f>
        <v>1</v>
      </c>
      <c r="P572" s="193"/>
      <c r="Q572" s="193"/>
      <c r="R572" s="193"/>
      <c r="S572" s="193"/>
      <c r="T572" s="193"/>
      <c r="U572" s="193"/>
      <c r="V572" s="193"/>
      <c r="W572" s="193"/>
      <c r="X572" s="193"/>
      <c r="Y572" s="193"/>
      <c r="Z572" s="193"/>
    </row>
    <row r="573" customFormat="false" ht="15.75" hidden="false" customHeight="false" outlineLevel="0" collapsed="false">
      <c r="A573" s="193" t="str">
        <f aca="false">IFERROR(__xludf.dummyfunction("""COMPUTED_VALUE"""),"Zach LaVine")</f>
        <v>Zach LaVine</v>
      </c>
      <c r="B573" s="271" t="str">
        <f aca="false">IFERROR(__xludf.dummyfunction("""COMPUTED_VALUE"""),"Sacramento Kings")</f>
        <v>Sacramento Kings</v>
      </c>
      <c r="C573" s="272" t="n">
        <f aca="false">IFERROR(__xludf.dummyfunction("""COMPUTED_VALUE"""),44531940)</f>
        <v>44531940</v>
      </c>
      <c r="D573" s="193"/>
      <c r="E573" s="272" t="n">
        <f aca="false">IFERROR(__xludf.dummyfunction("""COMPUTED_VALUE"""),47499660)</f>
        <v>47499660</v>
      </c>
      <c r="F573" s="193"/>
      <c r="G573" s="272" t="n">
        <f aca="false">IFERROR(__xludf.dummyfunction("""COMPUTED_VALUE"""),48967380)</f>
        <v>48967380</v>
      </c>
      <c r="H573" s="193" t="str">
        <f aca="false">IFERROR(__xludf.dummyfunction("""COMPUTED_VALUE"""),"Player Option")</f>
        <v>Player Option</v>
      </c>
      <c r="I573" s="272" t="n">
        <f aca="false">IFERROR(__xludf.dummyfunction("""COMPUTED_VALUE"""),56581816)</f>
        <v>56581816</v>
      </c>
      <c r="J573" s="271" t="str">
        <f aca="false">IFERROR(__xludf.dummyfunction("""COMPUTED_VALUE"""),"UFA - Bird")</f>
        <v>UFA - Bird</v>
      </c>
      <c r="K573" s="273"/>
      <c r="L573" s="193"/>
      <c r="M573" s="273"/>
      <c r="N573" s="193"/>
      <c r="O573" s="193" t="n">
        <f aca="false">IFERROR(__xludf.dummyfunction("""COMPUTED_VALUE"""),1)</f>
        <v>1</v>
      </c>
      <c r="P573" s="193"/>
      <c r="Q573" s="193"/>
      <c r="R573" s="193"/>
      <c r="S573" s="193"/>
      <c r="T573" s="193"/>
      <c r="U573" s="193"/>
      <c r="V573" s="193"/>
      <c r="W573" s="193"/>
      <c r="X573" s="193"/>
      <c r="Y573" s="193"/>
      <c r="Z573" s="193"/>
    </row>
    <row r="574" customFormat="false" ht="15.75" hidden="false" customHeight="false" outlineLevel="0" collapsed="false">
      <c r="A574" s="193" t="str">
        <f aca="false">IFERROR(__xludf.dummyfunction("""COMPUTED_VALUE"""),"Domantas Sabonis")</f>
        <v>Domantas Sabonis</v>
      </c>
      <c r="B574" s="271" t="str">
        <f aca="false">IFERROR(__xludf.dummyfunction("""COMPUTED_VALUE"""),"Sacramento Kings")</f>
        <v>Sacramento Kings</v>
      </c>
      <c r="C574" s="272" t="n">
        <f aca="false">IFERROR(__xludf.dummyfunction("""COMPUTED_VALUE"""),40500000)</f>
        <v>40500000</v>
      </c>
      <c r="D574" s="193"/>
      <c r="E574" s="272" t="n">
        <f aca="false">IFERROR(__xludf.dummyfunction("""COMPUTED_VALUE"""),43636000)</f>
        <v>43636000</v>
      </c>
      <c r="F574" s="193"/>
      <c r="G574" s="272" t="n">
        <f aca="false">IFERROR(__xludf.dummyfunction("""COMPUTED_VALUE"""),46772000)</f>
        <v>46772000</v>
      </c>
      <c r="H574" s="193"/>
      <c r="I574" s="272" t="n">
        <f aca="false">IFERROR(__xludf.dummyfunction("""COMPUTED_VALUE"""),49908000)</f>
        <v>49908000</v>
      </c>
      <c r="J574" s="193"/>
      <c r="K574" s="272" t="n">
        <f aca="false">IFERROR(__xludf.dummyfunction("""COMPUTED_VALUE"""),60750000)</f>
        <v>60750000</v>
      </c>
      <c r="L574" s="271" t="str">
        <f aca="false">IFERROR(__xludf.dummyfunction("""COMPUTED_VALUE"""),"UFA - Bird")</f>
        <v>UFA - Bird</v>
      </c>
      <c r="M574" s="273"/>
      <c r="N574" s="193"/>
      <c r="O574" s="193" t="n">
        <f aca="false">IFERROR(__xludf.dummyfunction("""COMPUTED_VALUE"""),1)</f>
        <v>1</v>
      </c>
      <c r="P574" s="193"/>
      <c r="Q574" s="193"/>
      <c r="R574" s="193"/>
      <c r="S574" s="193"/>
      <c r="T574" s="193"/>
      <c r="U574" s="193"/>
      <c r="V574" s="193"/>
      <c r="W574" s="193"/>
      <c r="X574" s="193"/>
      <c r="Y574" s="193"/>
      <c r="Z574" s="193"/>
    </row>
    <row r="575" customFormat="false" ht="15.75" hidden="false" customHeight="false" outlineLevel="0" collapsed="false">
      <c r="A575" s="193" t="str">
        <f aca="false">IFERROR(__xludf.dummyfunction("""COMPUTED_VALUE"""),"Dejounte Murray")</f>
        <v>Dejounte Murray</v>
      </c>
      <c r="B575" s="271" t="str">
        <f aca="false">IFERROR(__xludf.dummyfunction("""COMPUTED_VALUE"""),"Sacramento Kings")</f>
        <v>Sacramento Kings</v>
      </c>
      <c r="C575" s="272" t="n">
        <f aca="false">IFERROR(__xludf.dummyfunction("""COMPUTED_VALUE"""),29517134)</f>
        <v>29517134</v>
      </c>
      <c r="D575" s="193"/>
      <c r="E575" s="272" t="n">
        <f aca="false">IFERROR(__xludf.dummyfunction("""COMPUTED_VALUE"""),31557102)</f>
        <v>31557102</v>
      </c>
      <c r="F575" s="193"/>
      <c r="G575" s="272" t="n">
        <f aca="false">IFERROR(__xludf.dummyfunction("""COMPUTED_VALUE"""),33597070)</f>
        <v>33597070</v>
      </c>
      <c r="H575" s="193"/>
      <c r="I575" s="272" t="n">
        <f aca="false">IFERROR(__xludf.dummyfunction("""COMPUTED_VALUE"""),31619503)</f>
        <v>31619503</v>
      </c>
      <c r="J575" s="193" t="str">
        <f aca="false">IFERROR(__xludf.dummyfunction("""COMPUTED_VALUE"""),"Player Option")</f>
        <v>Player Option</v>
      </c>
      <c r="K575" s="272" t="n">
        <f aca="false">IFERROR(__xludf.dummyfunction("""COMPUTED_VALUE"""),47429255)</f>
        <v>47429255</v>
      </c>
      <c r="L575" s="271" t="str">
        <f aca="false">IFERROR(__xludf.dummyfunction("""COMPUTED_VALUE"""),"UFA - Bird")</f>
        <v>UFA - Bird</v>
      </c>
      <c r="M575" s="273"/>
      <c r="N575" s="193"/>
      <c r="O575" s="193" t="n">
        <f aca="false">IFERROR(__xludf.dummyfunction("""COMPUTED_VALUE"""),1)</f>
        <v>1</v>
      </c>
      <c r="P575" s="193"/>
      <c r="Q575" s="193"/>
      <c r="R575" s="193"/>
      <c r="S575" s="193"/>
      <c r="T575" s="193"/>
      <c r="U575" s="193"/>
      <c r="V575" s="193"/>
      <c r="W575" s="193"/>
      <c r="X575" s="193"/>
      <c r="Y575" s="193"/>
      <c r="Z575" s="193"/>
    </row>
    <row r="576" customFormat="false" ht="15.75" hidden="false" customHeight="false" outlineLevel="0" collapsed="false">
      <c r="A576" s="193" t="str">
        <f aca="false">IFERROR(__xludf.dummyfunction("""COMPUTED_VALUE"""),"John Collins")</f>
        <v>John Collins</v>
      </c>
      <c r="B576" s="271" t="str">
        <f aca="false">IFERROR(__xludf.dummyfunction("""COMPUTED_VALUE"""),"Sacramento Kings")</f>
        <v>Sacramento Kings</v>
      </c>
      <c r="C576" s="272" t="n">
        <f aca="false">IFERROR(__xludf.dummyfunction("""COMPUTED_VALUE"""),26580000)</f>
        <v>26580000</v>
      </c>
      <c r="D576" s="193"/>
      <c r="E576" s="272" t="n">
        <f aca="false">IFERROR(__xludf.dummyfunction("""COMPUTED_VALUE"""),26580000)</f>
        <v>26580000</v>
      </c>
      <c r="F576" s="193"/>
      <c r="G576" s="272" t="n">
        <f aca="false">IFERROR(__xludf.dummyfunction("""COMPUTED_VALUE"""),39870000)</f>
        <v>39870000</v>
      </c>
      <c r="H576" s="271" t="str">
        <f aca="false">IFERROR(__xludf.dummyfunction("""COMPUTED_VALUE"""),"UFA - Bird")</f>
        <v>UFA - Bird</v>
      </c>
      <c r="I576" s="272" t="str">
        <f aca="false">IFERROR(__xludf.dummyfunction("""COMPUTED_VALUE"""),"")</f>
        <v/>
      </c>
      <c r="J576" s="193"/>
      <c r="K576" s="273"/>
      <c r="L576" s="193"/>
      <c r="M576" s="273"/>
      <c r="N576" s="193"/>
      <c r="O576" s="193" t="n">
        <f aca="false">IFERROR(__xludf.dummyfunction("""COMPUTED_VALUE"""),1)</f>
        <v>1</v>
      </c>
      <c r="P576" s="193"/>
      <c r="Q576" s="193"/>
      <c r="R576" s="193"/>
      <c r="S576" s="193"/>
      <c r="T576" s="193"/>
      <c r="U576" s="193"/>
      <c r="V576" s="193"/>
      <c r="W576" s="193"/>
      <c r="X576" s="193"/>
      <c r="Y576" s="193"/>
      <c r="Z576" s="193"/>
    </row>
    <row r="577" customFormat="false" ht="15.75" hidden="false" customHeight="false" outlineLevel="0" collapsed="false">
      <c r="A577" s="193" t="str">
        <f aca="false">IFERROR(__xludf.dummyfunction("""COMPUTED_VALUE"""),"Jake LaRavia")</f>
        <v>Jake LaRavia</v>
      </c>
      <c r="B577" s="271" t="str">
        <f aca="false">IFERROR(__xludf.dummyfunction("""COMPUTED_VALUE"""),"Sacramento Kings")</f>
        <v>Sacramento Kings</v>
      </c>
      <c r="C577" s="272" t="n">
        <f aca="false">IFERROR(__xludf.dummyfunction("""COMPUTED_VALUE"""),3352680)</f>
        <v>3352680</v>
      </c>
      <c r="D577" s="193"/>
      <c r="E577" s="272" t="n">
        <f aca="false">IFERROR(__xludf.dummyfunction("""COMPUTED_VALUE"""),5163126.83)</f>
        <v>5163126.83</v>
      </c>
      <c r="F577" s="193"/>
      <c r="G577" s="272" t="n">
        <f aca="false">IFERROR(__xludf.dummyfunction("""COMPUTED_VALUE"""),5421283.17)</f>
        <v>5421283.17</v>
      </c>
      <c r="H577" s="271" t="str">
        <f aca="false">IFERROR(__xludf.dummyfunction("""COMPUTED_VALUE"""),"Player Option")</f>
        <v>Player Option</v>
      </c>
      <c r="I577" s="272" t="n">
        <f aca="false">IFERROR(__xludf.dummyfunction("""COMPUTED_VALUE"""),7047668.12)</f>
        <v>7047668.12</v>
      </c>
      <c r="J577" s="271" t="str">
        <f aca="false">IFERROR(__xludf.dummyfunction("""COMPUTED_VALUE"""),"UFA - Early Bird")</f>
        <v>UFA - Early Bird</v>
      </c>
      <c r="K577" s="273"/>
      <c r="L577" s="193"/>
      <c r="M577" s="273"/>
      <c r="N577" s="193"/>
      <c r="O577" s="193" t="n">
        <f aca="false">IFERROR(__xludf.dummyfunction("""COMPUTED_VALUE"""),1)</f>
        <v>1</v>
      </c>
      <c r="P577" s="193"/>
      <c r="Q577" s="193"/>
      <c r="R577" s="193"/>
      <c r="S577" s="193"/>
      <c r="T577" s="193"/>
      <c r="U577" s="193"/>
      <c r="V577" s="193"/>
      <c r="W577" s="193"/>
      <c r="X577" s="193"/>
      <c r="Y577" s="193"/>
      <c r="Z577" s="193"/>
    </row>
    <row r="578" customFormat="false" ht="15.75" hidden="false" customHeight="false" outlineLevel="0" collapsed="false">
      <c r="A578" s="193" t="str">
        <f aca="false">IFERROR(__xludf.dummyfunction("""COMPUTED_VALUE"""),"Malaki Branham")</f>
        <v>Malaki Branham</v>
      </c>
      <c r="B578" s="271" t="str">
        <f aca="false">IFERROR(__xludf.dummyfunction("""COMPUTED_VALUE"""),"Sacramento Kings")</f>
        <v>Sacramento Kings</v>
      </c>
      <c r="C578" s="273"/>
      <c r="D578" s="193"/>
      <c r="E578" s="272" t="n">
        <f aca="false">IFERROR(__xludf.dummyfunction("""COMPUTED_VALUE"""),4962033)</f>
        <v>4962033</v>
      </c>
      <c r="F578" s="193"/>
      <c r="G578" s="272" t="n">
        <f aca="false">IFERROR(__xludf.dummyfunction("""COMPUTED_VALUE"""),14886099)</f>
        <v>14886099</v>
      </c>
      <c r="H578" s="271" t="str">
        <f aca="false">IFERROR(__xludf.dummyfunction("""COMPUTED_VALUE"""),"RFA - Bird")</f>
        <v>RFA - Bird</v>
      </c>
      <c r="I578" s="272" t="str">
        <f aca="false">IFERROR(__xludf.dummyfunction("""COMPUTED_VALUE"""),"")</f>
        <v/>
      </c>
      <c r="J578" s="193"/>
      <c r="K578" s="273"/>
      <c r="L578" s="193"/>
      <c r="M578" s="273"/>
      <c r="N578" s="193"/>
      <c r="O578" s="193" t="n">
        <f aca="false">IFERROR(__xludf.dummyfunction("""COMPUTED_VALUE"""),1)</f>
        <v>1</v>
      </c>
      <c r="P578" s="193"/>
      <c r="Q578" s="193"/>
      <c r="R578" s="193"/>
      <c r="S578" s="193"/>
      <c r="T578" s="193"/>
      <c r="U578" s="193"/>
      <c r="V578" s="193"/>
      <c r="W578" s="193"/>
      <c r="X578" s="193"/>
      <c r="Y578" s="193"/>
      <c r="Z578" s="193"/>
    </row>
    <row r="579" customFormat="false" ht="15.75" hidden="false" customHeight="false" outlineLevel="0" collapsed="false">
      <c r="A579" s="193" t="str">
        <f aca="false">IFERROR(__xludf.dummyfunction("""COMPUTED_VALUE"""),"Peyton Watson")</f>
        <v>Peyton Watson</v>
      </c>
      <c r="B579" s="271" t="str">
        <f aca="false">IFERROR(__xludf.dummyfunction("""COMPUTED_VALUE"""),"Sacramento Kings")</f>
        <v>Sacramento Kings</v>
      </c>
      <c r="C579" s="272" t="n">
        <f aca="false">IFERROR(__xludf.dummyfunction("""COMPUTED_VALUE"""),2413560)</f>
        <v>2413560</v>
      </c>
      <c r="D579" s="193"/>
      <c r="E579" s="272" t="n">
        <f aca="false">IFERROR(__xludf.dummyfunction("""COMPUTED_VALUE"""),4356476)</f>
        <v>4356476</v>
      </c>
      <c r="F579" s="193"/>
      <c r="G579" s="272" t="n">
        <f aca="false">IFERROR(__xludf.dummyfunction("""COMPUTED_VALUE"""),13069428)</f>
        <v>13069428</v>
      </c>
      <c r="H579" s="193" t="str">
        <f aca="false">IFERROR(__xludf.dummyfunction("""COMPUTED_VALUE"""),"RFA - Bird")</f>
        <v>RFA - Bird</v>
      </c>
      <c r="I579" s="272" t="str">
        <f aca="false">IFERROR(__xludf.dummyfunction("""COMPUTED_VALUE"""),"")</f>
        <v/>
      </c>
      <c r="J579" s="193"/>
      <c r="K579" s="273"/>
      <c r="L579" s="193"/>
      <c r="M579" s="273"/>
      <c r="N579" s="193"/>
      <c r="O579" s="193" t="n">
        <f aca="false">IFERROR(__xludf.dummyfunction("""COMPUTED_VALUE"""),1)</f>
        <v>1</v>
      </c>
      <c r="P579" s="193"/>
      <c r="Q579" s="193"/>
      <c r="R579" s="193"/>
      <c r="S579" s="193"/>
      <c r="T579" s="193"/>
      <c r="U579" s="193"/>
      <c r="V579" s="193"/>
      <c r="W579" s="193"/>
      <c r="X579" s="193"/>
      <c r="Y579" s="193"/>
      <c r="Z579" s="193"/>
    </row>
    <row r="580" customFormat="false" ht="15.75" hidden="false" customHeight="false" outlineLevel="0" collapsed="false">
      <c r="A580" s="193" t="str">
        <f aca="false">IFERROR(__xludf.dummyfunction("""COMPUTED_VALUE"""),"Moussa Diabate")</f>
        <v>Moussa Diabate</v>
      </c>
      <c r="B580" s="271" t="str">
        <f aca="false">IFERROR(__xludf.dummyfunction("""COMPUTED_VALUE"""),"Sacramento Kings")</f>
        <v>Sacramento Kings</v>
      </c>
      <c r="C580" s="272" t="n">
        <f aca="false">IFERROR(__xludf.dummyfunction("""COMPUTED_VALUE"""),957763)</f>
        <v>957763</v>
      </c>
      <c r="D580" s="193"/>
      <c r="E580" s="274" t="n">
        <f aca="false">IFERROR(__xludf.dummyfunction("""COMPUTED_VALUE"""),3942307.69230769)</f>
        <v>3942307.692</v>
      </c>
      <c r="F580" s="193"/>
      <c r="G580" s="274" t="n">
        <f aca="false">IFERROR(__xludf.dummyfunction("""COMPUTED_VALUE"""),4257692.30769231)</f>
        <v>4257692.308</v>
      </c>
      <c r="H580" s="193"/>
      <c r="I580" s="272" t="n">
        <f aca="false">IFERROR(__xludf.dummyfunction("""COMPUTED_VALUE"""),5330000)</f>
        <v>5330000</v>
      </c>
      <c r="J580" s="193" t="str">
        <f aca="false">IFERROR(__xludf.dummyfunction("""COMPUTED_VALUE"""),"UFA - Early Bird")</f>
        <v>UFA - Early Bird</v>
      </c>
      <c r="K580" s="273"/>
      <c r="L580" s="193"/>
      <c r="M580" s="273"/>
      <c r="N580" s="193"/>
      <c r="O580" s="193" t="n">
        <f aca="false">IFERROR(__xludf.dummyfunction("""COMPUTED_VALUE"""),1)</f>
        <v>1</v>
      </c>
      <c r="P580" s="193"/>
      <c r="Q580" s="193"/>
      <c r="R580" s="193"/>
      <c r="S580" s="193"/>
      <c r="T580" s="193"/>
      <c r="U580" s="193"/>
      <c r="V580" s="193"/>
      <c r="W580" s="193"/>
      <c r="X580" s="193"/>
      <c r="Y580" s="193"/>
      <c r="Z580" s="193"/>
    </row>
    <row r="581" customFormat="false" ht="15.75" hidden="false" customHeight="false" outlineLevel="0" collapsed="false">
      <c r="A581" s="193" t="str">
        <f aca="false">IFERROR(__xludf.dummyfunction("""COMPUTED_VALUE"""),"Marcus Sasser")</f>
        <v>Marcus Sasser</v>
      </c>
      <c r="B581" s="271" t="str">
        <f aca="false">IFERROR(__xludf.dummyfunction("""COMPUTED_VALUE"""),"Sacramento Kings")</f>
        <v>Sacramento Kings</v>
      </c>
      <c r="C581" s="273"/>
      <c r="D581" s="193"/>
      <c r="E581" s="272" t="n">
        <f aca="false">IFERROR(__xludf.dummyfunction("""COMPUTED_VALUE"""),2886720)</f>
        <v>2886720</v>
      </c>
      <c r="F581" s="193"/>
      <c r="G581" s="272" t="n">
        <f aca="false">IFERROR(__xludf.dummyfunction("""COMPUTED_VALUE"""),5198983)</f>
        <v>5198983</v>
      </c>
      <c r="H581" s="271" t="str">
        <f aca="false">IFERROR(__xludf.dummyfunction("""COMPUTED_VALUE"""),"Club Option")</f>
        <v>Club Option</v>
      </c>
      <c r="I581" s="272" t="n">
        <f aca="false">IFERROR(__xludf.dummyfunction("""COMPUTED_VALUE"""),15596949)</f>
        <v>15596949</v>
      </c>
      <c r="J581" s="271" t="str">
        <f aca="false">IFERROR(__xludf.dummyfunction("""COMPUTED_VALUE"""),"RFA - Bird")</f>
        <v>RFA - Bird</v>
      </c>
      <c r="K581" s="273"/>
      <c r="L581" s="193"/>
      <c r="M581" s="273"/>
      <c r="N581" s="193"/>
      <c r="O581" s="193" t="n">
        <f aca="false">IFERROR(__xludf.dummyfunction("""COMPUTED_VALUE"""),1)</f>
        <v>1</v>
      </c>
      <c r="P581" s="193"/>
      <c r="Q581" s="193"/>
      <c r="R581" s="193"/>
      <c r="S581" s="193"/>
      <c r="T581" s="193"/>
      <c r="U581" s="193"/>
      <c r="V581" s="193"/>
      <c r="W581" s="193"/>
      <c r="X581" s="193"/>
      <c r="Y581" s="193"/>
      <c r="Z581" s="193"/>
    </row>
    <row r="582" customFormat="false" ht="15.75" hidden="false" customHeight="false" outlineLevel="0" collapsed="false">
      <c r="A582" s="193" t="str">
        <f aca="false">IFERROR(__xludf.dummyfunction("""COMPUTED_VALUE"""),"DaQuan Jeffries")</f>
        <v>DaQuan Jeffries</v>
      </c>
      <c r="B582" s="271" t="str">
        <f aca="false">IFERROR(__xludf.dummyfunction("""COMPUTED_VALUE"""),"Sacramento Kings")</f>
        <v>Sacramento Kings</v>
      </c>
      <c r="C582" s="273"/>
      <c r="D582" s="193"/>
      <c r="E582" s="272" t="n">
        <f aca="false">IFERROR(__xludf.dummyfunction("""COMPUTED_VALUE"""),2743776)</f>
        <v>2743776</v>
      </c>
      <c r="F582" s="193"/>
      <c r="G582" s="272" t="n">
        <f aca="false">IFERROR(__xludf.dummyfunction("""COMPUTED_VALUE"""),3080918)</f>
        <v>3080918</v>
      </c>
      <c r="H582" s="193" t="str">
        <f aca="false">IFERROR(__xludf.dummyfunction("""COMPUTED_VALUE"""),"Non-Guaranteed")</f>
        <v>Non-Guaranteed</v>
      </c>
      <c r="I582" s="272" t="n">
        <f aca="false">IFERROR(__xludf.dummyfunction("""COMPUTED_VALUE"""),2778492)</f>
        <v>2778492</v>
      </c>
      <c r="J582" s="193" t="str">
        <f aca="false">IFERROR(__xludf.dummyfunction("""COMPUTED_VALUE"""),"UFA - Bird")</f>
        <v>UFA - Bird</v>
      </c>
      <c r="K582" s="273"/>
      <c r="L582" s="193"/>
      <c r="M582" s="273"/>
      <c r="N582" s="193"/>
      <c r="O582" s="193" t="n">
        <f aca="false">IFERROR(__xludf.dummyfunction("""COMPUTED_VALUE"""),1)</f>
        <v>1</v>
      </c>
      <c r="P582" s="193"/>
      <c r="Q582" s="193"/>
      <c r="R582" s="193"/>
      <c r="S582" s="193"/>
      <c r="T582" s="193"/>
      <c r="U582" s="193"/>
      <c r="V582" s="193"/>
      <c r="W582" s="193"/>
      <c r="X582" s="193"/>
      <c r="Y582" s="193"/>
      <c r="Z582" s="193"/>
    </row>
    <row r="583" customFormat="false" ht="15.75" hidden="false" customHeight="false" outlineLevel="0" collapsed="false">
      <c r="A583" s="193" t="str">
        <f aca="false">IFERROR(__xludf.dummyfunction("""COMPUTED_VALUE"""),"Julian Strawther")</f>
        <v>Julian Strawther</v>
      </c>
      <c r="B583" s="271" t="str">
        <f aca="false">IFERROR(__xludf.dummyfunction("""COMPUTED_VALUE"""),"Sacramento Kings")</f>
        <v>Sacramento Kings</v>
      </c>
      <c r="C583" s="272" t="n">
        <f aca="false">IFERROR(__xludf.dummyfunction("""COMPUTED_VALUE"""),2552520)</f>
        <v>2552520</v>
      </c>
      <c r="D583" s="193"/>
      <c r="E583" s="272" t="n">
        <f aca="false">IFERROR(__xludf.dummyfunction("""COMPUTED_VALUE"""),2674200)</f>
        <v>2674200</v>
      </c>
      <c r="F583" s="193"/>
      <c r="G583" s="272" t="n">
        <f aca="false">IFERROR(__xludf.dummyfunction("""COMPUTED_VALUE"""),4826931)</f>
        <v>4826931</v>
      </c>
      <c r="H583" s="193" t="str">
        <f aca="false">IFERROR(__xludf.dummyfunction("""COMPUTED_VALUE"""),"Club Option")</f>
        <v>Club Option</v>
      </c>
      <c r="I583" s="272" t="n">
        <f aca="false">IFERROR(__xludf.dummyfunction("""COMPUTED_VALUE"""),14480793)</f>
        <v>14480793</v>
      </c>
      <c r="J583" s="193" t="str">
        <f aca="false">IFERROR(__xludf.dummyfunction("""COMPUTED_VALUE"""),"RFA - Bird")</f>
        <v>RFA - Bird</v>
      </c>
      <c r="K583" s="273"/>
      <c r="L583" s="193"/>
      <c r="M583" s="273"/>
      <c r="N583" s="193"/>
      <c r="O583" s="193" t="n">
        <f aca="false">IFERROR(__xludf.dummyfunction("""COMPUTED_VALUE"""),1)</f>
        <v>1</v>
      </c>
      <c r="P583" s="193"/>
      <c r="Q583" s="193"/>
      <c r="R583" s="193"/>
      <c r="S583" s="193"/>
      <c r="T583" s="193"/>
      <c r="U583" s="193"/>
      <c r="V583" s="193"/>
      <c r="W583" s="193"/>
      <c r="X583" s="193"/>
      <c r="Y583" s="193"/>
      <c r="Z583" s="193"/>
    </row>
    <row r="584" customFormat="false" ht="15.75" hidden="false" customHeight="false" outlineLevel="0" collapsed="false">
      <c r="A584" s="193" t="str">
        <f aca="false">IFERROR(__xludf.dummyfunction("""COMPUTED_VALUE"""),"Terence Davis")</f>
        <v>Terence Davis</v>
      </c>
      <c r="B584" s="271" t="str">
        <f aca="false">IFERROR(__xludf.dummyfunction("""COMPUTED_VALUE"""),"Sacramento Kings")</f>
        <v>Sacramento Kings</v>
      </c>
      <c r="C584" s="272" t="n">
        <f aca="false">IFERROR(__xludf.dummyfunction("""COMPUTED_VALUE"""),64301)</f>
        <v>64301</v>
      </c>
      <c r="D584" s="193"/>
      <c r="E584" s="272" t="n">
        <f aca="false">IFERROR(__xludf.dummyfunction("""COMPUTED_VALUE"""),2546675)</f>
        <v>2546675</v>
      </c>
      <c r="F584" s="271" t="str">
        <f aca="false">IFERROR(__xludf.dummyfunction("""COMPUTED_VALUE"""),"UFA - Non-Bird")</f>
        <v>UFA - Non-Bird</v>
      </c>
      <c r="G584" s="273"/>
      <c r="H584" s="193"/>
      <c r="I584" s="273"/>
      <c r="J584" s="193"/>
      <c r="K584" s="273"/>
      <c r="L584" s="193"/>
      <c r="M584" s="273"/>
      <c r="N584" s="193"/>
      <c r="O584" s="193" t="n">
        <f aca="false">IFERROR(__xludf.dummyfunction("""COMPUTED_VALUE"""),1)</f>
        <v>1</v>
      </c>
      <c r="P584" s="193"/>
      <c r="Q584" s="193"/>
      <c r="R584" s="193"/>
      <c r="S584" s="193"/>
      <c r="T584" s="193"/>
      <c r="U584" s="193"/>
      <c r="V584" s="193"/>
      <c r="W584" s="193"/>
      <c r="X584" s="193"/>
      <c r="Y584" s="193"/>
      <c r="Z584" s="193"/>
    </row>
    <row r="585" customFormat="false" ht="15.75" hidden="false" customHeight="false" outlineLevel="0" collapsed="false">
      <c r="A585" s="193" t="str">
        <f aca="false">IFERROR(__xludf.dummyfunction("""COMPUTED_VALUE"""),"Vit Krejci")</f>
        <v>Vit Krejci</v>
      </c>
      <c r="B585" s="271" t="str">
        <f aca="false">IFERROR(__xludf.dummyfunction("""COMPUTED_VALUE"""),"Sacramento Kings")</f>
        <v>Sacramento Kings</v>
      </c>
      <c r="C585" s="273"/>
      <c r="D585" s="193"/>
      <c r="E585" s="272" t="n">
        <f aca="false">IFERROR(__xludf.dummyfunction("""COMPUTED_VALUE"""),2349578)</f>
        <v>2349578</v>
      </c>
      <c r="F585" s="193"/>
      <c r="G585" s="272" t="n">
        <f aca="false">IFERROR(__xludf.dummyfunction("""COMPUTED_VALUE"""),2667944)</f>
        <v>2667944</v>
      </c>
      <c r="H585" s="271" t="str">
        <f aca="false">IFERROR(__xludf.dummyfunction("""COMPUTED_VALUE"""),"Non Guaranteed")</f>
        <v>Non Guaranteed</v>
      </c>
      <c r="I585" s="272" t="n">
        <f aca="false">IFERROR(__xludf.dummyfunction("""COMPUTED_VALUE"""),3005085)</f>
        <v>3005085</v>
      </c>
      <c r="J585" s="193" t="str">
        <f aca="false">IFERROR(__xludf.dummyfunction("""COMPUTED_VALUE"""),"Club Option")</f>
        <v>Club Option</v>
      </c>
      <c r="K585" s="272" t="n">
        <f aca="false">IFERROR(__xludf.dummyfunction("""COMPUTED_VALUE"""),3056337)</f>
        <v>3056337</v>
      </c>
      <c r="L585" s="193" t="str">
        <f aca="false">IFERROR(__xludf.dummyfunction("""COMPUTED_VALUE"""),"UFA - Bird")</f>
        <v>UFA - Bird</v>
      </c>
      <c r="M585" s="273"/>
      <c r="N585" s="193"/>
      <c r="O585" s="193" t="n">
        <f aca="false">IFERROR(__xludf.dummyfunction("""COMPUTED_VALUE"""),1)</f>
        <v>1</v>
      </c>
      <c r="P585" s="193"/>
      <c r="Q585" s="193"/>
      <c r="R585" s="193"/>
      <c r="S585" s="193"/>
      <c r="T585" s="193"/>
      <c r="U585" s="193"/>
      <c r="V585" s="193"/>
      <c r="W585" s="193"/>
      <c r="X585" s="193"/>
      <c r="Y585" s="193"/>
      <c r="Z585" s="193"/>
    </row>
    <row r="586" customFormat="false" ht="15.75" hidden="false" customHeight="false" outlineLevel="0" collapsed="false">
      <c r="A586" s="193" t="str">
        <f aca="false">IFERROR(__xludf.dummyfunction("""COMPUTED_VALUE"""),"Keon Ellis")</f>
        <v>Keon Ellis</v>
      </c>
      <c r="B586" s="271" t="str">
        <f aca="false">IFERROR(__xludf.dummyfunction("""COMPUTED_VALUE"""),"Sacramento Kings")</f>
        <v>Sacramento Kings</v>
      </c>
      <c r="C586" s="272" t="n">
        <f aca="false">IFERROR(__xludf.dummyfunction("""COMPUTED_VALUE"""),2120693)</f>
        <v>2120693</v>
      </c>
      <c r="D586" s="193"/>
      <c r="E586" s="272" t="n">
        <f aca="false">IFERROR(__xludf.dummyfunction("""COMPUTED_VALUE"""),2301587)</f>
        <v>2301587</v>
      </c>
      <c r="F586" s="193"/>
      <c r="G586" s="272" t="n">
        <f aca="false">IFERROR(__xludf.dummyfunction("""COMPUTED_VALUE"""),2533301)</f>
        <v>2533301</v>
      </c>
      <c r="H586" s="271" t="str">
        <f aca="false">IFERROR(__xludf.dummyfunction("""COMPUTED_VALUE"""),"UFA - Bird")</f>
        <v>UFA - Bird</v>
      </c>
      <c r="I586" s="272" t="str">
        <f aca="false">IFERROR(__xludf.dummyfunction("""COMPUTED_VALUE"""),"")</f>
        <v/>
      </c>
      <c r="J586" s="193"/>
      <c r="K586" s="273"/>
      <c r="L586" s="193"/>
      <c r="M586" s="273"/>
      <c r="N586" s="193"/>
      <c r="O586" s="193" t="n">
        <f aca="false">IFERROR(__xludf.dummyfunction("""COMPUTED_VALUE"""),1)</f>
        <v>1</v>
      </c>
      <c r="P586" s="193"/>
      <c r="Q586" s="193"/>
      <c r="R586" s="193"/>
      <c r="S586" s="193"/>
      <c r="T586" s="193"/>
      <c r="U586" s="193"/>
      <c r="V586" s="193"/>
      <c r="W586" s="193"/>
      <c r="X586" s="193"/>
      <c r="Y586" s="193"/>
      <c r="Z586" s="193"/>
    </row>
    <row r="587" customFormat="false" ht="15.75" hidden="false" customHeight="false" outlineLevel="0" collapsed="false">
      <c r="A587" s="193" t="str">
        <f aca="false">IFERROR(__xludf.dummyfunction("""COMPUTED_VALUE"""),"Doug McDermott")</f>
        <v>Doug McDermott</v>
      </c>
      <c r="B587" s="271" t="str">
        <f aca="false">IFERROR(__xludf.dummyfunction("""COMPUTED_VALUE"""),"Sacramento Kings")</f>
        <v>Sacramento Kings</v>
      </c>
      <c r="C587" s="272" t="n">
        <f aca="false">IFERROR(__xludf.dummyfunction("""COMPUTED_VALUE"""),2087519)</f>
        <v>2087519</v>
      </c>
      <c r="D587" s="193"/>
      <c r="E587" s="272" t="n">
        <f aca="false">IFERROR(__xludf.dummyfunction("""COMPUTED_VALUE"""),2296274)</f>
        <v>2296274</v>
      </c>
      <c r="F587" s="271" t="str">
        <f aca="false">IFERROR(__xludf.dummyfunction("""COMPUTED_VALUE"""),"UFA - Non-Bird")</f>
        <v>UFA - Non-Bird</v>
      </c>
      <c r="G587" s="272" t="str">
        <f aca="false">IFERROR(__xludf.dummyfunction("""COMPUTED_VALUE"""),"")</f>
        <v/>
      </c>
      <c r="H587" s="193"/>
      <c r="I587" s="272" t="str">
        <f aca="false">IFERROR(__xludf.dummyfunction("""COMPUTED_VALUE"""),"")</f>
        <v/>
      </c>
      <c r="J587" s="193"/>
      <c r="K587" s="273"/>
      <c r="L587" s="193"/>
      <c r="M587" s="273"/>
      <c r="N587" s="193"/>
      <c r="O587" s="193" t="n">
        <f aca="false">IFERROR(__xludf.dummyfunction("""COMPUTED_VALUE"""),1)</f>
        <v>1</v>
      </c>
      <c r="P587" s="193"/>
      <c r="Q587" s="193"/>
      <c r="R587" s="193"/>
      <c r="S587" s="193"/>
      <c r="T587" s="193"/>
      <c r="U587" s="193"/>
      <c r="V587" s="193"/>
      <c r="W587" s="193"/>
      <c r="X587" s="193"/>
      <c r="Y587" s="193"/>
      <c r="Z587" s="193"/>
    </row>
    <row r="588" customFormat="false" ht="15.75" hidden="false" customHeight="false" outlineLevel="0" collapsed="false">
      <c r="A588" s="193" t="str">
        <f aca="false">IFERROR(__xludf.dummyfunction("""COMPUTED_VALUE"""),"Markelle Fultz")</f>
        <v>Markelle Fultz</v>
      </c>
      <c r="B588" s="271" t="str">
        <f aca="false">IFERROR(__xludf.dummyfunction("""COMPUTED_VALUE"""),"Oklahoma City Thunder")</f>
        <v>Oklahoma City Thunder</v>
      </c>
      <c r="C588" s="272" t="n">
        <f aca="false">IFERROR(__xludf.dummyfunction("""COMPUTED_VALUE"""),731831)</f>
        <v>731831</v>
      </c>
      <c r="D588" s="193"/>
      <c r="E588" s="272" t="n">
        <f aca="false">IFERROR(__xludf.dummyfunction("""COMPUTED_VALUE"""),2296274)</f>
        <v>2296274</v>
      </c>
      <c r="F588" s="271" t="str">
        <f aca="false">IFERROR(__xludf.dummyfunction("""COMPUTED_VALUE"""),"Non-Guarnateed")</f>
        <v>Non-Guarnateed</v>
      </c>
      <c r="G588" s="272" t="n">
        <f aca="false">IFERROR(__xludf.dummyfunction("""COMPUTED_VALUE"""),2533301)</f>
        <v>2533301</v>
      </c>
      <c r="H588" s="271" t="str">
        <f aca="false">IFERROR(__xludf.dummyfunction("""COMPUTED_VALUE"""),"UFA - Non - Bird")</f>
        <v>UFA - Non - Bird</v>
      </c>
      <c r="I588" s="272" t="str">
        <f aca="false">IFERROR(__xludf.dummyfunction("""COMPUTED_VALUE"""),"")</f>
        <v/>
      </c>
      <c r="J588" s="193"/>
      <c r="K588" s="273"/>
      <c r="L588" s="193"/>
      <c r="M588" s="273"/>
      <c r="N588" s="193"/>
      <c r="O588" s="193" t="n">
        <f aca="false">IFERROR(__xludf.dummyfunction("""COMPUTED_VALUE"""),1)</f>
        <v>1</v>
      </c>
      <c r="P588" s="193"/>
      <c r="Q588" s="193"/>
      <c r="R588" s="193"/>
      <c r="S588" s="193"/>
      <c r="T588" s="193"/>
      <c r="U588" s="193"/>
      <c r="V588" s="193"/>
      <c r="W588" s="193"/>
      <c r="X588" s="193"/>
      <c r="Y588" s="193"/>
      <c r="Z588" s="193"/>
    </row>
    <row r="589" customFormat="false" ht="15.75" hidden="false" customHeight="false" outlineLevel="0" collapsed="false">
      <c r="A589" s="193" t="str">
        <f aca="false">IFERROR(__xludf.dummyfunction("""COMPUTED_VALUE"""),"Jordan Ford")</f>
        <v>Jordan Ford</v>
      </c>
      <c r="B589" s="271" t="str">
        <f aca="false">IFERROR(__xludf.dummyfunction("""COMPUTED_VALUE"""),"Sacramento Kings")</f>
        <v>Sacramento Kings</v>
      </c>
      <c r="C589" s="272" t="n">
        <f aca="false">IFERROR(__xludf.dummyfunction("""COMPUTED_VALUE"""),1862265)</f>
        <v>1862265</v>
      </c>
      <c r="D589" s="271" t="str">
        <f aca="false">IFERROR(__xludf.dummyfunction("""COMPUTED_VALUE"""),"UFA - Two-way")</f>
        <v>UFA - Two-way</v>
      </c>
      <c r="E589" s="272" t="n">
        <f aca="false">IFERROR(__xludf.dummyfunction("""COMPUTED_VALUE"""),2048491)</f>
        <v>2048491</v>
      </c>
      <c r="F589" s="271" t="str">
        <f aca="false">IFERROR(__xludf.dummyfunction("""COMPUTED_VALUE"""),"UFA - Two-way")</f>
        <v>UFA - Two-way</v>
      </c>
      <c r="G589" s="273"/>
      <c r="H589" s="193"/>
      <c r="I589" s="273"/>
      <c r="J589" s="193"/>
      <c r="K589" s="273"/>
      <c r="L589" s="193"/>
      <c r="M589" s="273"/>
      <c r="N589" s="193"/>
      <c r="O589" s="193" t="n">
        <f aca="false">IFERROR(__xludf.dummyfunction("""COMPUTED_VALUE"""),1)</f>
        <v>1</v>
      </c>
      <c r="P589" s="193"/>
      <c r="Q589" s="193"/>
      <c r="R589" s="193"/>
      <c r="S589" s="193"/>
      <c r="T589" s="193"/>
      <c r="U589" s="193"/>
      <c r="V589" s="193"/>
      <c r="W589" s="193"/>
      <c r="X589" s="193"/>
      <c r="Y589" s="193"/>
      <c r="Z589" s="193"/>
    </row>
    <row r="590" customFormat="false" ht="15.75" hidden="false" customHeight="false" outlineLevel="0" collapsed="false">
      <c r="A590" s="193" t="str">
        <f aca="false">IFERROR(__xludf.dummyfunction("""COMPUTED_VALUE"""),"Mason Jones")</f>
        <v>Mason Jones</v>
      </c>
      <c r="B590" s="271" t="str">
        <f aca="false">IFERROR(__xludf.dummyfunction("""COMPUTED_VALUE"""),"Sacramento Kings")</f>
        <v>Sacramento Kings</v>
      </c>
      <c r="C590" s="273"/>
      <c r="D590" s="193"/>
      <c r="E590" s="272" t="n">
        <f aca="false">IFERROR(__xludf.dummyfunction("""COMPUTED_VALUE"""),2048491)</f>
        <v>2048491</v>
      </c>
      <c r="F590" s="271" t="str">
        <f aca="false">IFERROR(__xludf.dummyfunction("""COMPUTED_VALUE"""),"UFA - Two-way")</f>
        <v>UFA - Two-way</v>
      </c>
      <c r="G590" s="273"/>
      <c r="H590" s="193"/>
      <c r="I590" s="273"/>
      <c r="J590" s="193"/>
      <c r="K590" s="273"/>
      <c r="L590" s="193"/>
      <c r="M590" s="273"/>
      <c r="N590" s="193"/>
      <c r="O590" s="193" t="n">
        <f aca="false">IFERROR(__xludf.dummyfunction("""COMPUTED_VALUE"""),1)</f>
        <v>1</v>
      </c>
      <c r="P590" s="193"/>
      <c r="Q590" s="193"/>
      <c r="R590" s="193"/>
      <c r="S590" s="193"/>
      <c r="T590" s="193"/>
      <c r="U590" s="193"/>
      <c r="V590" s="193"/>
      <c r="W590" s="193"/>
      <c r="X590" s="193"/>
      <c r="Y590" s="193"/>
      <c r="Z590" s="193"/>
    </row>
    <row r="591" customFormat="false" ht="15.75" hidden="false" customHeight="false" outlineLevel="0" collapsed="false">
      <c r="A591" s="193" t="str">
        <f aca="false">IFERROR(__xludf.dummyfunction("""COMPUTED_VALUE"""),"Isaac Jones")</f>
        <v>Isaac Jones</v>
      </c>
      <c r="B591" s="271" t="str">
        <f aca="false">IFERROR(__xludf.dummyfunction("""COMPUTED_VALUE"""),"Sacramento Kings")</f>
        <v>Sacramento Kings</v>
      </c>
      <c r="C591" s="272" t="n">
        <f aca="false">IFERROR(__xludf.dummyfunction("""COMPUTED_VALUE"""),152957)</f>
        <v>152957</v>
      </c>
      <c r="D591" s="193"/>
      <c r="E591" s="272" t="n">
        <f aca="false">IFERROR(__xludf.dummyfunction("""COMPUTED_VALUE"""),1955377)</f>
        <v>1955377</v>
      </c>
      <c r="F591" s="193"/>
      <c r="G591" s="272" t="n">
        <f aca="false">IFERROR(__xludf.dummyfunction("""COMPUTED_VALUE"""),2725905)</f>
        <v>2725905</v>
      </c>
      <c r="H591" s="271" t="str">
        <f aca="false">IFERROR(__xludf.dummyfunction("""COMPUTED_VALUE"""),"RFA - Non-Bird")</f>
        <v>RFA - Non-Bird</v>
      </c>
      <c r="I591" s="272" t="str">
        <f aca="false">IFERROR(__xludf.dummyfunction("""COMPUTED_VALUE"""),"")</f>
        <v/>
      </c>
      <c r="J591" s="193"/>
      <c r="K591" s="273"/>
      <c r="L591" s="193"/>
      <c r="M591" s="273"/>
      <c r="N591" s="193"/>
      <c r="O591" s="193" t="n">
        <f aca="false">IFERROR(__xludf.dummyfunction("""COMPUTED_VALUE"""),1)</f>
        <v>1</v>
      </c>
      <c r="P591" s="193"/>
      <c r="Q591" s="193"/>
      <c r="R591" s="193"/>
      <c r="S591" s="193"/>
      <c r="T591" s="193"/>
      <c r="U591" s="193"/>
      <c r="V591" s="193"/>
      <c r="W591" s="193"/>
      <c r="X591" s="193"/>
      <c r="Y591" s="193"/>
      <c r="Z591" s="193"/>
    </row>
    <row r="592" customFormat="false" ht="15.75" hidden="false" customHeight="false" outlineLevel="0" collapsed="false">
      <c r="A592" s="193" t="str">
        <f aca="false">IFERROR(__xludf.dummyfunction("""COMPUTED_VALUE"""),"Hansen Yang (R)")</f>
        <v>Hansen Yang (R)</v>
      </c>
      <c r="B592" s="271" t="str">
        <f aca="false">IFERROR(__xludf.dummyfunction("""COMPUTED_VALUE"""),"Sacramento Kings")</f>
        <v>Sacramento Kings</v>
      </c>
      <c r="C592" s="273"/>
      <c r="D592" s="193"/>
      <c r="E592" s="272" t="n">
        <f aca="false">IFERROR(__xludf.dummyfunction("""COMPUTED_VALUE"""),1272869)</f>
        <v>1272869</v>
      </c>
      <c r="F592" s="193"/>
      <c r="G592" s="272" t="n">
        <f aca="false">IFERROR(__xludf.dummyfunction("""COMPUTED_VALUE"""),2150915.55)</f>
        <v>2150915.55</v>
      </c>
      <c r="H592" s="193"/>
      <c r="I592" s="272" t="n">
        <f aca="false">IFERROR(__xludf.dummyfunction("""COMPUTED_VALUE"""),2525899)</f>
        <v>2525899</v>
      </c>
      <c r="J592" s="271" t="str">
        <f aca="false">IFERROR(__xludf.dummyfunction("""COMPUTED_VALUE"""),"Club Option")</f>
        <v>Club Option</v>
      </c>
      <c r="K592" s="272" t="n">
        <f aca="false">IFERROR(__xludf.dummyfunction("""COMPUTED_VALUE"""),2735801.21)</f>
        <v>2735801.21</v>
      </c>
      <c r="L592" s="271" t="str">
        <f aca="false">IFERROR(__xludf.dummyfunction("""COMPUTED_VALUE"""),"Club Option")</f>
        <v>Club Option</v>
      </c>
      <c r="M592" s="272" t="n">
        <f aca="false">IFERROR(__xludf.dummyfunction("""COMPUTED_VALUE"""),5197819.55)</f>
        <v>5197819.55</v>
      </c>
      <c r="N592" s="271" t="str">
        <f aca="false">IFERROR(__xludf.dummyfunction("""COMPUTED_VALUE"""),"UFA - Bird")</f>
        <v>UFA - Bird</v>
      </c>
      <c r="O592" s="193" t="n">
        <f aca="false">IFERROR(__xludf.dummyfunction("""COMPUTED_VALUE"""),1)</f>
        <v>1</v>
      </c>
      <c r="P592" s="193"/>
      <c r="Q592" s="193"/>
      <c r="R592" s="193"/>
      <c r="S592" s="193"/>
      <c r="T592" s="193"/>
      <c r="U592" s="193"/>
      <c r="V592" s="193"/>
      <c r="W592" s="193"/>
      <c r="X592" s="193"/>
      <c r="Y592" s="193"/>
      <c r="Z592" s="193"/>
    </row>
    <row r="593" customFormat="false" ht="15.75" hidden="false" customHeight="false" outlineLevel="0" collapsed="false">
      <c r="A593" s="193" t="str">
        <f aca="false">IFERROR(__xludf.dummyfunction("""COMPUTED_VALUE"""),"Rocco Zikarsky (R)")</f>
        <v>Rocco Zikarsky (R)</v>
      </c>
      <c r="B593" s="271" t="str">
        <f aca="false">IFERROR(__xludf.dummyfunction("""COMPUTED_VALUE"""),"San Antonio Spurs")</f>
        <v>San Antonio Spurs</v>
      </c>
      <c r="C593" s="272" t="str">
        <f aca="false">IFERROR(__xludf.dummyfunction("""COMPUTED_VALUE"""),"Two-Way")</f>
        <v>Two-Way</v>
      </c>
      <c r="D593" s="271" t="str">
        <f aca="false">IFERROR(__xludf.dummyfunction("""COMPUTED_VALUE"""),"Two-Way")</f>
        <v>Two-Way</v>
      </c>
      <c r="E593" s="272" t="str">
        <f aca="false">IFERROR(__xludf.dummyfunction("""COMPUTED_VALUE"""),"Two-Way")</f>
        <v>Two-Way</v>
      </c>
      <c r="F593" s="271" t="str">
        <f aca="false">IFERROR(__xludf.dummyfunction("""COMPUTED_VALUE"""),"Two-Way")</f>
        <v>Two-Way</v>
      </c>
      <c r="G593" s="272" t="n">
        <f aca="false">IFERROR(__xludf.dummyfunction("""COMPUTED_VALUE"""),2253346)</f>
        <v>2253346</v>
      </c>
      <c r="H593" s="271" t="str">
        <f aca="false">IFERROR(__xludf.dummyfunction("""COMPUTED_VALUE"""),"UFA - Two-Way")</f>
        <v>UFA - Two-Way</v>
      </c>
      <c r="I593" s="273"/>
      <c r="J593" s="193"/>
      <c r="K593" s="273"/>
      <c r="L593" s="193"/>
      <c r="M593" s="273"/>
      <c r="N593" s="193"/>
      <c r="O593" s="193" t="n">
        <f aca="false">IFERROR(__xludf.dummyfunction("""COMPUTED_VALUE"""),1)</f>
        <v>1</v>
      </c>
      <c r="P593" s="193"/>
      <c r="Q593" s="193"/>
      <c r="R593" s="193"/>
      <c r="S593" s="193"/>
      <c r="T593" s="193"/>
      <c r="U593" s="193"/>
      <c r="V593" s="193"/>
      <c r="W593" s="193"/>
      <c r="X593" s="193"/>
      <c r="Y593" s="193"/>
      <c r="Z593" s="193"/>
    </row>
    <row r="594" customFormat="false" ht="15.75" hidden="false" customHeight="false" outlineLevel="0" collapsed="false">
      <c r="A594" s="193" t="str">
        <f aca="false">IFERROR(__xludf.dummyfunction("""COMPUTED_VALUE"""),"Kevin Durant")</f>
        <v>Kevin Durant</v>
      </c>
      <c r="B594" s="271" t="str">
        <f aca="false">IFERROR(__xludf.dummyfunction("""COMPUTED_VALUE"""),"San Antonio Spurs")</f>
        <v>San Antonio Spurs</v>
      </c>
      <c r="C594" s="272" t="n">
        <f aca="false">IFERROR(__xludf.dummyfunction("""COMPUTED_VALUE"""),51179021)</f>
        <v>51179021</v>
      </c>
      <c r="D594" s="193"/>
      <c r="E594" s="272" t="n">
        <f aca="false">IFERROR(__xludf.dummyfunction("""COMPUTED_VALUE"""),54708609)</f>
        <v>54708609</v>
      </c>
      <c r="F594" s="193"/>
      <c r="G594" s="272" t="n">
        <f aca="false">IFERROR(__xludf.dummyfunction("""COMPUTED_VALUE"""),59713500)</f>
        <v>59713500</v>
      </c>
      <c r="H594" s="193" t="str">
        <f aca="false">IFERROR(__xludf.dummyfunction("""COMPUTED_VALUE"""),"UFA - Bird")</f>
        <v>UFA - Bird</v>
      </c>
      <c r="I594" s="272" t="str">
        <f aca="false">IFERROR(__xludf.dummyfunction("""COMPUTED_VALUE"""),"")</f>
        <v/>
      </c>
      <c r="J594" s="193"/>
      <c r="K594" s="273"/>
      <c r="L594" s="193"/>
      <c r="M594" s="273"/>
      <c r="N594" s="193"/>
      <c r="O594" s="193" t="n">
        <f aca="false">IFERROR(__xludf.dummyfunction("""COMPUTED_VALUE"""),1)</f>
        <v>1</v>
      </c>
      <c r="P594" s="193"/>
      <c r="Q594" s="193"/>
      <c r="R594" s="193"/>
      <c r="S594" s="193"/>
      <c r="T594" s="193"/>
      <c r="U594" s="193"/>
      <c r="V594" s="193"/>
      <c r="W594" s="193"/>
      <c r="X594" s="193"/>
      <c r="Y594" s="193"/>
      <c r="Z594" s="193"/>
    </row>
    <row r="595" customFormat="false" ht="15.75" hidden="false" customHeight="false" outlineLevel="0" collapsed="false">
      <c r="A595" s="193" t="str">
        <f aca="false">IFERROR(__xludf.dummyfunction("""COMPUTED_VALUE"""),"De'Aaron Fox")</f>
        <v>De'Aaron Fox</v>
      </c>
      <c r="B595" s="271" t="str">
        <f aca="false">IFERROR(__xludf.dummyfunction("""COMPUTED_VALUE"""),"San Antonio Spurs")</f>
        <v>San Antonio Spurs</v>
      </c>
      <c r="C595" s="272" t="n">
        <f aca="false">IFERROR(__xludf.dummyfunction("""COMPUTED_VALUE"""),34848340)</f>
        <v>34848340</v>
      </c>
      <c r="D595" s="193"/>
      <c r="E595" s="272" t="n">
        <f aca="false">IFERROR(__xludf.dummyfunction("""COMPUTED_VALUE"""),37096620)</f>
        <v>37096620</v>
      </c>
      <c r="F595" s="193"/>
      <c r="G595" s="272" t="n">
        <f aca="false">IFERROR(__xludf.dummyfunction("""COMPUTED_VALUE"""),39095660)</f>
        <v>39095660</v>
      </c>
      <c r="H595" s="271" t="str">
        <f aca="false">IFERROR(__xludf.dummyfunction("""COMPUTED_VALUE"""),"UFA - Bird")</f>
        <v>UFA - Bird</v>
      </c>
      <c r="I595" s="272" t="str">
        <f aca="false">IFERROR(__xludf.dummyfunction("""COMPUTED_VALUE"""),"")</f>
        <v/>
      </c>
      <c r="J595" s="193"/>
      <c r="K595" s="273"/>
      <c r="L595" s="193"/>
      <c r="M595" s="273"/>
      <c r="N595" s="193"/>
      <c r="O595" s="193" t="n">
        <f aca="false">IFERROR(__xludf.dummyfunction("""COMPUTED_VALUE"""),1)</f>
        <v>1</v>
      </c>
      <c r="P595" s="193"/>
      <c r="Q595" s="193"/>
      <c r="R595" s="193"/>
      <c r="S595" s="193"/>
      <c r="T595" s="193"/>
      <c r="U595" s="193"/>
      <c r="V595" s="193"/>
      <c r="W595" s="193"/>
      <c r="X595" s="193"/>
      <c r="Y595" s="193"/>
      <c r="Z595" s="193"/>
    </row>
    <row r="596" customFormat="false" ht="15.75" hidden="false" customHeight="false" outlineLevel="0" collapsed="false">
      <c r="A596" s="193" t="str">
        <f aca="false">IFERROR(__xludf.dummyfunction("""COMPUTED_VALUE"""),"Devin Vassell")</f>
        <v>Devin Vassell</v>
      </c>
      <c r="B596" s="271" t="str">
        <f aca="false">IFERROR(__xludf.dummyfunction("""COMPUTED_VALUE"""),"San Antonio Spurs")</f>
        <v>San Antonio Spurs</v>
      </c>
      <c r="C596" s="272" t="n">
        <f aca="false">IFERROR(__xludf.dummyfunction("""COMPUTED_VALUE"""),29347826)</f>
        <v>29347826</v>
      </c>
      <c r="D596" s="193"/>
      <c r="E596" s="272" t="n">
        <f aca="false">IFERROR(__xludf.dummyfunction("""COMPUTED_VALUE"""),27000000)</f>
        <v>27000000</v>
      </c>
      <c r="F596" s="193"/>
      <c r="G596" s="272" t="n">
        <f aca="false">IFERROR(__xludf.dummyfunction("""COMPUTED_VALUE"""),27000000)</f>
        <v>27000000</v>
      </c>
      <c r="H596" s="193"/>
      <c r="I596" s="272" t="n">
        <f aca="false">IFERROR(__xludf.dummyfunction("""COMPUTED_VALUE"""),24652174)</f>
        <v>24652174</v>
      </c>
      <c r="J596" s="193"/>
      <c r="K596" s="272" t="n">
        <f aca="false">IFERROR(__xludf.dummyfunction("""COMPUTED_VALUE"""),27000000)</f>
        <v>27000000</v>
      </c>
      <c r="L596" s="193"/>
      <c r="M596" s="272" t="n">
        <f aca="false">IFERROR(__xludf.dummyfunction("""COMPUTED_VALUE"""),40500000)</f>
        <v>40500000</v>
      </c>
      <c r="N596" s="271" t="str">
        <f aca="false">IFERROR(__xludf.dummyfunction("""COMPUTED_VALUE"""),"UFA - Bird")</f>
        <v>UFA - Bird</v>
      </c>
      <c r="O596" s="193" t="n">
        <f aca="false">IFERROR(__xludf.dummyfunction("""COMPUTED_VALUE"""),1)</f>
        <v>1</v>
      </c>
      <c r="P596" s="193"/>
      <c r="Q596" s="193"/>
      <c r="R596" s="193"/>
      <c r="S596" s="193"/>
      <c r="T596" s="193"/>
      <c r="U596" s="193"/>
      <c r="V596" s="193"/>
      <c r="W596" s="193"/>
      <c r="X596" s="193"/>
      <c r="Y596" s="193"/>
      <c r="Z596" s="193"/>
    </row>
    <row r="597" customFormat="false" ht="15.75" hidden="false" customHeight="false" outlineLevel="0" collapsed="false">
      <c r="A597" s="193" t="str">
        <f aca="false">IFERROR(__xludf.dummyfunction("""COMPUTED_VALUE"""),"Victor Wembanyama")</f>
        <v>Victor Wembanyama</v>
      </c>
      <c r="B597" s="271" t="str">
        <f aca="false">IFERROR(__xludf.dummyfunction("""COMPUTED_VALUE"""),"San Antonio Spurs")</f>
        <v>San Antonio Spurs</v>
      </c>
      <c r="C597" s="272" t="n">
        <f aca="false">IFERROR(__xludf.dummyfunction("""COMPUTED_VALUE"""),12768960)</f>
        <v>12768960</v>
      </c>
      <c r="D597" s="193"/>
      <c r="E597" s="272" t="n">
        <f aca="false">IFERROR(__xludf.dummyfunction("""COMPUTED_VALUE"""),13376880)</f>
        <v>13376880</v>
      </c>
      <c r="F597" s="193"/>
      <c r="G597" s="272" t="n">
        <f aca="false">IFERROR(__xludf.dummyfunction("""COMPUTED_VALUE"""),16868246)</f>
        <v>16868246</v>
      </c>
      <c r="H597" s="193" t="str">
        <f aca="false">IFERROR(__xludf.dummyfunction("""COMPUTED_VALUE"""),"Club Option")</f>
        <v>Club Option</v>
      </c>
      <c r="I597" s="272" t="n">
        <f aca="false">IFERROR(__xludf.dummyfunction("""COMPUTED_VALUE"""),42170615)</f>
        <v>42170615</v>
      </c>
      <c r="J597" s="271" t="str">
        <f aca="false">IFERROR(__xludf.dummyfunction("""COMPUTED_VALUE"""),"RFA - Bird")</f>
        <v>RFA - Bird</v>
      </c>
      <c r="K597" s="273"/>
      <c r="L597" s="193"/>
      <c r="M597" s="273"/>
      <c r="N597" s="193"/>
      <c r="O597" s="193" t="n">
        <f aca="false">IFERROR(__xludf.dummyfunction("""COMPUTED_VALUE"""),1)</f>
        <v>1</v>
      </c>
      <c r="P597" s="193"/>
      <c r="Q597" s="193"/>
      <c r="R597" s="193"/>
      <c r="S597" s="193"/>
      <c r="T597" s="193"/>
      <c r="U597" s="193"/>
      <c r="V597" s="193"/>
      <c r="W597" s="193"/>
      <c r="X597" s="193"/>
      <c r="Y597" s="193"/>
      <c r="Z597" s="193"/>
    </row>
    <row r="598" customFormat="false" ht="15.75" hidden="false" customHeight="false" outlineLevel="0" collapsed="false">
      <c r="A598" s="193" t="str">
        <f aca="false">IFERROR(__xludf.dummyfunction("""COMPUTED_VALUE"""),"Malik Beasley")</f>
        <v>Malik Beasley</v>
      </c>
      <c r="B598" s="271" t="str">
        <f aca="false">IFERROR(__xludf.dummyfunction("""COMPUTED_VALUE"""),"San Antonio Spurs")</f>
        <v>San Antonio Spurs</v>
      </c>
      <c r="C598" s="272" t="n">
        <f aca="false">IFERROR(__xludf.dummyfunction("""COMPUTED_VALUE"""),6000000)</f>
        <v>6000000</v>
      </c>
      <c r="D598" s="193"/>
      <c r="E598" s="272" t="n">
        <f aca="false">IFERROR(__xludf.dummyfunction("""COMPUTED_VALUE"""),10000000)</f>
        <v>10000000</v>
      </c>
      <c r="F598" s="193"/>
      <c r="G598" s="272" t="n">
        <f aca="false">IFERROR(__xludf.dummyfunction("""COMPUTED_VALUE"""),10500000)</f>
        <v>10500000</v>
      </c>
      <c r="H598" s="193"/>
      <c r="I598" s="272" t="n">
        <f aca="false">IFERROR(__xludf.dummyfunction("""COMPUTED_VALUE"""),11000000)</f>
        <v>11000000</v>
      </c>
      <c r="J598" s="193"/>
      <c r="K598" s="272" t="n">
        <f aca="false">IFERROR(__xludf.dummyfunction("""COMPUTED_VALUE"""),20900000)</f>
        <v>20900000</v>
      </c>
      <c r="L598" s="271" t="str">
        <f aca="false">IFERROR(__xludf.dummyfunction("""COMPUTED_VALUE"""),"UFA - Bird")</f>
        <v>UFA - Bird</v>
      </c>
      <c r="M598" s="273"/>
      <c r="N598" s="193"/>
      <c r="O598" s="193" t="n">
        <f aca="false">IFERROR(__xludf.dummyfunction("""COMPUTED_VALUE"""),1)</f>
        <v>1</v>
      </c>
      <c r="P598" s="193"/>
      <c r="Q598" s="193"/>
      <c r="R598" s="193"/>
      <c r="S598" s="193"/>
      <c r="T598" s="193"/>
      <c r="U598" s="193"/>
      <c r="V598" s="193"/>
      <c r="W598" s="193"/>
      <c r="X598" s="193"/>
      <c r="Y598" s="193"/>
      <c r="Z598" s="193"/>
    </row>
    <row r="599" customFormat="false" ht="15.75" hidden="false" customHeight="false" outlineLevel="0" collapsed="false">
      <c r="A599" s="193" t="str">
        <f aca="false">IFERROR(__xludf.dummyfunction("""COMPUTED_VALUE"""),"Stephon Castle")</f>
        <v>Stephon Castle</v>
      </c>
      <c r="B599" s="271" t="str">
        <f aca="false">IFERROR(__xludf.dummyfunction("""COMPUTED_VALUE"""),"San Antonio Spurs")</f>
        <v>San Antonio Spurs</v>
      </c>
      <c r="C599" s="272" t="n">
        <f aca="false">IFERROR(__xludf.dummyfunction("""COMPUTED_VALUE"""),9105120)</f>
        <v>9105120</v>
      </c>
      <c r="D599" s="193"/>
      <c r="E599" s="272" t="n">
        <f aca="false">IFERROR(__xludf.dummyfunction("""COMPUTED_VALUE"""),9560520)</f>
        <v>9560520</v>
      </c>
      <c r="F599" s="193"/>
      <c r="G599" s="272" t="n">
        <f aca="false">IFERROR(__xludf.dummyfunction("""COMPUTED_VALUE"""),10015920)</f>
        <v>10015920</v>
      </c>
      <c r="H599" s="193" t="str">
        <f aca="false">IFERROR(__xludf.dummyfunction("""COMPUTED_VALUE"""),"Club Option")</f>
        <v>Club Option</v>
      </c>
      <c r="I599" s="272" t="n">
        <f aca="false">IFERROR(__xludf.dummyfunction("""COMPUTED_VALUE"""),12670139)</f>
        <v>12670139</v>
      </c>
      <c r="J599" s="271" t="str">
        <f aca="false">IFERROR(__xludf.dummyfunction("""COMPUTED_VALUE"""),"Club Option")</f>
        <v>Club Option</v>
      </c>
      <c r="K599" s="272" t="n">
        <f aca="false">IFERROR(__xludf.dummyfunction("""COMPUTED_VALUE"""),38010417)</f>
        <v>38010417</v>
      </c>
      <c r="L599" s="271" t="str">
        <f aca="false">IFERROR(__xludf.dummyfunction("""COMPUTED_VALUE"""),"RFA - Bird")</f>
        <v>RFA - Bird</v>
      </c>
      <c r="M599" s="273"/>
      <c r="N599" s="193"/>
      <c r="O599" s="193" t="n">
        <f aca="false">IFERROR(__xludf.dummyfunction("""COMPUTED_VALUE"""),1)</f>
        <v>1</v>
      </c>
      <c r="P599" s="193"/>
      <c r="Q599" s="193"/>
      <c r="R599" s="193"/>
      <c r="S599" s="193"/>
      <c r="T599" s="193"/>
      <c r="U599" s="193"/>
      <c r="V599" s="193"/>
      <c r="W599" s="193"/>
      <c r="X599" s="193"/>
      <c r="Y599" s="193"/>
      <c r="Z599" s="193"/>
    </row>
    <row r="600" customFormat="false" ht="15.75" hidden="false" customHeight="false" outlineLevel="0" collapsed="false">
      <c r="A600" s="193" t="str">
        <f aca="false">IFERROR(__xludf.dummyfunction("""COMPUTED_VALUE"""),"Kon Knueppel (R)")</f>
        <v>Kon Knueppel (R)</v>
      </c>
      <c r="B600" s="271" t="str">
        <f aca="false">IFERROR(__xludf.dummyfunction("""COMPUTED_VALUE"""),"San Antonio Spurs")</f>
        <v>San Antonio Spurs</v>
      </c>
      <c r="C600" s="273"/>
      <c r="D600" s="193"/>
      <c r="E600" s="272" t="n">
        <f aca="false">IFERROR(__xludf.dummyfunction("""COMPUTED_VALUE"""),9069840)</f>
        <v>9069840</v>
      </c>
      <c r="F600" s="193"/>
      <c r="G600" s="272" t="n">
        <f aca="false">IFERROR(__xludf.dummyfunction("""COMPUTED_VALUE"""),9522960)</f>
        <v>9522960</v>
      </c>
      <c r="H600" s="193"/>
      <c r="I600" s="272" t="n">
        <f aca="false">IFERROR(__xludf.dummyfunction("""COMPUTED_VALUE"""),9976560)</f>
        <v>9976560</v>
      </c>
      <c r="J600" s="271" t="str">
        <f aca="false">IFERROR(__xludf.dummyfunction("""COMPUTED_VALUE"""),"Club Option")</f>
        <v>Club Option</v>
      </c>
      <c r="K600" s="272" t="n">
        <f aca="false">IFERROR(__xludf.dummyfunction("""COMPUTED_VALUE"""),12640301.52)</f>
        <v>12640301.52</v>
      </c>
      <c r="L600" s="271" t="str">
        <f aca="false">IFERROR(__xludf.dummyfunction("""COMPUTED_VALUE"""),"Club Option")</f>
        <v>Club Option</v>
      </c>
      <c r="M600" s="272" t="n">
        <f aca="false">IFERROR(__xludf.dummyfunction("""COMPUTED_VALUE"""),37920904.56)</f>
        <v>37920904.56</v>
      </c>
      <c r="N600" s="271" t="str">
        <f aca="false">IFERROR(__xludf.dummyfunction("""COMPUTED_VALUE"""),"RFA - Bird")</f>
        <v>RFA - Bird</v>
      </c>
      <c r="O600" s="193" t="n">
        <f aca="false">IFERROR(__xludf.dummyfunction("""COMPUTED_VALUE"""),1)</f>
        <v>1</v>
      </c>
      <c r="P600" s="193"/>
      <c r="Q600" s="193"/>
      <c r="R600" s="193"/>
      <c r="S600" s="193"/>
      <c r="T600" s="193"/>
      <c r="U600" s="193"/>
      <c r="V600" s="193"/>
      <c r="W600" s="193"/>
      <c r="X600" s="193"/>
      <c r="Y600" s="193"/>
      <c r="Z600" s="193"/>
    </row>
    <row r="601" customFormat="false" ht="15.75" hidden="false" customHeight="false" outlineLevel="0" collapsed="false">
      <c r="A601" s="193" t="str">
        <f aca="false">IFERROR(__xludf.dummyfunction("""COMPUTED_VALUE"""),"Chris Paul")</f>
        <v>Chris Paul</v>
      </c>
      <c r="B601" s="271" t="str">
        <f aca="false">IFERROR(__xludf.dummyfunction("""COMPUTED_VALUE"""),"San Antonio Spurs")</f>
        <v>San Antonio Spurs</v>
      </c>
      <c r="C601" s="272" t="n">
        <f aca="false">IFERROR(__xludf.dummyfunction("""COMPUTED_VALUE"""),10460000)</f>
        <v>10460000</v>
      </c>
      <c r="D601" s="193"/>
      <c r="E601" s="272" t="n">
        <f aca="false">IFERROR(__xludf.dummyfunction("""COMPUTED_VALUE"""),6500000)</f>
        <v>6500000</v>
      </c>
      <c r="F601" s="193"/>
      <c r="G601" s="272" t="n">
        <f aca="false">IFERROR(__xludf.dummyfunction("""COMPUTED_VALUE"""),6500000)</f>
        <v>6500000</v>
      </c>
      <c r="H601" s="193"/>
      <c r="I601" s="272" t="n">
        <f aca="false">IFERROR(__xludf.dummyfunction("""COMPUTED_VALUE"""),8450000)</f>
        <v>8450000</v>
      </c>
      <c r="J601" s="271" t="str">
        <f aca="false">IFERROR(__xludf.dummyfunction("""COMPUTED_VALUE"""),"UFA - Bird")</f>
        <v>UFA - Bird</v>
      </c>
      <c r="K601" s="273"/>
      <c r="L601" s="193"/>
      <c r="M601" s="273"/>
      <c r="N601" s="193"/>
      <c r="O601" s="193" t="n">
        <f aca="false">IFERROR(__xludf.dummyfunction("""COMPUTED_VALUE"""),1)</f>
        <v>1</v>
      </c>
      <c r="P601" s="193"/>
      <c r="Q601" s="193"/>
      <c r="R601" s="193"/>
      <c r="S601" s="193"/>
      <c r="T601" s="193"/>
      <c r="U601" s="193"/>
      <c r="V601" s="193"/>
      <c r="W601" s="193"/>
      <c r="X601" s="193"/>
      <c r="Y601" s="193"/>
      <c r="Z601" s="193"/>
    </row>
    <row r="602" customFormat="false" ht="15.75" hidden="false" customHeight="false" outlineLevel="0" collapsed="false">
      <c r="A602" s="193" t="str">
        <f aca="false">IFERROR(__xludf.dummyfunction("""COMPUTED_VALUE"""),"Taylor Hendricks")</f>
        <v>Taylor Hendricks</v>
      </c>
      <c r="B602" s="271" t="str">
        <f aca="false">IFERROR(__xludf.dummyfunction("""COMPUTED_VALUE"""),"San Antonio Spurs")</f>
        <v>San Antonio Spurs</v>
      </c>
      <c r="C602" s="272" t="n">
        <f aca="false">IFERROR(__xludf.dummyfunction("""COMPUTED_VALUE"""),5848680)</f>
        <v>5848680</v>
      </c>
      <c r="D602" s="193"/>
      <c r="E602" s="272" t="n">
        <f aca="false">IFERROR(__xludf.dummyfunction("""COMPUTED_VALUE"""),6127080)</f>
        <v>6127080</v>
      </c>
      <c r="F602" s="193"/>
      <c r="G602" s="272" t="n">
        <f aca="false">IFERROR(__xludf.dummyfunction("""COMPUTED_VALUE"""),7805900)</f>
        <v>7805900</v>
      </c>
      <c r="H602" s="271" t="str">
        <f aca="false">IFERROR(__xludf.dummyfunction("""COMPUTED_VALUE"""),"Club Option")</f>
        <v>Club Option</v>
      </c>
      <c r="I602" s="272" t="n">
        <f aca="false">IFERROR(__xludf.dummyfunction("""COMPUTED_VALUE"""),23417700)</f>
        <v>23417700</v>
      </c>
      <c r="J602" s="193" t="str">
        <f aca="false">IFERROR(__xludf.dummyfunction("""COMPUTED_VALUE"""),"RFA - Bird")</f>
        <v>RFA - Bird</v>
      </c>
      <c r="K602" s="273"/>
      <c r="L602" s="193"/>
      <c r="M602" s="273"/>
      <c r="N602" s="193"/>
      <c r="O602" s="193" t="n">
        <f aca="false">IFERROR(__xludf.dummyfunction("""COMPUTED_VALUE"""),1)</f>
        <v>1</v>
      </c>
      <c r="P602" s="193"/>
      <c r="Q602" s="193"/>
      <c r="R602" s="193"/>
      <c r="S602" s="193"/>
      <c r="T602" s="193"/>
      <c r="U602" s="193"/>
      <c r="V602" s="193"/>
      <c r="W602" s="193"/>
      <c r="X602" s="193"/>
      <c r="Y602" s="193"/>
      <c r="Z602" s="193"/>
    </row>
    <row r="603" customFormat="false" ht="15.75" hidden="false" customHeight="false" outlineLevel="0" collapsed="false">
      <c r="A603" s="193" t="str">
        <f aca="false">IFERROR(__xludf.dummyfunction("""COMPUTED_VALUE"""),"Jase Richardson (R)")</f>
        <v>Jase Richardson (R)</v>
      </c>
      <c r="B603" s="271" t="str">
        <f aca="false">IFERROR(__xludf.dummyfunction("""COMPUTED_VALUE"""),"San Antonio Spurs")</f>
        <v>San Antonio Spurs</v>
      </c>
      <c r="C603" s="273"/>
      <c r="D603" s="193"/>
      <c r="E603" s="272" t="n">
        <f aca="false">IFERROR(__xludf.dummyfunction("""COMPUTED_VALUE"""),3658800)</f>
        <v>3658800</v>
      </c>
      <c r="F603" s="193"/>
      <c r="G603" s="272" t="n">
        <f aca="false">IFERROR(__xludf.dummyfunction("""COMPUTED_VALUE"""),3841680)</f>
        <v>3841680</v>
      </c>
      <c r="H603" s="193"/>
      <c r="I603" s="272" t="n">
        <f aca="false">IFERROR(__xludf.dummyfunction("""COMPUTED_VALUE"""),4024440)</f>
        <v>4024440</v>
      </c>
      <c r="J603" s="271" t="str">
        <f aca="false">IFERROR(__xludf.dummyfunction("""COMPUTED_VALUE"""),"Club Option")</f>
        <v>Club Option</v>
      </c>
      <c r="K603" s="272" t="n">
        <f aca="false">IFERROR(__xludf.dummyfunction("""COMPUTED_VALUE"""),6205686.48)</f>
        <v>6205686.48</v>
      </c>
      <c r="L603" s="271" t="str">
        <f aca="false">IFERROR(__xludf.dummyfunction("""COMPUTED_VALUE"""),"Club Option")</f>
        <v>Club Option</v>
      </c>
      <c r="M603" s="272" t="n">
        <f aca="false">IFERROR(__xludf.dummyfunction("""COMPUTED_VALUE"""),18617059.44)</f>
        <v>18617059.44</v>
      </c>
      <c r="N603" s="271" t="str">
        <f aca="false">IFERROR(__xludf.dummyfunction("""COMPUTED_VALUE"""),"RFA - Bird")</f>
        <v>RFA - Bird</v>
      </c>
      <c r="O603" s="193" t="n">
        <f aca="false">IFERROR(__xludf.dummyfunction("""COMPUTED_VALUE"""),1)</f>
        <v>1</v>
      </c>
      <c r="P603" s="193"/>
      <c r="Q603" s="193"/>
      <c r="R603" s="193"/>
      <c r="S603" s="193"/>
      <c r="T603" s="193"/>
      <c r="U603" s="193"/>
      <c r="V603" s="193"/>
      <c r="W603" s="193"/>
      <c r="X603" s="193"/>
      <c r="Y603" s="193"/>
      <c r="Z603" s="193"/>
    </row>
    <row r="604" customFormat="false" ht="15.75" hidden="false" customHeight="false" outlineLevel="0" collapsed="false">
      <c r="A604" s="193" t="str">
        <f aca="false">IFERROR(__xludf.dummyfunction("""COMPUTED_VALUE"""),"Cody Martin")</f>
        <v>Cody Martin</v>
      </c>
      <c r="B604" s="271" t="str">
        <f aca="false">IFERROR(__xludf.dummyfunction("""COMPUTED_VALUE"""),"San Antonio Spurs")</f>
        <v>San Antonio Spurs</v>
      </c>
      <c r="C604" s="272" t="n">
        <f aca="false">IFERROR(__xludf.dummyfunction("""COMPUTED_VALUE"""),8120000)</f>
        <v>8120000</v>
      </c>
      <c r="D604" s="193"/>
      <c r="E604" s="272" t="n">
        <f aca="false">IFERROR(__xludf.dummyfunction("""COMPUTED_VALUE"""),3500000)</f>
        <v>3500000</v>
      </c>
      <c r="F604" s="193"/>
      <c r="G604" s="272" t="n">
        <f aca="false">IFERROR(__xludf.dummyfunction("""COMPUTED_VALUE"""),4200000)</f>
        <v>4200000</v>
      </c>
      <c r="H604" s="271" t="str">
        <f aca="false">IFERROR(__xludf.dummyfunction("""COMPUTED_VALUE"""),"UFA - Non-Bird")</f>
        <v>UFA - Non-Bird</v>
      </c>
      <c r="I604" s="273"/>
      <c r="J604" s="193"/>
      <c r="K604" s="273"/>
      <c r="L604" s="193"/>
      <c r="M604" s="273"/>
      <c r="N604" s="193"/>
      <c r="O604" s="193" t="n">
        <f aca="false">IFERROR(__xludf.dummyfunction("""COMPUTED_VALUE"""),1)</f>
        <v>1</v>
      </c>
      <c r="P604" s="193"/>
      <c r="Q604" s="193"/>
      <c r="R604" s="193"/>
      <c r="S604" s="193"/>
      <c r="T604" s="193"/>
      <c r="U604" s="193"/>
      <c r="V604" s="193"/>
      <c r="W604" s="193"/>
      <c r="X604" s="193"/>
      <c r="Y604" s="193"/>
      <c r="Z604" s="193"/>
    </row>
    <row r="605" customFormat="false" ht="15.75" hidden="false" customHeight="false" outlineLevel="0" collapsed="false">
      <c r="A605" s="193" t="str">
        <f aca="false">IFERROR(__xludf.dummyfunction("""COMPUTED_VALUE"""),"Charles Bassey")</f>
        <v>Charles Bassey</v>
      </c>
      <c r="B605" s="271" t="str">
        <f aca="false">IFERROR(__xludf.dummyfunction("""COMPUTED_VALUE"""),"San Antonio Spurs")</f>
        <v>San Antonio Spurs</v>
      </c>
      <c r="C605" s="272" t="n">
        <f aca="false">IFERROR(__xludf.dummyfunction("""COMPUTED_VALUE"""),2087519)</f>
        <v>2087519</v>
      </c>
      <c r="D605" s="193"/>
      <c r="E605" s="272" t="n">
        <f aca="false">IFERROR(__xludf.dummyfunction("""COMPUTED_VALUE"""),3500000)</f>
        <v>3500000</v>
      </c>
      <c r="F605" s="193"/>
      <c r="G605" s="272" t="n">
        <f aca="false">IFERROR(__xludf.dummyfunction("""COMPUTED_VALUE"""),3500000)</f>
        <v>3500000</v>
      </c>
      <c r="H605" s="193"/>
      <c r="I605" s="272" t="n">
        <f aca="false">IFERROR(__xludf.dummyfunction("""COMPUTED_VALUE"""),4550000)</f>
        <v>4550000</v>
      </c>
      <c r="J605" s="271" t="str">
        <f aca="false">IFERROR(__xludf.dummyfunction("""COMPUTED_VALUE"""),"UFA - Early Bird")</f>
        <v>UFA - Early Bird</v>
      </c>
      <c r="K605" s="273"/>
      <c r="L605" s="193"/>
      <c r="M605" s="273"/>
      <c r="N605" s="193"/>
      <c r="O605" s="193" t="n">
        <f aca="false">IFERROR(__xludf.dummyfunction("""COMPUTED_VALUE"""),1)</f>
        <v>1</v>
      </c>
      <c r="P605" s="193"/>
      <c r="Q605" s="193"/>
      <c r="R605" s="193"/>
      <c r="S605" s="193"/>
      <c r="T605" s="193"/>
      <c r="U605" s="193"/>
      <c r="V605" s="193"/>
      <c r="W605" s="193"/>
      <c r="X605" s="193"/>
      <c r="Y605" s="193"/>
      <c r="Z605" s="193"/>
    </row>
    <row r="606" customFormat="false" ht="15.75" hidden="false" customHeight="false" outlineLevel="0" collapsed="false">
      <c r="A606" s="193" t="str">
        <f aca="false">IFERROR(__xludf.dummyfunction("""COMPUTED_VALUE"""),"Julian Champagnie")</f>
        <v>Julian Champagnie</v>
      </c>
      <c r="B606" s="271" t="str">
        <f aca="false">IFERROR(__xludf.dummyfunction("""COMPUTED_VALUE"""),"San Antonio Spurs")</f>
        <v>San Antonio Spurs</v>
      </c>
      <c r="C606" s="272" t="n">
        <f aca="false">IFERROR(__xludf.dummyfunction("""COMPUTED_VALUE"""),3000000)</f>
        <v>3000000</v>
      </c>
      <c r="D606" s="193"/>
      <c r="E606" s="272" t="n">
        <f aca="false">IFERROR(__xludf.dummyfunction("""COMPUTED_VALUE"""),3000000)</f>
        <v>3000000</v>
      </c>
      <c r="F606" s="193"/>
      <c r="G606" s="272" t="n">
        <f aca="false">IFERROR(__xludf.dummyfunction("""COMPUTED_VALUE"""),3000000)</f>
        <v>3000000</v>
      </c>
      <c r="H606" s="193" t="str">
        <f aca="false">IFERROR(__xludf.dummyfunction("""COMPUTED_VALUE"""),"Club Option")</f>
        <v>Club Option</v>
      </c>
      <c r="I606" s="272" t="n">
        <f aca="false">IFERROR(__xludf.dummyfunction("""COMPUTED_VALUE"""),5700000)</f>
        <v>5700000</v>
      </c>
      <c r="J606" s="271" t="str">
        <f aca="false">IFERROR(__xludf.dummyfunction("""COMPUTED_VALUE"""),"UFA - Bird")</f>
        <v>UFA - Bird</v>
      </c>
      <c r="K606" s="273"/>
      <c r="L606" s="193"/>
      <c r="M606" s="273"/>
      <c r="N606" s="193"/>
      <c r="O606" s="193" t="n">
        <f aca="false">IFERROR(__xludf.dummyfunction("""COMPUTED_VALUE"""),1)</f>
        <v>1</v>
      </c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</row>
    <row r="607" customFormat="false" ht="15.75" hidden="false" customHeight="false" outlineLevel="0" collapsed="false">
      <c r="A607" s="193" t="str">
        <f aca="false">IFERROR(__xludf.dummyfunction("""COMPUTED_VALUE"""),"Kyle Filipowski")</f>
        <v>Kyle Filipowski</v>
      </c>
      <c r="B607" s="271" t="str">
        <f aca="false">IFERROR(__xludf.dummyfunction("""COMPUTED_VALUE"""),"San Antonio Spurs")</f>
        <v>San Antonio Spurs</v>
      </c>
      <c r="C607" s="272" t="n">
        <f aca="false">IFERROR(__xludf.dummyfunction("""COMPUTED_VALUE"""),3000000)</f>
        <v>3000000</v>
      </c>
      <c r="D607" s="193"/>
      <c r="E607" s="272" t="n">
        <f aca="false">IFERROR(__xludf.dummyfunction("""COMPUTED_VALUE"""),3000000)</f>
        <v>3000000</v>
      </c>
      <c r="F607" s="193"/>
      <c r="G607" s="272" t="n">
        <f aca="false">IFERROR(__xludf.dummyfunction("""COMPUTED_VALUE"""),3000000)</f>
        <v>3000000</v>
      </c>
      <c r="H607" s="271" t="str">
        <f aca="false">IFERROR(__xludf.dummyfunction("""COMPUTED_VALUE"""),"Non Guaranteed")</f>
        <v>Non Guaranteed</v>
      </c>
      <c r="I607" s="272" t="n">
        <f aca="false">IFERROR(__xludf.dummyfunction("""COMPUTED_VALUE"""),3000000)</f>
        <v>3000000</v>
      </c>
      <c r="J607" s="271" t="str">
        <f aca="false">IFERROR(__xludf.dummyfunction("""COMPUTED_VALUE"""),"Club Option")</f>
        <v>Club Option</v>
      </c>
      <c r="K607" s="272" t="n">
        <f aca="false">IFERROR(__xludf.dummyfunction("""COMPUTED_VALUE"""),5700000)</f>
        <v>5700000</v>
      </c>
      <c r="L607" s="193" t="str">
        <f aca="false">IFERROR(__xludf.dummyfunction("""COMPUTED_VALUE"""),"RFA - Bird")</f>
        <v>RFA - Bird</v>
      </c>
      <c r="M607" s="273"/>
      <c r="N607" s="193"/>
      <c r="O607" s="193" t="n">
        <f aca="false">IFERROR(__xludf.dummyfunction("""COMPUTED_VALUE"""),1)</f>
        <v>1</v>
      </c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</row>
    <row r="608" customFormat="false" ht="15.75" hidden="false" customHeight="false" outlineLevel="0" collapsed="false">
      <c r="A608" s="193" t="str">
        <f aca="false">IFERROR(__xludf.dummyfunction("""COMPUTED_VALUE"""),"Bismack Biyombo")</f>
        <v>Bismack Biyombo</v>
      </c>
      <c r="B608" s="271" t="str">
        <f aca="false">IFERROR(__xludf.dummyfunction("""COMPUTED_VALUE"""),"San Antonio Spurs")</f>
        <v>San Antonio Spurs</v>
      </c>
      <c r="C608" s="272" t="n">
        <f aca="false">IFERROR(__xludf.dummyfunction("""COMPUTED_VALUE"""),503884)</f>
        <v>503884</v>
      </c>
      <c r="D608" s="193"/>
      <c r="E608" s="272" t="n">
        <f aca="false">IFERROR(__xludf.dummyfunction("""COMPUTED_VALUE"""),2296274)</f>
        <v>2296274</v>
      </c>
      <c r="F608" s="271" t="str">
        <f aca="false">IFERROR(__xludf.dummyfunction("""COMPUTED_VALUE"""),"UFA - Non-Bird")</f>
        <v>UFA - Non-Bird</v>
      </c>
      <c r="G608" s="272" t="str">
        <f aca="false">IFERROR(__xludf.dummyfunction("""COMPUTED_VALUE"""),"")</f>
        <v/>
      </c>
      <c r="H608" s="193"/>
      <c r="I608" s="272" t="str">
        <f aca="false">IFERROR(__xludf.dummyfunction("""COMPUTED_VALUE"""),"")</f>
        <v/>
      </c>
      <c r="J608" s="193"/>
      <c r="K608" s="273"/>
      <c r="L608" s="193"/>
      <c r="M608" s="273"/>
      <c r="N608" s="193"/>
      <c r="O608" s="193" t="n">
        <f aca="false">IFERROR(__xludf.dummyfunction("""COMPUTED_VALUE"""),1)</f>
        <v>1</v>
      </c>
      <c r="P608" s="193"/>
      <c r="Q608" s="193"/>
      <c r="R608" s="193"/>
      <c r="S608" s="193"/>
      <c r="T608" s="193"/>
      <c r="U608" s="193"/>
      <c r="V608" s="193"/>
      <c r="W608" s="193"/>
      <c r="X608" s="193"/>
      <c r="Y608" s="193"/>
      <c r="Z608" s="193"/>
    </row>
    <row r="609" customFormat="false" ht="15.75" hidden="false" customHeight="false" outlineLevel="0" collapsed="false">
      <c r="A609" s="193" t="str">
        <f aca="false">IFERROR(__xludf.dummyfunction("""COMPUTED_VALUE"""),"Jordan McLaughlin")</f>
        <v>Jordan McLaughlin</v>
      </c>
      <c r="B609" s="271" t="str">
        <f aca="false">IFERROR(__xludf.dummyfunction("""COMPUTED_VALUE"""),"San Antonio Spurs")</f>
        <v>San Antonio Spurs</v>
      </c>
      <c r="C609" s="272" t="n">
        <f aca="false">IFERROR(__xludf.dummyfunction("""COMPUTED_VALUE"""),2087519)</f>
        <v>2087519</v>
      </c>
      <c r="D609" s="193"/>
      <c r="E609" s="272" t="n">
        <f aca="false">IFERROR(__xludf.dummyfunction("""COMPUTED_VALUE"""),2296274)</f>
        <v>2296274</v>
      </c>
      <c r="F609" s="271" t="str">
        <f aca="false">IFERROR(__xludf.dummyfunction("""COMPUTED_VALUE"""),"UFA - Non-Bird")</f>
        <v>UFA - Non-Bird</v>
      </c>
      <c r="G609" s="272" t="str">
        <f aca="false">IFERROR(__xludf.dummyfunction("""COMPUTED_VALUE"""),"")</f>
        <v/>
      </c>
      <c r="H609" s="193"/>
      <c r="I609" s="272" t="str">
        <f aca="false">IFERROR(__xludf.dummyfunction("""COMPUTED_VALUE"""),"")</f>
        <v/>
      </c>
      <c r="J609" s="193"/>
      <c r="K609" s="273"/>
      <c r="L609" s="193"/>
      <c r="M609" s="273"/>
      <c r="N609" s="193"/>
      <c r="O609" s="193" t="n">
        <f aca="false">IFERROR(__xludf.dummyfunction("""COMPUTED_VALUE"""),1)</f>
        <v>1</v>
      </c>
      <c r="P609" s="193"/>
      <c r="Q609" s="193"/>
      <c r="R609" s="193"/>
      <c r="S609" s="193"/>
      <c r="T609" s="193"/>
      <c r="U609" s="193"/>
      <c r="V609" s="193"/>
      <c r="W609" s="193"/>
      <c r="X609" s="193"/>
      <c r="Y609" s="193"/>
      <c r="Z609" s="193"/>
    </row>
    <row r="610" customFormat="false" ht="15.75" hidden="false" customHeight="false" outlineLevel="0" collapsed="false">
      <c r="A610" s="193" t="str">
        <f aca="false">IFERROR(__xludf.dummyfunction("""COMPUTED_VALUE"""),"David Duke Jr.")</f>
        <v>David Duke Jr.</v>
      </c>
      <c r="B610" s="271" t="str">
        <f aca="false">IFERROR(__xludf.dummyfunction("""COMPUTED_VALUE"""),"San Antonio Spurs")</f>
        <v>San Antonio Spurs</v>
      </c>
      <c r="C610" s="273"/>
      <c r="D610" s="193"/>
      <c r="E610" s="272" t="n">
        <f aca="false">IFERROR(__xludf.dummyfunction("""COMPUTED_VALUE"""),2048491)</f>
        <v>2048491</v>
      </c>
      <c r="F610" s="271" t="str">
        <f aca="false">IFERROR(__xludf.dummyfunction("""COMPUTED_VALUE"""),"UFA - Two-way")</f>
        <v>UFA - Two-way</v>
      </c>
      <c r="G610" s="273"/>
      <c r="H610" s="193"/>
      <c r="I610" s="273"/>
      <c r="J610" s="193"/>
      <c r="K610" s="273"/>
      <c r="L610" s="193"/>
      <c r="M610" s="273"/>
      <c r="N610" s="193"/>
      <c r="O610" s="193" t="n">
        <f aca="false">IFERROR(__xludf.dummyfunction("""COMPUTED_VALUE"""),1)</f>
        <v>1</v>
      </c>
      <c r="P610" s="193"/>
      <c r="Q610" s="193"/>
      <c r="R610" s="193"/>
      <c r="S610" s="193"/>
      <c r="T610" s="193"/>
      <c r="U610" s="193"/>
      <c r="V610" s="193"/>
      <c r="W610" s="193"/>
      <c r="X610" s="193"/>
      <c r="Y610" s="193"/>
      <c r="Z610" s="193"/>
    </row>
    <row r="611" customFormat="false" ht="15.75" hidden="false" customHeight="false" outlineLevel="0" collapsed="false">
      <c r="A611" s="193" t="str">
        <f aca="false">IFERROR(__xludf.dummyfunction("""COMPUTED_VALUE"""),"Harrison Ingram")</f>
        <v>Harrison Ingram</v>
      </c>
      <c r="B611" s="271" t="str">
        <f aca="false">IFERROR(__xludf.dummyfunction("""COMPUTED_VALUE"""),"San Antonio Spurs")</f>
        <v>San Antonio Spurs</v>
      </c>
      <c r="C611" s="272" t="str">
        <f aca="false">IFERROR(__xludf.dummyfunction("""COMPUTED_VALUE"""),"Two-way")</f>
        <v>Two-way</v>
      </c>
      <c r="D611" s="271" t="str">
        <f aca="false">IFERROR(__xludf.dummyfunction("""COMPUTED_VALUE"""),"Two-way")</f>
        <v>Two-way</v>
      </c>
      <c r="E611" s="272" t="n">
        <f aca="false">IFERROR(__xludf.dummyfunction("""COMPUTED_VALUE"""),2048491)</f>
        <v>2048491</v>
      </c>
      <c r="F611" s="271" t="str">
        <f aca="false">IFERROR(__xludf.dummyfunction("""COMPUTED_VALUE"""),"UFA - Two-way")</f>
        <v>UFA - Two-way</v>
      </c>
      <c r="G611" s="273"/>
      <c r="H611" s="193"/>
      <c r="I611" s="273"/>
      <c r="J611" s="193"/>
      <c r="K611" s="273"/>
      <c r="L611" s="193"/>
      <c r="M611" s="273"/>
      <c r="N611" s="193"/>
      <c r="O611" s="193" t="n">
        <f aca="false">IFERROR(__xludf.dummyfunction("""COMPUTED_VALUE"""),1)</f>
        <v>1</v>
      </c>
      <c r="P611" s="193"/>
      <c r="Q611" s="193"/>
      <c r="R611" s="193"/>
      <c r="S611" s="193"/>
      <c r="T611" s="193"/>
      <c r="U611" s="193"/>
      <c r="V611" s="193"/>
      <c r="W611" s="193"/>
      <c r="X611" s="193"/>
      <c r="Y611" s="193"/>
      <c r="Z611" s="193"/>
    </row>
    <row r="612" customFormat="false" ht="15.75" hidden="false" customHeight="false" outlineLevel="0" collapsed="false">
      <c r="A612" s="193" t="str">
        <f aca="false">IFERROR(__xludf.dummyfunction("""COMPUTED_VALUE"""),"Riley Minix")</f>
        <v>Riley Minix</v>
      </c>
      <c r="B612" s="271" t="str">
        <f aca="false">IFERROR(__xludf.dummyfunction("""COMPUTED_VALUE"""),"San Antonio Spurs")</f>
        <v>San Antonio Spurs</v>
      </c>
      <c r="C612" s="272" t="str">
        <f aca="false">IFERROR(__xludf.dummyfunction("""COMPUTED_VALUE"""),"Two-way")</f>
        <v>Two-way</v>
      </c>
      <c r="D612" s="271" t="str">
        <f aca="false">IFERROR(__xludf.dummyfunction("""COMPUTED_VALUE"""),"Two-way")</f>
        <v>Two-way</v>
      </c>
      <c r="E612" s="272" t="n">
        <f aca="false">IFERROR(__xludf.dummyfunction("""COMPUTED_VALUE"""),2048491)</f>
        <v>2048491</v>
      </c>
      <c r="F612" s="271" t="str">
        <f aca="false">IFERROR(__xludf.dummyfunction("""COMPUTED_VALUE"""),"UFA - Two-way")</f>
        <v>UFA - Two-way</v>
      </c>
      <c r="G612" s="273"/>
      <c r="H612" s="193"/>
      <c r="I612" s="273"/>
      <c r="J612" s="193"/>
      <c r="K612" s="273"/>
      <c r="L612" s="193"/>
      <c r="M612" s="273"/>
      <c r="N612" s="193"/>
      <c r="O612" s="193" t="n">
        <f aca="false">IFERROR(__xludf.dummyfunction("""COMPUTED_VALUE"""),1)</f>
        <v>1</v>
      </c>
      <c r="P612" s="193"/>
      <c r="Q612" s="193"/>
      <c r="R612" s="193"/>
      <c r="S612" s="193"/>
      <c r="T612" s="193"/>
      <c r="U612" s="193"/>
      <c r="V612" s="193"/>
      <c r="W612" s="193"/>
      <c r="X612" s="193"/>
      <c r="Y612" s="193"/>
      <c r="Z612" s="193"/>
    </row>
    <row r="613" customFormat="false" ht="15.75" hidden="false" customHeight="false" outlineLevel="0" collapsed="false">
      <c r="A613" s="193" t="str">
        <f aca="false">IFERROR(__xludf.dummyfunction("""COMPUTED_VALUE"""),"Milos Uzan (R)")</f>
        <v>Milos Uzan (R)</v>
      </c>
      <c r="B613" s="271" t="str">
        <f aca="false">IFERROR(__xludf.dummyfunction("""COMPUTED_VALUE"""),"San Antonio Spurs")</f>
        <v>San Antonio Spurs</v>
      </c>
      <c r="C613" s="273"/>
      <c r="D613" s="193"/>
      <c r="E613" s="272" t="n">
        <f aca="false">IFERROR(__xludf.dummyfunction("""COMPUTED_VALUE"""),1272869)</f>
        <v>1272869</v>
      </c>
      <c r="F613" s="193"/>
      <c r="G613" s="272" t="n">
        <f aca="false">IFERROR(__xludf.dummyfunction("""COMPUTED_VALUE"""),2150915.55)</f>
        <v>2150915.55</v>
      </c>
      <c r="H613" s="193"/>
      <c r="I613" s="272" t="n">
        <f aca="false">IFERROR(__xludf.dummyfunction("""COMPUTED_VALUE"""),2525899)</f>
        <v>2525899</v>
      </c>
      <c r="J613" s="271" t="str">
        <f aca="false">IFERROR(__xludf.dummyfunction("""COMPUTED_VALUE"""),"Club Option")</f>
        <v>Club Option</v>
      </c>
      <c r="K613" s="272" t="n">
        <f aca="false">IFERROR(__xludf.dummyfunction("""COMPUTED_VALUE"""),2735801.21)</f>
        <v>2735801.21</v>
      </c>
      <c r="L613" s="271" t="str">
        <f aca="false">IFERROR(__xludf.dummyfunction("""COMPUTED_VALUE"""),"Club Option")</f>
        <v>Club Option</v>
      </c>
      <c r="M613" s="272" t="n">
        <f aca="false">IFERROR(__xludf.dummyfunction("""COMPUTED_VALUE"""),5197819.55)</f>
        <v>5197819.55</v>
      </c>
      <c r="N613" s="271" t="str">
        <f aca="false">IFERROR(__xludf.dummyfunction("""COMPUTED_VALUE"""),"UFA - Bird")</f>
        <v>UFA - Bird</v>
      </c>
      <c r="O613" s="193" t="n">
        <f aca="false">IFERROR(__xludf.dummyfunction("""COMPUTED_VALUE"""),1)</f>
        <v>1</v>
      </c>
      <c r="P613" s="193"/>
      <c r="Q613" s="193"/>
      <c r="R613" s="193"/>
      <c r="S613" s="193"/>
      <c r="T613" s="193"/>
      <c r="U613" s="193"/>
      <c r="V613" s="193"/>
      <c r="W613" s="193"/>
      <c r="X613" s="193"/>
      <c r="Y613" s="193"/>
      <c r="Z613" s="193"/>
    </row>
    <row r="614" customFormat="false" ht="15.75" hidden="false" customHeight="false" outlineLevel="0" collapsed="false">
      <c r="A614" s="193" t="str">
        <f aca="false">IFERROR(__xludf.dummyfunction("""COMPUTED_VALUE"""),"Jared Rhoden")</f>
        <v>Jared Rhoden</v>
      </c>
      <c r="B614" s="271" t="str">
        <f aca="false">IFERROR(__xludf.dummyfunction("""COMPUTED_VALUE"""),"Toronto Raptors")</f>
        <v>Toronto Raptors</v>
      </c>
      <c r="C614" s="272" t="str">
        <f aca="false">IFERROR(__xludf.dummyfunction("""COMPUTED_VALUE"""),"Two-way")</f>
        <v>Two-way</v>
      </c>
      <c r="D614" s="271" t="str">
        <f aca="false">IFERROR(__xludf.dummyfunction("""COMPUTED_VALUE"""),"Two-way")</f>
        <v>Two-way</v>
      </c>
      <c r="E614" s="272" t="str">
        <f aca="false">IFERROR(__xludf.dummyfunction("""COMPUTED_VALUE"""),"Two-way")</f>
        <v>Two-way</v>
      </c>
      <c r="F614" s="271" t="str">
        <f aca="false">IFERROR(__xludf.dummyfunction("""COMPUTED_VALUE"""),"Two-way")</f>
        <v>Two-way</v>
      </c>
      <c r="G614" s="272" t="n">
        <f aca="false">IFERROR(__xludf.dummyfunction("""COMPUTED_VALUE"""),2253346)</f>
        <v>2253346</v>
      </c>
      <c r="H614" s="271" t="str">
        <f aca="false">IFERROR(__xludf.dummyfunction("""COMPUTED_VALUE"""),"UFA - Two-way")</f>
        <v>UFA - Two-way</v>
      </c>
      <c r="I614" s="273"/>
      <c r="J614" s="193"/>
      <c r="K614" s="273"/>
      <c r="L614" s="193"/>
      <c r="M614" s="273"/>
      <c r="N614" s="193"/>
      <c r="O614" s="193" t="n">
        <f aca="false">IFERROR(__xludf.dummyfunction("""COMPUTED_VALUE"""),1)</f>
        <v>1</v>
      </c>
      <c r="P614" s="193"/>
      <c r="Q614" s="193"/>
      <c r="R614" s="193"/>
      <c r="S614" s="193"/>
      <c r="T614" s="193"/>
      <c r="U614" s="193"/>
      <c r="V614" s="193"/>
      <c r="W614" s="193"/>
      <c r="X614" s="193"/>
      <c r="Y614" s="193"/>
      <c r="Z614" s="193"/>
    </row>
    <row r="615" customFormat="false" ht="15.75" hidden="false" customHeight="false" outlineLevel="0" collapsed="false">
      <c r="A615" s="193" t="str">
        <f aca="false">IFERROR(__xludf.dummyfunction("""COMPUTED_VALUE"""),"Ulrich Chomche")</f>
        <v>Ulrich Chomche</v>
      </c>
      <c r="B615" s="271" t="str">
        <f aca="false">IFERROR(__xludf.dummyfunction("""COMPUTED_VALUE"""),"Toronto Raptors")</f>
        <v>Toronto Raptors</v>
      </c>
      <c r="C615" s="272" t="str">
        <f aca="false">IFERROR(__xludf.dummyfunction("""COMPUTED_VALUE"""),"Two-way")</f>
        <v>Two-way</v>
      </c>
      <c r="D615" s="271" t="str">
        <f aca="false">IFERROR(__xludf.dummyfunction("""COMPUTED_VALUE"""),"Two-way")</f>
        <v>Two-way</v>
      </c>
      <c r="E615" s="272" t="str">
        <f aca="false">IFERROR(__xludf.dummyfunction("""COMPUTED_VALUE"""),"Two-way")</f>
        <v>Two-way</v>
      </c>
      <c r="F615" s="271" t="str">
        <f aca="false">IFERROR(__xludf.dummyfunction("""COMPUTED_VALUE"""),"Two-way")</f>
        <v>Two-way</v>
      </c>
      <c r="G615" s="272" t="n">
        <f aca="false">IFERROR(__xludf.dummyfunction("""COMPUTED_VALUE"""),2253346)</f>
        <v>2253346</v>
      </c>
      <c r="H615" s="271" t="str">
        <f aca="false">IFERROR(__xludf.dummyfunction("""COMPUTED_VALUE"""),"UFA - Two-way")</f>
        <v>UFA - Two-way</v>
      </c>
      <c r="I615" s="273"/>
      <c r="J615" s="193"/>
      <c r="K615" s="273"/>
      <c r="L615" s="193"/>
      <c r="M615" s="273"/>
      <c r="N615" s="193"/>
      <c r="O615" s="193" t="n">
        <f aca="false">IFERROR(__xludf.dummyfunction("""COMPUTED_VALUE"""),1)</f>
        <v>1</v>
      </c>
      <c r="P615" s="193"/>
      <c r="Q615" s="193"/>
      <c r="R615" s="193"/>
      <c r="S615" s="193"/>
      <c r="T615" s="193"/>
      <c r="U615" s="193"/>
      <c r="V615" s="193"/>
      <c r="W615" s="193"/>
      <c r="X615" s="193"/>
      <c r="Y615" s="193"/>
      <c r="Z615" s="193"/>
    </row>
    <row r="616" customFormat="false" ht="15.75" hidden="false" customHeight="false" outlineLevel="0" collapsed="false">
      <c r="A616" s="193" t="str">
        <f aca="false">IFERROR(__xludf.dummyfunction("""COMPUTED_VALUE"""),"Scottie Barnes")</f>
        <v>Scottie Barnes</v>
      </c>
      <c r="B616" s="271" t="str">
        <f aca="false">IFERROR(__xludf.dummyfunction("""COMPUTED_VALUE"""),"Toronto Raptors")</f>
        <v>Toronto Raptors</v>
      </c>
      <c r="C616" s="272" t="n">
        <f aca="false">IFERROR(__xludf.dummyfunction("""COMPUTED_VALUE"""),10130980)</f>
        <v>10130980</v>
      </c>
      <c r="D616" s="193"/>
      <c r="E616" s="272" t="n">
        <f aca="false">IFERROR(__xludf.dummyfunction("""COMPUTED_VALUE"""),38661700)</f>
        <v>38661700</v>
      </c>
      <c r="F616" s="193"/>
      <c r="G616" s="272" t="n">
        <f aca="false">IFERROR(__xludf.dummyfunction("""COMPUTED_VALUE"""),41754636)</f>
        <v>41754636</v>
      </c>
      <c r="H616" s="271" t="str">
        <f aca="false">IFERROR(__xludf.dummyfunction("""COMPUTED_VALUE"""),"Estimated")</f>
        <v>Estimated</v>
      </c>
      <c r="I616" s="272" t="n">
        <f aca="false">IFERROR(__xludf.dummyfunction("""COMPUTED_VALUE"""),44847572)</f>
        <v>44847572</v>
      </c>
      <c r="J616" s="271" t="str">
        <f aca="false">IFERROR(__xludf.dummyfunction("""COMPUTED_VALUE"""),"Estimated")</f>
        <v>Estimated</v>
      </c>
      <c r="K616" s="272" t="n">
        <f aca="false">IFERROR(__xludf.dummyfunction("""COMPUTED_VALUE"""),47940508)</f>
        <v>47940508</v>
      </c>
      <c r="L616" s="271" t="str">
        <f aca="false">IFERROR(__xludf.dummyfunction("""COMPUTED_VALUE"""),"Estimated")</f>
        <v>Estimated</v>
      </c>
      <c r="M616" s="272" t="n">
        <f aca="false">IFERROR(__xludf.dummyfunction("""COMPUTED_VALUE"""),51033444)</f>
        <v>51033444</v>
      </c>
      <c r="N616" s="271" t="str">
        <f aca="false">IFERROR(__xludf.dummyfunction("""COMPUTED_VALUE"""),"Estimated")</f>
        <v>Estimated</v>
      </c>
      <c r="O616" s="193" t="n">
        <f aca="false">IFERROR(__xludf.dummyfunction("""COMPUTED_VALUE"""),1)</f>
        <v>1</v>
      </c>
      <c r="P616" s="193"/>
      <c r="Q616" s="193"/>
      <c r="R616" s="193"/>
      <c r="S616" s="193"/>
      <c r="T616" s="193"/>
      <c r="U616" s="193"/>
      <c r="V616" s="193"/>
      <c r="W616" s="193"/>
      <c r="X616" s="193"/>
      <c r="Y616" s="193"/>
      <c r="Z616" s="193"/>
    </row>
    <row r="617" customFormat="false" ht="15.75" hidden="false" customHeight="false" outlineLevel="0" collapsed="false">
      <c r="A617" s="193" t="str">
        <f aca="false">IFERROR(__xludf.dummyfunction("""COMPUTED_VALUE"""),"Brandon Ingram")</f>
        <v>Brandon Ingram</v>
      </c>
      <c r="B617" s="271" t="str">
        <f aca="false">IFERROR(__xludf.dummyfunction("""COMPUTED_VALUE"""),"Toronto Raptors")</f>
        <v>Toronto Raptors</v>
      </c>
      <c r="C617" s="272" t="n">
        <f aca="false">IFERROR(__xludf.dummyfunction("""COMPUTED_VALUE"""),36016200)</f>
        <v>36016200</v>
      </c>
      <c r="D617" s="193"/>
      <c r="E617" s="272" t="n">
        <f aca="false">IFERROR(__xludf.dummyfunction("""COMPUTED_VALUE"""),38095238)</f>
        <v>38095238</v>
      </c>
      <c r="F617" s="193"/>
      <c r="G617" s="272" t="n">
        <f aca="false">IFERROR(__xludf.dummyfunction("""COMPUTED_VALUE"""),40000000)</f>
        <v>40000000</v>
      </c>
      <c r="H617" s="193"/>
      <c r="I617" s="272" t="n">
        <f aca="false">IFERROR(__xludf.dummyfunction("""COMPUTED_VALUE"""),41904762)</f>
        <v>41904762</v>
      </c>
      <c r="J617" s="271" t="str">
        <f aca="false">IFERROR(__xludf.dummyfunction("""COMPUTED_VALUE"""),"Player Option")</f>
        <v>Player Option</v>
      </c>
      <c r="K617" s="272" t="n">
        <f aca="false">IFERROR(__xludf.dummyfunction("""COMPUTED_VALUE"""),54476191)</f>
        <v>54476191</v>
      </c>
      <c r="L617" s="271" t="str">
        <f aca="false">IFERROR(__xludf.dummyfunction("""COMPUTED_VALUE"""),"UFA - Bird")</f>
        <v>UFA - Bird</v>
      </c>
      <c r="M617" s="273"/>
      <c r="N617" s="193"/>
      <c r="O617" s="193" t="n">
        <f aca="false">IFERROR(__xludf.dummyfunction("""COMPUTED_VALUE"""),1)</f>
        <v>1</v>
      </c>
      <c r="P617" s="193"/>
      <c r="Q617" s="193"/>
      <c r="R617" s="193"/>
      <c r="S617" s="193"/>
      <c r="T617" s="193"/>
      <c r="U617" s="193"/>
      <c r="V617" s="193"/>
      <c r="W617" s="193"/>
      <c r="X617" s="193"/>
      <c r="Y617" s="193"/>
      <c r="Z617" s="193"/>
    </row>
    <row r="618" customFormat="false" ht="15.75" hidden="false" customHeight="false" outlineLevel="0" collapsed="false">
      <c r="A618" s="193" t="str">
        <f aca="false">IFERROR(__xludf.dummyfunction("""COMPUTED_VALUE"""),"Immanuel Quickley")</f>
        <v>Immanuel Quickley</v>
      </c>
      <c r="B618" s="271" t="str">
        <f aca="false">IFERROR(__xludf.dummyfunction("""COMPUTED_VALUE"""),"Toronto Raptors")</f>
        <v>Toronto Raptors</v>
      </c>
      <c r="C618" s="272" t="n">
        <f aca="false">IFERROR(__xludf.dummyfunction("""COMPUTED_VALUE"""),32500000)</f>
        <v>32500000</v>
      </c>
      <c r="D618" s="193"/>
      <c r="E618" s="272" t="n">
        <f aca="false">IFERROR(__xludf.dummyfunction("""COMPUTED_VALUE"""),32500000)</f>
        <v>32500000</v>
      </c>
      <c r="F618" s="193"/>
      <c r="G618" s="272" t="n">
        <f aca="false">IFERROR(__xludf.dummyfunction("""COMPUTED_VALUE"""),32500000)</f>
        <v>32500000</v>
      </c>
      <c r="H618" s="193"/>
      <c r="I618" s="272" t="n">
        <f aca="false">IFERROR(__xludf.dummyfunction("""COMPUTED_VALUE"""),32500000)</f>
        <v>32500000</v>
      </c>
      <c r="J618" s="193"/>
      <c r="K618" s="272" t="n">
        <f aca="false">IFERROR(__xludf.dummyfunction("""COMPUTED_VALUE"""),32500000)</f>
        <v>32500000</v>
      </c>
      <c r="L618" s="193"/>
      <c r="M618" s="272" t="n">
        <f aca="false">IFERROR(__xludf.dummyfunction("""COMPUTED_VALUE"""),52500000)</f>
        <v>52500000</v>
      </c>
      <c r="N618" s="271" t="str">
        <f aca="false">IFERROR(__xludf.dummyfunction("""COMPUTED_VALUE"""),"UFA - Bird")</f>
        <v>UFA - Bird</v>
      </c>
      <c r="O618" s="193" t="n">
        <f aca="false">IFERROR(__xludf.dummyfunction("""COMPUTED_VALUE"""),1)</f>
        <v>1</v>
      </c>
      <c r="P618" s="193"/>
      <c r="Q618" s="193"/>
      <c r="R618" s="193"/>
      <c r="S618" s="193"/>
      <c r="T618" s="193"/>
      <c r="U618" s="193"/>
      <c r="V618" s="193"/>
      <c r="W618" s="193"/>
      <c r="X618" s="193"/>
      <c r="Y618" s="193"/>
      <c r="Z618" s="193"/>
    </row>
    <row r="619" customFormat="false" ht="15.75" hidden="false" customHeight="false" outlineLevel="0" collapsed="false">
      <c r="A619" s="193" t="str">
        <f aca="false">IFERROR(__xludf.dummyfunction("""COMPUTED_VALUE"""),"Terry Rozier")</f>
        <v>Terry Rozier</v>
      </c>
      <c r="B619" s="271" t="str">
        <f aca="false">IFERROR(__xludf.dummyfunction("""COMPUTED_VALUE"""),"Toronto Raptors")</f>
        <v>Toronto Raptors</v>
      </c>
      <c r="C619" s="273"/>
      <c r="D619" s="193"/>
      <c r="E619" s="272" t="n">
        <f aca="false">IFERROR(__xludf.dummyfunction("""COMPUTED_VALUE"""),26643031)</f>
        <v>26643031</v>
      </c>
      <c r="F619" s="193"/>
      <c r="G619" s="272" t="n">
        <f aca="false">IFERROR(__xludf.dummyfunction("""COMPUTED_VALUE"""),39964547)</f>
        <v>39964547</v>
      </c>
      <c r="H619" s="271" t="str">
        <f aca="false">IFERROR(__xludf.dummyfunction("""COMPUTED_VALUE"""),"UFA - Bird")</f>
        <v>UFA - Bird</v>
      </c>
      <c r="I619" s="272" t="str">
        <f aca="false">IFERROR(__xludf.dummyfunction("""COMPUTED_VALUE"""),"")</f>
        <v/>
      </c>
      <c r="J619" s="193"/>
      <c r="K619" s="273"/>
      <c r="L619" s="193"/>
      <c r="M619" s="273"/>
      <c r="N619" s="193"/>
      <c r="O619" s="193" t="n">
        <f aca="false">IFERROR(__xludf.dummyfunction("""COMPUTED_VALUE"""),1)</f>
        <v>1</v>
      </c>
      <c r="P619" s="193"/>
      <c r="Q619" s="193"/>
      <c r="R619" s="193"/>
      <c r="S619" s="193"/>
      <c r="T619" s="193"/>
      <c r="U619" s="193"/>
      <c r="V619" s="193"/>
      <c r="W619" s="193"/>
      <c r="X619" s="193"/>
      <c r="Y619" s="193"/>
      <c r="Z619" s="193"/>
    </row>
    <row r="620" customFormat="false" ht="15.75" hidden="false" customHeight="false" outlineLevel="0" collapsed="false">
      <c r="A620" s="193" t="str">
        <f aca="false">IFERROR(__xludf.dummyfunction("""COMPUTED_VALUE"""),"Jakob Poeltl")</f>
        <v>Jakob Poeltl</v>
      </c>
      <c r="B620" s="271" t="str">
        <f aca="false">IFERROR(__xludf.dummyfunction("""COMPUTED_VALUE"""),"Toronto Raptors")</f>
        <v>Toronto Raptors</v>
      </c>
      <c r="C620" s="272" t="n">
        <f aca="false">IFERROR(__xludf.dummyfunction("""COMPUTED_VALUE"""),19500000)</f>
        <v>19500000</v>
      </c>
      <c r="D620" s="193"/>
      <c r="E620" s="272" t="n">
        <f aca="false">IFERROR(__xludf.dummyfunction("""COMPUTED_VALUE"""),19500000)</f>
        <v>19500000</v>
      </c>
      <c r="F620" s="193"/>
      <c r="G620" s="272" t="n">
        <f aca="false">IFERROR(__xludf.dummyfunction("""COMPUTED_VALUE"""),19500000)</f>
        <v>19500000</v>
      </c>
      <c r="H620" s="271" t="str">
        <f aca="false">IFERROR(__xludf.dummyfunction("""COMPUTED_VALUE"""),"Player Option")</f>
        <v>Player Option</v>
      </c>
      <c r="I620" s="272" t="n">
        <f aca="false">IFERROR(__xludf.dummyfunction("""COMPUTED_VALUE"""),33214286)</f>
        <v>33214286</v>
      </c>
      <c r="J620" s="271" t="str">
        <f aca="false">IFERROR(__xludf.dummyfunction("""COMPUTED_VALUE"""),"UFA - Bird")</f>
        <v>UFA - Bird</v>
      </c>
      <c r="K620" s="273"/>
      <c r="L620" s="193"/>
      <c r="M620" s="273"/>
      <c r="N620" s="193"/>
      <c r="O620" s="193" t="n">
        <f aca="false">IFERROR(__xludf.dummyfunction("""COMPUTED_VALUE"""),1)</f>
        <v>1</v>
      </c>
      <c r="P620" s="193"/>
      <c r="Q620" s="193"/>
      <c r="R620" s="193"/>
      <c r="S620" s="193"/>
      <c r="T620" s="193"/>
      <c r="U620" s="193"/>
      <c r="V620" s="193"/>
      <c r="W620" s="193"/>
      <c r="X620" s="193"/>
      <c r="Y620" s="193"/>
      <c r="Z620" s="193"/>
    </row>
    <row r="621" customFormat="false" ht="15.75" hidden="false" customHeight="false" outlineLevel="0" collapsed="false">
      <c r="A621" s="193" t="str">
        <f aca="false">IFERROR(__xludf.dummyfunction("""COMPUTED_VALUE"""),"Carter Bryant (R)")</f>
        <v>Carter Bryant (R)</v>
      </c>
      <c r="B621" s="271" t="str">
        <f aca="false">IFERROR(__xludf.dummyfunction("""COMPUTED_VALUE"""),"Toronto Raptors")</f>
        <v>Toronto Raptors</v>
      </c>
      <c r="C621" s="273"/>
      <c r="D621" s="193"/>
      <c r="E621" s="272" t="n">
        <f aca="false">IFERROR(__xludf.dummyfunction("""COMPUTED_VALUE"""),6332520)</f>
        <v>6332520</v>
      </c>
      <c r="F621" s="193"/>
      <c r="G621" s="272" t="n">
        <f aca="false">IFERROR(__xludf.dummyfunction("""COMPUTED_VALUE"""),6649560)</f>
        <v>6649560</v>
      </c>
      <c r="H621" s="193"/>
      <c r="I621" s="272" t="n">
        <f aca="false">IFERROR(__xludf.dummyfunction("""COMPUTED_VALUE"""),6966000)</f>
        <v>6966000</v>
      </c>
      <c r="J621" s="271" t="str">
        <f aca="false">IFERROR(__xludf.dummyfunction("""COMPUTED_VALUE"""),"Club Option")</f>
        <v>Club Option</v>
      </c>
      <c r="K621" s="272" t="n">
        <f aca="false">IFERROR(__xludf.dummyfunction("""COMPUTED_VALUE"""),8874684)</f>
        <v>8874684</v>
      </c>
      <c r="L621" s="271" t="str">
        <f aca="false">IFERROR(__xludf.dummyfunction("""COMPUTED_VALUE"""),"Club Option")</f>
        <v>Club Option</v>
      </c>
      <c r="M621" s="272" t="n">
        <f aca="false">IFERROR(__xludf.dummyfunction("""COMPUTED_VALUE"""),26624052)</f>
        <v>26624052</v>
      </c>
      <c r="N621" s="271" t="str">
        <f aca="false">IFERROR(__xludf.dummyfunction("""COMPUTED_VALUE"""),"RFA - Bird")</f>
        <v>RFA - Bird</v>
      </c>
      <c r="O621" s="193" t="n">
        <f aca="false">IFERROR(__xludf.dummyfunction("""COMPUTED_VALUE"""),1)</f>
        <v>1</v>
      </c>
      <c r="P621" s="193"/>
      <c r="Q621" s="193"/>
      <c r="R621" s="193"/>
      <c r="S621" s="193"/>
      <c r="T621" s="193"/>
      <c r="U621" s="193"/>
      <c r="V621" s="193"/>
      <c r="W621" s="193"/>
      <c r="X621" s="193"/>
      <c r="Y621" s="193"/>
      <c r="Z621" s="193"/>
    </row>
    <row r="622" customFormat="false" ht="15.75" hidden="false" customHeight="false" outlineLevel="0" collapsed="false">
      <c r="A622" s="193" t="str">
        <f aca="false">IFERROR(__xludf.dummyfunction("""COMPUTED_VALUE"""),"Jordan Nwora")</f>
        <v>Jordan Nwora</v>
      </c>
      <c r="B622" s="271" t="str">
        <f aca="false">IFERROR(__xludf.dummyfunction("""COMPUTED_VALUE"""),"Toronto Raptors")</f>
        <v>Toronto Raptors</v>
      </c>
      <c r="C622" s="272" t="n">
        <f aca="false">IFERROR(__xludf.dummyfunction("""COMPUTED_VALUE"""),5700000)</f>
        <v>5700000</v>
      </c>
      <c r="D622" s="271" t="str">
        <f aca="false">IFERROR(__xludf.dummyfunction("""COMPUTED_VALUE"""),"UFA - Bird")</f>
        <v>UFA - Bird</v>
      </c>
      <c r="E622" s="272" t="n">
        <f aca="false">IFERROR(__xludf.dummyfunction("""COMPUTED_VALUE"""),5700000)</f>
        <v>5700000</v>
      </c>
      <c r="F622" s="271" t="str">
        <f aca="false">IFERROR(__xludf.dummyfunction("""COMPUTED_VALUE"""),"UFA - Non-Bird")</f>
        <v>UFA - Non-Bird</v>
      </c>
      <c r="G622" s="273"/>
      <c r="H622" s="193"/>
      <c r="I622" s="273"/>
      <c r="J622" s="193"/>
      <c r="K622" s="273"/>
      <c r="L622" s="193"/>
      <c r="M622" s="273"/>
      <c r="N622" s="193"/>
      <c r="O622" s="193" t="n">
        <f aca="false">IFERROR(__xludf.dummyfunction("""COMPUTED_VALUE"""),1)</f>
        <v>1</v>
      </c>
      <c r="P622" s="193"/>
      <c r="Q622" s="193"/>
      <c r="R622" s="193"/>
      <c r="S622" s="193"/>
      <c r="T622" s="193"/>
      <c r="U622" s="193"/>
      <c r="V622" s="193"/>
      <c r="W622" s="193"/>
      <c r="X622" s="193"/>
      <c r="Y622" s="193"/>
      <c r="Z622" s="193"/>
    </row>
    <row r="623" customFormat="false" ht="15.75" hidden="false" customHeight="false" outlineLevel="0" collapsed="false">
      <c r="A623" s="193" t="str">
        <f aca="false">IFERROR(__xludf.dummyfunction("""COMPUTED_VALUE"""),"Jeremiah Fears (R)")</f>
        <v>Jeremiah Fears (R)</v>
      </c>
      <c r="B623" s="271" t="str">
        <f aca="false">IFERROR(__xludf.dummyfunction("""COMPUTED_VALUE"""),"Toronto Raptors")</f>
        <v>Toronto Raptors</v>
      </c>
      <c r="C623" s="273"/>
      <c r="D623" s="193"/>
      <c r="E623" s="272" t="n">
        <f aca="false">IFERROR(__xludf.dummyfunction("""COMPUTED_VALUE"""),5429520)</f>
        <v>5429520</v>
      </c>
      <c r="F623" s="193"/>
      <c r="G623" s="272" t="n">
        <f aca="false">IFERROR(__xludf.dummyfunction("""COMPUTED_VALUE"""),5701200)</f>
        <v>5701200</v>
      </c>
      <c r="H623" s="193"/>
      <c r="I623" s="272" t="n">
        <f aca="false">IFERROR(__xludf.dummyfunction("""COMPUTED_VALUE"""),5972760)</f>
        <v>5972760</v>
      </c>
      <c r="J623" s="271" t="str">
        <f aca="false">IFERROR(__xludf.dummyfunction("""COMPUTED_VALUE"""),"Club Option")</f>
        <v>Club Option</v>
      </c>
      <c r="K623" s="272" t="n">
        <f aca="false">IFERROR(__xludf.dummyfunction("""COMPUTED_VALUE"""),8230463.28)</f>
        <v>8230463.28</v>
      </c>
      <c r="L623" s="271" t="str">
        <f aca="false">IFERROR(__xludf.dummyfunction("""COMPUTED_VALUE"""),"Club Option")</f>
        <v>Club Option</v>
      </c>
      <c r="M623" s="272" t="n">
        <f aca="false">IFERROR(__xludf.dummyfunction("""COMPUTED_VALUE"""),24691389.84)</f>
        <v>24691389.84</v>
      </c>
      <c r="N623" s="271" t="str">
        <f aca="false">IFERROR(__xludf.dummyfunction("""COMPUTED_VALUE"""),"RFA - Bird")</f>
        <v>RFA - Bird</v>
      </c>
      <c r="O623" s="193" t="n">
        <f aca="false">IFERROR(__xludf.dummyfunction("""COMPUTED_VALUE"""),1)</f>
        <v>1</v>
      </c>
      <c r="P623" s="193"/>
      <c r="Q623" s="193"/>
      <c r="R623" s="193"/>
      <c r="S623" s="193"/>
      <c r="T623" s="193"/>
      <c r="U623" s="193"/>
      <c r="V623" s="193"/>
      <c r="W623" s="193"/>
      <c r="X623" s="193"/>
      <c r="Y623" s="193"/>
      <c r="Z623" s="193"/>
    </row>
    <row r="624" customFormat="false" ht="15.75" hidden="false" customHeight="false" outlineLevel="0" collapsed="false">
      <c r="A624" s="193" t="str">
        <f aca="false">IFERROR(__xludf.dummyfunction("""COMPUTED_VALUE"""),"Gradey Dick")</f>
        <v>Gradey Dick</v>
      </c>
      <c r="B624" s="271" t="str">
        <f aca="false">IFERROR(__xludf.dummyfunction("""COMPUTED_VALUE"""),"Toronto Raptors")</f>
        <v>Toronto Raptors</v>
      </c>
      <c r="C624" s="272" t="n">
        <f aca="false">IFERROR(__xludf.dummyfunction("""COMPUTED_VALUE"""),4763760)</f>
        <v>4763760</v>
      </c>
      <c r="D624" s="193"/>
      <c r="E624" s="272" t="n">
        <f aca="false">IFERROR(__xludf.dummyfunction("""COMPUTED_VALUE"""),4990560)</f>
        <v>4990560</v>
      </c>
      <c r="F624" s="193"/>
      <c r="G624" s="272" t="n">
        <f aca="false">IFERROR(__xludf.dummyfunction("""COMPUTED_VALUE"""),7131511)</f>
        <v>7131511</v>
      </c>
      <c r="H624" s="271" t="str">
        <f aca="false">IFERROR(__xludf.dummyfunction("""COMPUTED_VALUE"""),"Club Option")</f>
        <v>Club Option</v>
      </c>
      <c r="I624" s="272" t="n">
        <f aca="false">IFERROR(__xludf.dummyfunction("""COMPUTED_VALUE"""),21394533)</f>
        <v>21394533</v>
      </c>
      <c r="J624" s="271" t="str">
        <f aca="false">IFERROR(__xludf.dummyfunction("""COMPUTED_VALUE"""),"RFA - Bird")</f>
        <v>RFA - Bird</v>
      </c>
      <c r="K624" s="273"/>
      <c r="L624" s="193"/>
      <c r="M624" s="273"/>
      <c r="N624" s="193"/>
      <c r="O624" s="193" t="n">
        <f aca="false">IFERROR(__xludf.dummyfunction("""COMPUTED_VALUE"""),1)</f>
        <v>1</v>
      </c>
      <c r="P624" s="193"/>
      <c r="Q624" s="193"/>
      <c r="R624" s="193"/>
      <c r="S624" s="193"/>
      <c r="T624" s="193"/>
      <c r="U624" s="193"/>
      <c r="V624" s="193"/>
      <c r="W624" s="193"/>
      <c r="X624" s="193"/>
      <c r="Y624" s="193"/>
      <c r="Z624" s="193"/>
    </row>
    <row r="625" customFormat="false" ht="15.75" hidden="false" customHeight="false" outlineLevel="0" collapsed="false">
      <c r="A625" s="193" t="str">
        <f aca="false">IFERROR(__xludf.dummyfunction("""COMPUTED_VALUE"""),"Sandro Mamukelashvili")</f>
        <v>Sandro Mamukelashvili</v>
      </c>
      <c r="B625" s="271" t="str">
        <f aca="false">IFERROR(__xludf.dummyfunction("""COMPUTED_VALUE"""),"Toronto Raptors")</f>
        <v>Toronto Raptors</v>
      </c>
      <c r="C625" s="272" t="n">
        <f aca="false">IFERROR(__xludf.dummyfunction("""COMPUTED_VALUE"""),2087519)</f>
        <v>2087519</v>
      </c>
      <c r="D625" s="193"/>
      <c r="E625" s="272" t="n">
        <f aca="false">IFERROR(__xludf.dummyfunction("""COMPUTED_VALUE"""),4500000)</f>
        <v>4500000</v>
      </c>
      <c r="F625" s="193"/>
      <c r="G625" s="272" t="n">
        <f aca="false">IFERROR(__xludf.dummyfunction("""COMPUTED_VALUE"""),4500000)</f>
        <v>4500000</v>
      </c>
      <c r="H625" s="193" t="str">
        <f aca="false">IFERROR(__xludf.dummyfunction("""COMPUTED_VALUE"""),"Player Option")</f>
        <v>Player Option</v>
      </c>
      <c r="I625" s="272" t="n">
        <f aca="false">IFERROR(__xludf.dummyfunction("""COMPUTED_VALUE"""),5850000)</f>
        <v>5850000</v>
      </c>
      <c r="J625" s="271" t="str">
        <f aca="false">IFERROR(__xludf.dummyfunction("""COMPUTED_VALUE"""),"UFA - Early Bird")</f>
        <v>UFA - Early Bird</v>
      </c>
      <c r="K625" s="273"/>
      <c r="L625" s="193"/>
      <c r="M625" s="273"/>
      <c r="N625" s="193"/>
      <c r="O625" s="193" t="n">
        <f aca="false">IFERROR(__xludf.dummyfunction("""COMPUTED_VALUE"""),1)</f>
        <v>1</v>
      </c>
      <c r="P625" s="193"/>
      <c r="Q625" s="193"/>
      <c r="R625" s="193"/>
      <c r="S625" s="193"/>
      <c r="T625" s="193"/>
      <c r="U625" s="193"/>
      <c r="V625" s="193"/>
      <c r="W625" s="193"/>
      <c r="X625" s="193"/>
      <c r="Y625" s="193"/>
      <c r="Z625" s="193"/>
    </row>
    <row r="626" customFormat="false" ht="15.75" hidden="false" customHeight="false" outlineLevel="0" collapsed="false">
      <c r="A626" s="193" t="str">
        <f aca="false">IFERROR(__xludf.dummyfunction("""COMPUTED_VALUE"""),"Ja'Kobe Walter")</f>
        <v>Ja'Kobe Walter</v>
      </c>
      <c r="B626" s="271" t="str">
        <f aca="false">IFERROR(__xludf.dummyfunction("""COMPUTED_VALUE"""),"Toronto Raptors")</f>
        <v>Toronto Raptors</v>
      </c>
      <c r="C626" s="272" t="n">
        <f aca="false">IFERROR(__xludf.dummyfunction("""COMPUTED_VALUE"""),3465000)</f>
        <v>3465000</v>
      </c>
      <c r="D626" s="193"/>
      <c r="E626" s="272" t="n">
        <f aca="false">IFERROR(__xludf.dummyfunction("""COMPUTED_VALUE"""),3638160)</f>
        <v>3638160</v>
      </c>
      <c r="F626" s="193"/>
      <c r="G626" s="272" t="n">
        <f aca="false">IFERROR(__xludf.dummyfunction("""COMPUTED_VALUE"""),3811800)</f>
        <v>3811800</v>
      </c>
      <c r="H626" s="271" t="str">
        <f aca="false">IFERROR(__xludf.dummyfunction("""COMPUTED_VALUE"""),"Club Option")</f>
        <v>Club Option</v>
      </c>
      <c r="I626" s="272" t="n">
        <f aca="false">IFERROR(__xludf.dummyfunction("""COMPUTED_VALUE"""),5870172)</f>
        <v>5870172</v>
      </c>
      <c r="J626" s="271" t="str">
        <f aca="false">IFERROR(__xludf.dummyfunction("""COMPUTED_VALUE"""),"Club Option")</f>
        <v>Club Option</v>
      </c>
      <c r="K626" s="272" t="n">
        <f aca="false">IFERROR(__xludf.dummyfunction("""COMPUTED_VALUE"""),17610516)</f>
        <v>17610516</v>
      </c>
      <c r="L626" s="271" t="str">
        <f aca="false">IFERROR(__xludf.dummyfunction("""COMPUTED_VALUE"""),"RFA - Bird")</f>
        <v>RFA - Bird</v>
      </c>
      <c r="M626" s="273"/>
      <c r="N626" s="193"/>
      <c r="O626" s="193" t="n">
        <f aca="false">IFERROR(__xludf.dummyfunction("""COMPUTED_VALUE"""),1)</f>
        <v>1</v>
      </c>
      <c r="P626" s="193"/>
      <c r="Q626" s="193"/>
      <c r="R626" s="193"/>
      <c r="S626" s="193"/>
      <c r="T626" s="193"/>
      <c r="U626" s="193"/>
      <c r="V626" s="193"/>
      <c r="W626" s="193"/>
      <c r="X626" s="193"/>
      <c r="Y626" s="193"/>
      <c r="Z626" s="193"/>
    </row>
    <row r="627" customFormat="false" ht="15.75" hidden="false" customHeight="false" outlineLevel="0" collapsed="false">
      <c r="A627" s="193" t="str">
        <f aca="false">IFERROR(__xludf.dummyfunction("""COMPUTED_VALUE"""),"Luka Garza")</f>
        <v>Luka Garza</v>
      </c>
      <c r="B627" s="271" t="str">
        <f aca="false">IFERROR(__xludf.dummyfunction("""COMPUTED_VALUE"""),"Toronto Raptors")</f>
        <v>Toronto Raptors</v>
      </c>
      <c r="C627" s="272" t="n">
        <f aca="false">IFERROR(__xludf.dummyfunction("""COMPUTED_VALUE"""),2162606)</f>
        <v>2162606</v>
      </c>
      <c r="D627" s="193"/>
      <c r="E627" s="272" t="n">
        <f aca="false">IFERROR(__xludf.dummyfunction("""COMPUTED_VALUE"""),2349578)</f>
        <v>2349578</v>
      </c>
      <c r="F627" s="193"/>
      <c r="G627" s="272" t="n">
        <f aca="false">IFERROR(__xludf.dummyfunction("""COMPUTED_VALUE"""),2525899)</f>
        <v>2525899</v>
      </c>
      <c r="H627" s="271" t="str">
        <f aca="false">IFERROR(__xludf.dummyfunction("""COMPUTED_VALUE"""),"UFA - Bird")</f>
        <v>UFA - Bird</v>
      </c>
      <c r="I627" s="272" t="str">
        <f aca="false">IFERROR(__xludf.dummyfunction("""COMPUTED_VALUE"""),"")</f>
        <v/>
      </c>
      <c r="J627" s="193"/>
      <c r="K627" s="273"/>
      <c r="L627" s="193"/>
      <c r="M627" s="273"/>
      <c r="N627" s="193"/>
      <c r="O627" s="193" t="n">
        <f aca="false">IFERROR(__xludf.dummyfunction("""COMPUTED_VALUE"""),1)</f>
        <v>1</v>
      </c>
      <c r="P627" s="193"/>
      <c r="Q627" s="193"/>
      <c r="R627" s="193"/>
      <c r="S627" s="193"/>
      <c r="T627" s="193"/>
      <c r="U627" s="193"/>
      <c r="V627" s="193"/>
      <c r="W627" s="193"/>
      <c r="X627" s="193"/>
      <c r="Y627" s="193"/>
      <c r="Z627" s="193"/>
    </row>
    <row r="628" customFormat="false" ht="15.75" hidden="false" customHeight="false" outlineLevel="0" collapsed="false">
      <c r="A628" s="193" t="str">
        <f aca="false">IFERROR(__xludf.dummyfunction("""COMPUTED_VALUE"""),"Will Barton")</f>
        <v>Will Barton</v>
      </c>
      <c r="B628" s="271" t="str">
        <f aca="false">IFERROR(__xludf.dummyfunction("""COMPUTED_VALUE"""),"Toronto Raptors")</f>
        <v>Toronto Raptors</v>
      </c>
      <c r="C628" s="272" t="n">
        <f aca="false">IFERROR(__xludf.dummyfunction("""COMPUTED_VALUE"""),2087519)</f>
        <v>2087519</v>
      </c>
      <c r="D628" s="271" t="str">
        <f aca="false">IFERROR(__xludf.dummyfunction("""COMPUTED_VALUE"""),"UFA - Non-Bird")</f>
        <v>UFA - Non-Bird</v>
      </c>
      <c r="E628" s="272" t="n">
        <f aca="false">IFERROR(__xludf.dummyfunction("""COMPUTED_VALUE"""),2296274)</f>
        <v>2296274</v>
      </c>
      <c r="F628" s="271" t="str">
        <f aca="false">IFERROR(__xludf.dummyfunction("""COMPUTED_VALUE"""),"UFA - Non-Bird")</f>
        <v>UFA - Non-Bird</v>
      </c>
      <c r="G628" s="273"/>
      <c r="H628" s="193"/>
      <c r="I628" s="273"/>
      <c r="J628" s="193"/>
      <c r="K628" s="273"/>
      <c r="L628" s="193"/>
      <c r="M628" s="273"/>
      <c r="N628" s="193"/>
      <c r="O628" s="193" t="n">
        <f aca="false">IFERROR(__xludf.dummyfunction("""COMPUTED_VALUE"""),1)</f>
        <v>1</v>
      </c>
      <c r="P628" s="193"/>
      <c r="Q628" s="193"/>
      <c r="R628" s="193"/>
      <c r="S628" s="193"/>
      <c r="T628" s="193"/>
      <c r="U628" s="193"/>
      <c r="V628" s="193"/>
      <c r="W628" s="193"/>
      <c r="X628" s="193"/>
      <c r="Y628" s="193"/>
      <c r="Z628" s="193"/>
    </row>
    <row r="629" customFormat="false" ht="15.75" hidden="false" customHeight="false" outlineLevel="0" collapsed="false">
      <c r="A629" s="193" t="str">
        <f aca="false">IFERROR(__xludf.dummyfunction("""COMPUTED_VALUE"""),"Alec Burks")</f>
        <v>Alec Burks</v>
      </c>
      <c r="B629" s="271" t="str">
        <f aca="false">IFERROR(__xludf.dummyfunction("""COMPUTED_VALUE"""),"Toronto Raptors")</f>
        <v>Toronto Raptors</v>
      </c>
      <c r="C629" s="272" t="n">
        <f aca="false">IFERROR(__xludf.dummyfunction("""COMPUTED_VALUE"""),2087519)</f>
        <v>2087519</v>
      </c>
      <c r="D629" s="193"/>
      <c r="E629" s="272" t="n">
        <f aca="false">IFERROR(__xludf.dummyfunction("""COMPUTED_VALUE"""),2296271)</f>
        <v>2296271</v>
      </c>
      <c r="F629" s="193"/>
      <c r="G629" s="272" t="n">
        <f aca="false">IFERROR(__xludf.dummyfunction("""COMPUTED_VALUE"""),2525898.1)</f>
        <v>2525898.1</v>
      </c>
      <c r="H629" s="193" t="str">
        <f aca="false">IFERROR(__xludf.dummyfunction("""COMPUTED_VALUE"""),"UFA - Non-Bird")</f>
        <v>UFA - Non-Bird</v>
      </c>
      <c r="I629" s="273"/>
      <c r="J629" s="193"/>
      <c r="K629" s="273"/>
      <c r="L629" s="193"/>
      <c r="M629" s="273"/>
      <c r="N629" s="193"/>
      <c r="O629" s="193" t="n">
        <f aca="false">IFERROR(__xludf.dummyfunction("""COMPUTED_VALUE"""),1)</f>
        <v>1</v>
      </c>
      <c r="P629" s="193"/>
      <c r="Q629" s="193"/>
      <c r="R629" s="193"/>
      <c r="S629" s="193"/>
      <c r="T629" s="193"/>
      <c r="U629" s="193"/>
      <c r="V629" s="193"/>
      <c r="W629" s="193"/>
      <c r="X629" s="193"/>
      <c r="Y629" s="193"/>
      <c r="Z629" s="193"/>
    </row>
    <row r="630" customFormat="false" ht="15.75" hidden="false" customHeight="false" outlineLevel="0" collapsed="false">
      <c r="A630" s="193" t="str">
        <f aca="false">IFERROR(__xludf.dummyfunction("""COMPUTED_VALUE"""),"Jonathan Mogbo")</f>
        <v>Jonathan Mogbo</v>
      </c>
      <c r="B630" s="271" t="str">
        <f aca="false">IFERROR(__xludf.dummyfunction("""COMPUTED_VALUE"""),"Toronto Raptors")</f>
        <v>Toronto Raptors</v>
      </c>
      <c r="C630" s="272" t="n">
        <f aca="false">IFERROR(__xludf.dummyfunction("""COMPUTED_VALUE"""),1862265)</f>
        <v>1862265</v>
      </c>
      <c r="D630" s="193"/>
      <c r="E630" s="272" t="n">
        <f aca="false">IFERROR(__xludf.dummyfunction("""COMPUTED_VALUE"""),1955377)</f>
        <v>1955377</v>
      </c>
      <c r="F630" s="193"/>
      <c r="G630" s="272" t="n">
        <f aca="false">IFERROR(__xludf.dummyfunction("""COMPUTED_VALUE"""),2296271)</f>
        <v>2296271</v>
      </c>
      <c r="H630" s="271" t="str">
        <f aca="false">IFERROR(__xludf.dummyfunction("""COMPUTED_VALUE"""),"Club Option")</f>
        <v>Club Option</v>
      </c>
      <c r="I630" s="272" t="n">
        <f aca="false">IFERROR(__xludf.dummyfunction("""COMPUTED_VALUE"""),3099966)</f>
        <v>3099966</v>
      </c>
      <c r="J630" s="271" t="str">
        <f aca="false">IFERROR(__xludf.dummyfunction("""COMPUTED_VALUE"""),"RFA - Bird")</f>
        <v>RFA - Bird</v>
      </c>
      <c r="K630" s="273"/>
      <c r="L630" s="193"/>
      <c r="M630" s="273"/>
      <c r="N630" s="193"/>
      <c r="O630" s="193" t="n">
        <f aca="false">IFERROR(__xludf.dummyfunction("""COMPUTED_VALUE"""),1)</f>
        <v>1</v>
      </c>
      <c r="P630" s="193"/>
      <c r="Q630" s="193"/>
      <c r="R630" s="193"/>
      <c r="S630" s="193"/>
      <c r="T630" s="193"/>
      <c r="U630" s="193"/>
      <c r="V630" s="193"/>
      <c r="W630" s="193"/>
      <c r="X630" s="193"/>
      <c r="Y630" s="193"/>
      <c r="Z630" s="193"/>
    </row>
    <row r="631" customFormat="false" ht="15.75" hidden="false" customHeight="false" outlineLevel="0" collapsed="false">
      <c r="A631" s="193" t="str">
        <f aca="false">IFERROR(__xludf.dummyfunction("""COMPUTED_VALUE"""),"Ryan Kalkbrenner (R)")</f>
        <v>Ryan Kalkbrenner (R)</v>
      </c>
      <c r="B631" s="271" t="str">
        <f aca="false">IFERROR(__xludf.dummyfunction("""COMPUTED_VALUE"""),"Toronto Raptors")</f>
        <v>Toronto Raptors</v>
      </c>
      <c r="C631" s="273"/>
      <c r="D631" s="193"/>
      <c r="E631" s="272" t="n">
        <f aca="false">IFERROR(__xludf.dummyfunction("""COMPUTED_VALUE"""),1272869)</f>
        <v>1272869</v>
      </c>
      <c r="F631" s="193"/>
      <c r="G631" s="272" t="n">
        <f aca="false">IFERROR(__xludf.dummyfunction("""COMPUTED_VALUE"""),2150915.55)</f>
        <v>2150915.55</v>
      </c>
      <c r="H631" s="271" t="str">
        <f aca="false">IFERROR(__xludf.dummyfunction("""COMPUTED_VALUE"""),"Non Guaranteed")</f>
        <v>Non Guaranteed</v>
      </c>
      <c r="I631" s="272" t="n">
        <f aca="false">IFERROR(__xludf.dummyfunction("""COMPUTED_VALUE"""),2525899)</f>
        <v>2525899</v>
      </c>
      <c r="J631" s="271" t="str">
        <f aca="false">IFERROR(__xludf.dummyfunction("""COMPUTED_VALUE"""),"Non Guaranteed")</f>
        <v>Non Guaranteed</v>
      </c>
      <c r="K631" s="272" t="n">
        <f aca="false">IFERROR(__xludf.dummyfunction("""COMPUTED_VALUE"""),2735801.21)</f>
        <v>2735801.21</v>
      </c>
      <c r="L631" s="271" t="str">
        <f aca="false">IFERROR(__xludf.dummyfunction("""COMPUTED_VALUE"""),"Club Option")</f>
        <v>Club Option</v>
      </c>
      <c r="M631" s="272" t="n">
        <f aca="false">IFERROR(__xludf.dummyfunction("""COMPUTED_VALUE"""),5197819.55)</f>
        <v>5197819.55</v>
      </c>
      <c r="N631" s="271" t="str">
        <f aca="false">IFERROR(__xludf.dummyfunction("""COMPUTED_VALUE"""),"UFA - Bird")</f>
        <v>UFA - Bird</v>
      </c>
      <c r="O631" s="193" t="n">
        <f aca="false">IFERROR(__xludf.dummyfunction("""COMPUTED_VALUE"""),1)</f>
        <v>1</v>
      </c>
      <c r="P631" s="193"/>
      <c r="Q631" s="193"/>
      <c r="R631" s="193"/>
      <c r="S631" s="193"/>
      <c r="T631" s="193"/>
      <c r="U631" s="193"/>
      <c r="V631" s="193"/>
      <c r="W631" s="193"/>
      <c r="X631" s="193"/>
      <c r="Y631" s="193"/>
      <c r="Z631" s="193"/>
    </row>
    <row r="632" customFormat="false" ht="15.75" hidden="false" customHeight="false" outlineLevel="0" collapsed="false">
      <c r="A632" s="193" t="str">
        <f aca="false">IFERROR(__xludf.dummyfunction("""COMPUTED_VALUE"""),"A.J. Lawson")</f>
        <v>A.J. Lawson</v>
      </c>
      <c r="B632" s="271" t="str">
        <f aca="false">IFERROR(__xludf.dummyfunction("""COMPUTED_VALUE"""),"Toronto Raptors")</f>
        <v>Toronto Raptors</v>
      </c>
      <c r="C632" s="272" t="n">
        <f aca="false">IFERROR(__xludf.dummyfunction("""COMPUTED_VALUE"""),100000)</f>
        <v>100000</v>
      </c>
      <c r="D632" s="193"/>
      <c r="E632" s="273"/>
      <c r="F632" s="193" t="str">
        <f aca="false">IFERROR(__xludf.dummyfunction("""COMPUTED_VALUE"""),"UFA - Rights Renounced")</f>
        <v>UFA - Rights Renounced</v>
      </c>
      <c r="G632" s="273"/>
      <c r="H632" s="193"/>
      <c r="I632" s="272" t="str">
        <f aca="false">IFERROR(__xludf.dummyfunction("""COMPUTED_VALUE"""),"")</f>
        <v/>
      </c>
      <c r="J632" s="193"/>
      <c r="K632" s="273"/>
      <c r="L632" s="193"/>
      <c r="M632" s="273"/>
      <c r="N632" s="193"/>
      <c r="O632" s="193" t="n">
        <f aca="false">IFERROR(__xludf.dummyfunction("""COMPUTED_VALUE"""),1)</f>
        <v>1</v>
      </c>
      <c r="P632" s="193"/>
      <c r="Q632" s="193"/>
      <c r="R632" s="193"/>
      <c r="S632" s="193"/>
      <c r="T632" s="193"/>
      <c r="U632" s="193"/>
      <c r="V632" s="193"/>
      <c r="W632" s="193"/>
      <c r="X632" s="193"/>
      <c r="Y632" s="193"/>
      <c r="Z632" s="193"/>
    </row>
    <row r="633" customFormat="false" ht="15.75" hidden="false" customHeight="false" outlineLevel="0" collapsed="false">
      <c r="A633" s="193" t="str">
        <f aca="false">IFERROR(__xludf.dummyfunction("""COMPUTED_VALUE"""),"Garrett Temple")</f>
        <v>Garrett Temple</v>
      </c>
      <c r="B633" s="271" t="str">
        <f aca="false">IFERROR(__xludf.dummyfunction("""COMPUTED_VALUE"""),"Toronto Raptors")</f>
        <v>Toronto Raptors</v>
      </c>
      <c r="C633" s="272" t="n">
        <f aca="false">IFERROR(__xludf.dummyfunction("""COMPUTED_VALUE"""),2087519)</f>
        <v>2087519</v>
      </c>
      <c r="D633" s="193"/>
      <c r="E633" s="273"/>
      <c r="F633" s="193" t="str">
        <f aca="false">IFERROR(__xludf.dummyfunction("""COMPUTED_VALUE"""),"UFA - Rights Renounced")</f>
        <v>UFA - Rights Renounced</v>
      </c>
      <c r="G633" s="272" t="str">
        <f aca="false">IFERROR(__xludf.dummyfunction("""COMPUTED_VALUE"""),"")</f>
        <v/>
      </c>
      <c r="H633" s="193"/>
      <c r="I633" s="272" t="str">
        <f aca="false">IFERROR(__xludf.dummyfunction("""COMPUTED_VALUE"""),"")</f>
        <v/>
      </c>
      <c r="J633" s="193"/>
      <c r="K633" s="273"/>
      <c r="L633" s="193"/>
      <c r="M633" s="273"/>
      <c r="N633" s="193"/>
      <c r="O633" s="193" t="n">
        <f aca="false">IFERROR(__xludf.dummyfunction("""COMPUTED_VALUE"""),1)</f>
        <v>1</v>
      </c>
      <c r="P633" s="193"/>
      <c r="Q633" s="193"/>
      <c r="R633" s="193"/>
      <c r="S633" s="193"/>
      <c r="T633" s="193"/>
      <c r="U633" s="193"/>
      <c r="V633" s="193"/>
      <c r="W633" s="193"/>
      <c r="X633" s="193"/>
      <c r="Y633" s="193"/>
      <c r="Z633" s="193"/>
    </row>
    <row r="634" customFormat="false" ht="15.75" hidden="false" customHeight="false" outlineLevel="0" collapsed="false">
      <c r="A634" s="193" t="str">
        <f aca="false">IFERROR(__xludf.dummyfunction("""COMPUTED_VALUE"""),"Emoni Bates")</f>
        <v>Emoni Bates</v>
      </c>
      <c r="B634" s="271" t="str">
        <f aca="false">IFERROR(__xludf.dummyfunction("""COMPUTED_VALUE"""),"Utah Jazz")</f>
        <v>Utah Jazz</v>
      </c>
      <c r="C634" s="272" t="str">
        <f aca="false">IFERROR(__xludf.dummyfunction("""COMPUTED_VALUE"""),"Two-way")</f>
        <v>Two-way</v>
      </c>
      <c r="D634" s="271" t="str">
        <f aca="false">IFERROR(__xludf.dummyfunction("""COMPUTED_VALUE"""),"Two-way")</f>
        <v>Two-way</v>
      </c>
      <c r="E634" s="272" t="str">
        <f aca="false">IFERROR(__xludf.dummyfunction("""COMPUTED_VALUE"""),"Two-way")</f>
        <v>Two-way</v>
      </c>
      <c r="F634" s="271" t="str">
        <f aca="false">IFERROR(__xludf.dummyfunction("""COMPUTED_VALUE"""),"Two-way")</f>
        <v>Two-way</v>
      </c>
      <c r="G634" s="272" t="n">
        <f aca="false">IFERROR(__xludf.dummyfunction("""COMPUTED_VALUE"""),2253346)</f>
        <v>2253346</v>
      </c>
      <c r="H634" s="271" t="str">
        <f aca="false">IFERROR(__xludf.dummyfunction("""COMPUTED_VALUE"""),"UFA - Two-way")</f>
        <v>UFA - Two-way</v>
      </c>
      <c r="I634" s="273"/>
      <c r="J634" s="193"/>
      <c r="K634" s="273"/>
      <c r="L634" s="193"/>
      <c r="M634" s="273"/>
      <c r="N634" s="193"/>
      <c r="O634" s="193" t="n">
        <f aca="false">IFERROR(__xludf.dummyfunction("""COMPUTED_VALUE"""),1)</f>
        <v>1</v>
      </c>
      <c r="P634" s="193"/>
      <c r="Q634" s="193"/>
      <c r="R634" s="193"/>
      <c r="S634" s="193"/>
      <c r="T634" s="193"/>
      <c r="U634" s="193"/>
      <c r="V634" s="193"/>
      <c r="W634" s="193"/>
      <c r="X634" s="193"/>
      <c r="Y634" s="193"/>
      <c r="Z634" s="193"/>
    </row>
    <row r="635" customFormat="false" ht="15.75" hidden="false" customHeight="false" outlineLevel="0" collapsed="false">
      <c r="A635" s="193" t="str">
        <f aca="false">IFERROR(__xludf.dummyfunction("""COMPUTED_VALUE"""),"Bryce Cotton ")</f>
        <v>Bryce Cotton</v>
      </c>
      <c r="B635" s="271" t="str">
        <f aca="false">IFERROR(__xludf.dummyfunction("""COMPUTED_VALUE"""),"Utah Jazz")</f>
        <v>Utah Jazz</v>
      </c>
      <c r="C635" s="272" t="str">
        <f aca="false">IFERROR(__xludf.dummyfunction("""COMPUTED_VALUE"""),"Two-way")</f>
        <v>Two-way</v>
      </c>
      <c r="D635" s="271" t="str">
        <f aca="false">IFERROR(__xludf.dummyfunction("""COMPUTED_VALUE"""),"Two-way")</f>
        <v>Two-way</v>
      </c>
      <c r="E635" s="272" t="str">
        <f aca="false">IFERROR(__xludf.dummyfunction("""COMPUTED_VALUE"""),"Two-way")</f>
        <v>Two-way</v>
      </c>
      <c r="F635" s="271" t="str">
        <f aca="false">IFERROR(__xludf.dummyfunction("""COMPUTED_VALUE"""),"Two-way")</f>
        <v>Two-way</v>
      </c>
      <c r="G635" s="272" t="n">
        <f aca="false">IFERROR(__xludf.dummyfunction("""COMPUTED_VALUE"""),2253346)</f>
        <v>2253346</v>
      </c>
      <c r="H635" s="271" t="str">
        <f aca="false">IFERROR(__xludf.dummyfunction("""COMPUTED_VALUE"""),"UFA - Two-way")</f>
        <v>UFA - Two-way</v>
      </c>
      <c r="I635" s="273"/>
      <c r="J635" s="193"/>
      <c r="K635" s="273"/>
      <c r="L635" s="193"/>
      <c r="M635" s="273"/>
      <c r="N635" s="193"/>
      <c r="O635" s="193" t="n">
        <f aca="false">IFERROR(__xludf.dummyfunction("""COMPUTED_VALUE"""),1)</f>
        <v>1</v>
      </c>
      <c r="P635" s="193"/>
      <c r="Q635" s="193"/>
      <c r="R635" s="193"/>
      <c r="S635" s="193"/>
      <c r="T635" s="193"/>
      <c r="U635" s="193"/>
      <c r="V635" s="193"/>
      <c r="W635" s="193"/>
      <c r="X635" s="193"/>
      <c r="Y635" s="193"/>
      <c r="Z635" s="193"/>
    </row>
    <row r="636" customFormat="false" ht="15.75" hidden="false" customHeight="false" outlineLevel="0" collapsed="false">
      <c r="A636" s="193" t="str">
        <f aca="false">IFERROR(__xludf.dummyfunction("""COMPUTED_VALUE"""),"Oscar Tshiebwe (R)")</f>
        <v>Oscar Tshiebwe (R)</v>
      </c>
      <c r="B636" s="271" t="str">
        <f aca="false">IFERROR(__xludf.dummyfunction("""COMPUTED_VALUE"""),"Utah Jazz")</f>
        <v>Utah Jazz</v>
      </c>
      <c r="C636" s="272" t="str">
        <f aca="false">IFERROR(__xludf.dummyfunction("""COMPUTED_VALUE"""),"Two-way")</f>
        <v>Two-way</v>
      </c>
      <c r="D636" s="271" t="str">
        <f aca="false">IFERROR(__xludf.dummyfunction("""COMPUTED_VALUE"""),"Two-way")</f>
        <v>Two-way</v>
      </c>
      <c r="E636" s="272" t="str">
        <f aca="false">IFERROR(__xludf.dummyfunction("""COMPUTED_VALUE"""),"Two-way")</f>
        <v>Two-way</v>
      </c>
      <c r="F636" s="271" t="str">
        <f aca="false">IFERROR(__xludf.dummyfunction("""COMPUTED_VALUE"""),"Two-way")</f>
        <v>Two-way</v>
      </c>
      <c r="G636" s="272" t="n">
        <f aca="false">IFERROR(__xludf.dummyfunction("""COMPUTED_VALUE"""),2253346)</f>
        <v>2253346</v>
      </c>
      <c r="H636" s="271" t="str">
        <f aca="false">IFERROR(__xludf.dummyfunction("""COMPUTED_VALUE"""),"UFA - Two-way")</f>
        <v>UFA - Two-way</v>
      </c>
      <c r="I636" s="273"/>
      <c r="J636" s="193"/>
      <c r="K636" s="273"/>
      <c r="L636" s="193"/>
      <c r="M636" s="273"/>
      <c r="N636" s="193"/>
      <c r="O636" s="193" t="n">
        <f aca="false">IFERROR(__xludf.dummyfunction("""COMPUTED_VALUE"""),1)</f>
        <v>1</v>
      </c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</row>
    <row r="637" customFormat="false" ht="15.75" hidden="false" customHeight="false" outlineLevel="0" collapsed="false">
      <c r="A637" s="193" t="str">
        <f aca="false">IFERROR(__xludf.dummyfunction("""COMPUTED_VALUE"""),"Jalen Green")</f>
        <v>Jalen Green</v>
      </c>
      <c r="B637" s="271" t="str">
        <f aca="false">IFERROR(__xludf.dummyfunction("""COMPUTED_VALUE"""),"Utah Jazz")</f>
        <v>Utah Jazz</v>
      </c>
      <c r="C637" s="273"/>
      <c r="D637" s="193"/>
      <c r="E637" s="272" t="n">
        <f aca="false">IFERROR(__xludf.dummyfunction("""COMPUTED_VALUE"""),33333333)</f>
        <v>33333333</v>
      </c>
      <c r="F637" s="193"/>
      <c r="G637" s="272" t="n">
        <f aca="false">IFERROR(__xludf.dummyfunction("""COMPUTED_VALUE"""),36000000)</f>
        <v>36000000</v>
      </c>
      <c r="H637" s="193"/>
      <c r="I637" s="272" t="n">
        <f aca="false">IFERROR(__xludf.dummyfunction("""COMPUTED_VALUE"""),36000000)</f>
        <v>36000000</v>
      </c>
      <c r="J637" s="271" t="str">
        <f aca="false">IFERROR(__xludf.dummyfunction("""COMPUTED_VALUE"""),"Player Option")</f>
        <v>Player Option</v>
      </c>
      <c r="K637" s="272" t="n">
        <f aca="false">IFERROR(__xludf.dummyfunction("""COMPUTED_VALUE"""),54000000)</f>
        <v>54000000</v>
      </c>
      <c r="L637" s="271" t="str">
        <f aca="false">IFERROR(__xludf.dummyfunction("""COMPUTED_VALUE"""),"UFA - Bird")</f>
        <v>UFA - Bird</v>
      </c>
      <c r="M637" s="273"/>
      <c r="N637" s="193"/>
      <c r="O637" s="193" t="n">
        <f aca="false">IFERROR(__xludf.dummyfunction("""COMPUTED_VALUE"""),1)</f>
        <v>1</v>
      </c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</row>
    <row r="638" customFormat="false" ht="15.75" hidden="false" customHeight="false" outlineLevel="0" collapsed="false">
      <c r="A638" s="193" t="str">
        <f aca="false">IFERROR(__xludf.dummyfunction("""COMPUTED_VALUE"""),"Jonathan Kuminga")</f>
        <v>Jonathan Kuminga</v>
      </c>
      <c r="B638" s="271" t="str">
        <f aca="false">IFERROR(__xludf.dummyfunction("""COMPUTED_VALUE"""),"Utah Jazz")</f>
        <v>Utah Jazz</v>
      </c>
      <c r="C638" s="272" t="n">
        <f aca="false">IFERROR(__xludf.dummyfunction("""COMPUTED_VALUE"""),7636307)</f>
        <v>7636307</v>
      </c>
      <c r="D638" s="193"/>
      <c r="E638" s="272" t="n">
        <f aca="false">IFERROR(__xludf.dummyfunction("""COMPUTED_VALUE"""),31000000)</f>
        <v>31000000</v>
      </c>
      <c r="F638" s="193"/>
      <c r="G638" s="272" t="n">
        <f aca="false">IFERROR(__xludf.dummyfunction("""COMPUTED_VALUE"""),32550000)</f>
        <v>32550000</v>
      </c>
      <c r="H638" s="193"/>
      <c r="I638" s="272" t="n">
        <f aca="false">IFERROR(__xludf.dummyfunction("""COMPUTED_VALUE"""),34100000)</f>
        <v>34100000</v>
      </c>
      <c r="J638" s="193"/>
      <c r="K638" s="272" t="n">
        <f aca="false">IFERROR(__xludf.dummyfunction("""COMPUTED_VALUE"""),35650000)</f>
        <v>35650000</v>
      </c>
      <c r="L638" s="271" t="str">
        <f aca="false">IFERROR(__xludf.dummyfunction("""COMPUTED_VALUE"""),"Club Option")</f>
        <v>Club Option</v>
      </c>
      <c r="M638" s="272" t="n">
        <f aca="false">IFERROR(__xludf.dummyfunction("""COMPUTED_VALUE"""),53475000)</f>
        <v>53475000</v>
      </c>
      <c r="N638" s="271" t="str">
        <f aca="false">IFERROR(__xludf.dummyfunction("""COMPUTED_VALUE"""),"UFA - Bird")</f>
        <v>UFA - Bird</v>
      </c>
      <c r="O638" s="193" t="n">
        <f aca="false">IFERROR(__xludf.dummyfunction("""COMPUTED_VALUE"""),1)</f>
        <v>1</v>
      </c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</row>
    <row r="639" customFormat="false" ht="15.75" hidden="false" customHeight="false" outlineLevel="0" collapsed="false">
      <c r="A639" s="193" t="str">
        <f aca="false">IFERROR(__xludf.dummyfunction("""COMPUTED_VALUE"""),"Kristaps Porzingis")</f>
        <v>Kristaps Porzingis</v>
      </c>
      <c r="B639" s="271" t="str">
        <f aca="false">IFERROR(__xludf.dummyfunction("""COMPUTED_VALUE"""),"Utah Jazz")</f>
        <v>Utah Jazz</v>
      </c>
      <c r="C639" s="273"/>
      <c r="D639" s="193"/>
      <c r="E639" s="272" t="n">
        <f aca="false">IFERROR(__xludf.dummyfunction("""COMPUTED_VALUE"""),30731707)</f>
        <v>30731707</v>
      </c>
      <c r="F639" s="193"/>
      <c r="G639" s="272" t="n">
        <f aca="false">IFERROR(__xludf.dummyfunction("""COMPUTED_VALUE"""),46097561)</f>
        <v>46097561</v>
      </c>
      <c r="H639" s="193" t="str">
        <f aca="false">IFERROR(__xludf.dummyfunction("""COMPUTED_VALUE"""),"UFA - Bird")</f>
        <v>UFA - Bird</v>
      </c>
      <c r="I639" s="272" t="str">
        <f aca="false">IFERROR(__xludf.dummyfunction("""COMPUTED_VALUE"""),"")</f>
        <v/>
      </c>
      <c r="J639" s="193"/>
      <c r="K639" s="273"/>
      <c r="L639" s="193"/>
      <c r="M639" s="273"/>
      <c r="N639" s="193"/>
      <c r="O639" s="193" t="n">
        <f aca="false">IFERROR(__xludf.dummyfunction("""COMPUTED_VALUE"""),1)</f>
        <v>1</v>
      </c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</row>
    <row r="640" customFormat="false" ht="15.75" hidden="false" customHeight="false" outlineLevel="0" collapsed="false">
      <c r="A640" s="193" t="str">
        <f aca="false">IFERROR(__xludf.dummyfunction("""COMPUTED_VALUE"""),"Kyle Kuzma")</f>
        <v>Kyle Kuzma</v>
      </c>
      <c r="B640" s="271" t="str">
        <f aca="false">IFERROR(__xludf.dummyfunction("""COMPUTED_VALUE"""),"Utah Jazz")</f>
        <v>Utah Jazz</v>
      </c>
      <c r="C640" s="273"/>
      <c r="D640" s="193"/>
      <c r="E640" s="272" t="n">
        <f aca="false">IFERROR(__xludf.dummyfunction("""COMPUTED_VALUE"""),22410605)</f>
        <v>22410605</v>
      </c>
      <c r="F640" s="193"/>
      <c r="G640" s="272" t="n">
        <f aca="false">IFERROR(__xludf.dummyfunction("""COMPUTED_VALUE"""),20365152)</f>
        <v>20365152</v>
      </c>
      <c r="H640" s="193"/>
      <c r="I640" s="272" t="n">
        <f aca="false">IFERROR(__xludf.dummyfunction("""COMPUTED_VALUE"""),29147727)</f>
        <v>29147727</v>
      </c>
      <c r="J640" s="193" t="str">
        <f aca="false">IFERROR(__xludf.dummyfunction("""COMPUTED_VALUE"""),"UFA - Bird")</f>
        <v>UFA - Bird</v>
      </c>
      <c r="K640" s="273"/>
      <c r="L640" s="193"/>
      <c r="M640" s="273"/>
      <c r="N640" s="193"/>
      <c r="O640" s="193" t="n">
        <f aca="false">IFERROR(__xludf.dummyfunction("""COMPUTED_VALUE"""),1)</f>
        <v>1</v>
      </c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</row>
    <row r="641" customFormat="false" ht="15.75" hidden="false" customHeight="false" outlineLevel="0" collapsed="false">
      <c r="A641" s="193" t="str">
        <f aca="false">IFERROR(__xludf.dummyfunction("""COMPUTED_VALUE"""),"Luke Kennard")</f>
        <v>Luke Kennard</v>
      </c>
      <c r="B641" s="271" t="str">
        <f aca="false">IFERROR(__xludf.dummyfunction("""COMPUTED_VALUE"""),"Utah Jazz")</f>
        <v>Utah Jazz</v>
      </c>
      <c r="C641" s="272" t="n">
        <f aca="false">IFERROR(__xludf.dummyfunction("""COMPUTED_VALUE"""),9250000)</f>
        <v>9250000</v>
      </c>
      <c r="D641" s="193"/>
      <c r="E641" s="272" t="n">
        <f aca="false">IFERROR(__xludf.dummyfunction("""COMPUTED_VALUE"""),14103787.91)</f>
        <v>14103787.91</v>
      </c>
      <c r="F641" s="193"/>
      <c r="G641" s="272" t="n">
        <f aca="false">IFERROR(__xludf.dummyfunction("""COMPUTED_VALUE"""),14808977.3)</f>
        <v>14808977.3</v>
      </c>
      <c r="H641" s="193"/>
      <c r="I641" s="272" t="n">
        <f aca="false">IFERROR(__xludf.dummyfunction("""COMPUTED_VALUE"""),15514166.7)</f>
        <v>15514166.7</v>
      </c>
      <c r="J641" s="193"/>
      <c r="K641" s="272" t="n">
        <f aca="false">IFERROR(__xludf.dummyfunction("""COMPUTED_VALUE"""),16219356.09)</f>
        <v>16219356.09</v>
      </c>
      <c r="L641" s="271" t="str">
        <f aca="false">IFERROR(__xludf.dummyfunction("""COMPUTED_VALUE"""),"Player Option")</f>
        <v>Player Option</v>
      </c>
      <c r="M641" s="272" t="n">
        <f aca="false">IFERROR(__xludf.dummyfunction("""COMPUTED_VALUE"""),30816776.58)</f>
        <v>30816776.58</v>
      </c>
      <c r="N641" s="271" t="str">
        <f aca="false">IFERROR(__xludf.dummyfunction("""COMPUTED_VALUE"""),"UFA - Bird")</f>
        <v>UFA - Bird</v>
      </c>
      <c r="O641" s="193" t="n">
        <f aca="false">IFERROR(__xludf.dummyfunction("""COMPUTED_VALUE"""),1)</f>
        <v>1</v>
      </c>
      <c r="P641" s="193"/>
      <c r="Q641" s="193"/>
      <c r="R641" s="193"/>
      <c r="S641" s="193"/>
      <c r="T641" s="193"/>
      <c r="U641" s="193"/>
      <c r="V641" s="193"/>
      <c r="W641" s="193"/>
      <c r="X641" s="193"/>
      <c r="Y641" s="193"/>
      <c r="Z641" s="193"/>
    </row>
    <row r="642" customFormat="false" ht="15.75" hidden="false" customHeight="false" outlineLevel="0" collapsed="false">
      <c r="A642" s="193" t="str">
        <f aca="false">IFERROR(__xludf.dummyfunction("""COMPUTED_VALUE"""),"Dylan Harper (R)")</f>
        <v>Dylan Harper (R)</v>
      </c>
      <c r="B642" s="271" t="str">
        <f aca="false">IFERROR(__xludf.dummyfunction("""COMPUTED_VALUE"""),"Utah Jazz")</f>
        <v>Utah Jazz</v>
      </c>
      <c r="C642" s="273"/>
      <c r="D642" s="193"/>
      <c r="E642" s="272" t="n">
        <f aca="false">IFERROR(__xludf.dummyfunction("""COMPUTED_VALUE"""),12370200)</f>
        <v>12370200</v>
      </c>
      <c r="F642" s="193"/>
      <c r="G642" s="272" t="n">
        <f aca="false">IFERROR(__xludf.dummyfunction("""COMPUTED_VALUE"""),12989040)</f>
        <v>12989040</v>
      </c>
      <c r="H642" s="193"/>
      <c r="I642" s="272" t="n">
        <f aca="false">IFERROR(__xludf.dummyfunction("""COMPUTED_VALUE"""),13607760)</f>
        <v>13607760</v>
      </c>
      <c r="J642" s="271" t="str">
        <f aca="false">IFERROR(__xludf.dummyfunction("""COMPUTED_VALUE"""),"Club Option")</f>
        <v>Club Option</v>
      </c>
      <c r="K642" s="272" t="n">
        <f aca="false">IFERROR(__xludf.dummyfunction("""COMPUTED_VALUE"""),17172993.12)</f>
        <v>17172993.12</v>
      </c>
      <c r="L642" s="271" t="str">
        <f aca="false">IFERROR(__xludf.dummyfunction("""COMPUTED_VALUE"""),"Club Option")</f>
        <v>Club Option</v>
      </c>
      <c r="M642" s="272" t="n">
        <f aca="false">IFERROR(__xludf.dummyfunction("""COMPUTED_VALUE"""),51518979.36)</f>
        <v>51518979.36</v>
      </c>
      <c r="N642" s="271" t="str">
        <f aca="false">IFERROR(__xludf.dummyfunction("""COMPUTED_VALUE"""),"RFA - Bird")</f>
        <v>RFA - Bird</v>
      </c>
      <c r="O642" s="193" t="n">
        <f aca="false">IFERROR(__xludf.dummyfunction("""COMPUTED_VALUE"""),1)</f>
        <v>1</v>
      </c>
      <c r="P642" s="193"/>
      <c r="Q642" s="193"/>
      <c r="R642" s="193"/>
      <c r="S642" s="193"/>
      <c r="T642" s="193"/>
      <c r="U642" s="193"/>
      <c r="V642" s="193"/>
      <c r="W642" s="193"/>
      <c r="X642" s="193"/>
      <c r="Y642" s="193"/>
      <c r="Z642" s="193"/>
    </row>
    <row r="643" customFormat="false" ht="15.75" hidden="false" customHeight="false" outlineLevel="0" collapsed="false">
      <c r="A643" s="193" t="str">
        <f aca="false">IFERROR(__xludf.dummyfunction("""COMPUTED_VALUE"""),"Reed Sheppard")</f>
        <v>Reed Sheppard</v>
      </c>
      <c r="B643" s="271" t="str">
        <f aca="false">IFERROR(__xludf.dummyfunction("""COMPUTED_VALUE"""),"Utah Jazz")</f>
        <v>Utah Jazz</v>
      </c>
      <c r="C643" s="273"/>
      <c r="D643" s="193"/>
      <c r="E643" s="272" t="n">
        <f aca="false">IFERROR(__xludf.dummyfunction("""COMPUTED_VALUE"""),10603560)</f>
        <v>10603560</v>
      </c>
      <c r="F643" s="193"/>
      <c r="G643" s="272" t="n">
        <f aca="false">IFERROR(__xludf.dummyfunction("""COMPUTED_VALUE"""),11108880)</f>
        <v>11108880</v>
      </c>
      <c r="H643" s="271" t="str">
        <f aca="false">IFERROR(__xludf.dummyfunction("""COMPUTED_VALUE"""),"Club Option")</f>
        <v>Club Option</v>
      </c>
      <c r="I643" s="272" t="n">
        <f aca="false">IFERROR(__xludf.dummyfunction("""COMPUTED_VALUE"""),14041625)</f>
        <v>14041625</v>
      </c>
      <c r="J643" s="271" t="str">
        <f aca="false">IFERROR(__xludf.dummyfunction("""COMPUTED_VALUE"""),"Club Option")</f>
        <v>Club Option</v>
      </c>
      <c r="K643" s="272" t="n">
        <f aca="false">IFERROR(__xludf.dummyfunction("""COMPUTED_VALUE"""),35104063)</f>
        <v>35104063</v>
      </c>
      <c r="L643" s="271" t="str">
        <f aca="false">IFERROR(__xludf.dummyfunction("""COMPUTED_VALUE"""),"RFA - Bird")</f>
        <v>RFA - Bird</v>
      </c>
      <c r="M643" s="273"/>
      <c r="N643" s="193"/>
      <c r="O643" s="193" t="n">
        <f aca="false">IFERROR(__xludf.dummyfunction("""COMPUTED_VALUE"""),1)</f>
        <v>1</v>
      </c>
      <c r="P643" s="193"/>
      <c r="Q643" s="193"/>
      <c r="R643" s="193"/>
      <c r="S643" s="193"/>
      <c r="T643" s="193"/>
      <c r="U643" s="193"/>
      <c r="V643" s="193"/>
      <c r="W643" s="193"/>
      <c r="X643" s="193"/>
      <c r="Y643" s="193"/>
      <c r="Z643" s="193"/>
    </row>
    <row r="644" customFormat="false" ht="15.75" hidden="false" customHeight="false" outlineLevel="0" collapsed="false">
      <c r="A644" s="193" t="str">
        <f aca="false">IFERROR(__xludf.dummyfunction("""COMPUTED_VALUE"""),"Zeke Nnaji")</f>
        <v>Zeke Nnaji</v>
      </c>
      <c r="B644" s="271" t="str">
        <f aca="false">IFERROR(__xludf.dummyfunction("""COMPUTED_VALUE"""),"Utah Jazz")</f>
        <v>Utah Jazz</v>
      </c>
      <c r="C644" s="273"/>
      <c r="D644" s="193"/>
      <c r="E644" s="272" t="n">
        <f aca="false">IFERROR(__xludf.dummyfunction("""COMPUTED_VALUE"""),8177778)</f>
        <v>8177778</v>
      </c>
      <c r="F644" s="193"/>
      <c r="G644" s="272" t="n">
        <f aca="false">IFERROR(__xludf.dummyfunction("""COMPUTED_VALUE"""),7466667)</f>
        <v>7466667</v>
      </c>
      <c r="H644" s="193"/>
      <c r="I644" s="272" t="n">
        <f aca="false">IFERROR(__xludf.dummyfunction("""COMPUTED_VALUE"""),7466667)</f>
        <v>7466667</v>
      </c>
      <c r="J644" s="193" t="str">
        <f aca="false">IFERROR(__xludf.dummyfunction("""COMPUTED_VALUE"""),"Player Option")</f>
        <v>Player Option</v>
      </c>
      <c r="K644" s="272" t="n">
        <f aca="false">IFERROR(__xludf.dummyfunction("""COMPUTED_VALUE"""),14186667)</f>
        <v>14186667</v>
      </c>
      <c r="L644" s="193" t="str">
        <f aca="false">IFERROR(__xludf.dummyfunction("""COMPUTED_VALUE"""),"UFA - Bird")</f>
        <v>UFA - Bird</v>
      </c>
      <c r="M644" s="273"/>
      <c r="N644" s="193"/>
      <c r="O644" s="193" t="n">
        <f aca="false">IFERROR(__xludf.dummyfunction("""COMPUTED_VALUE"""),1)</f>
        <v>1</v>
      </c>
      <c r="P644" s="193"/>
      <c r="Q644" s="193"/>
      <c r="R644" s="193"/>
      <c r="S644" s="193"/>
      <c r="T644" s="193"/>
      <c r="U644" s="193"/>
      <c r="V644" s="193"/>
      <c r="W644" s="193"/>
      <c r="X644" s="193"/>
      <c r="Y644" s="193"/>
      <c r="Z644" s="193"/>
    </row>
    <row r="645" customFormat="false" ht="15.75" hidden="false" customHeight="false" outlineLevel="0" collapsed="false">
      <c r="A645" s="193" t="str">
        <f aca="false">IFERROR(__xludf.dummyfunction("""COMPUTED_VALUE"""),"Derik Queen (R)")</f>
        <v>Derik Queen (R)</v>
      </c>
      <c r="B645" s="271" t="str">
        <f aca="false">IFERROR(__xludf.dummyfunction("""COMPUTED_VALUE"""),"Utah Jazz")</f>
        <v>Utah Jazz</v>
      </c>
      <c r="C645" s="273"/>
      <c r="D645" s="193"/>
      <c r="E645" s="272" t="n">
        <f aca="false">IFERROR(__xludf.dummyfunction("""COMPUTED_VALUE"""),6889200)</f>
        <v>6889200</v>
      </c>
      <c r="F645" s="193"/>
      <c r="G645" s="272" t="n">
        <f aca="false">IFERROR(__xludf.dummyfunction("""COMPUTED_VALUE"""),7233720)</f>
        <v>7233720</v>
      </c>
      <c r="H645" s="193"/>
      <c r="I645" s="272" t="n">
        <f aca="false">IFERROR(__xludf.dummyfunction("""COMPUTED_VALUE"""),7578240)</f>
        <v>7578240</v>
      </c>
      <c r="J645" s="271" t="str">
        <f aca="false">IFERROR(__xludf.dummyfunction("""COMPUTED_VALUE"""),"Club Option")</f>
        <v>Club Option</v>
      </c>
      <c r="K645" s="272" t="n">
        <f aca="false">IFERROR(__xludf.dummyfunction("""COMPUTED_VALUE"""),9639521.28)</f>
        <v>9639521.28</v>
      </c>
      <c r="L645" s="271" t="str">
        <f aca="false">IFERROR(__xludf.dummyfunction("""COMPUTED_VALUE"""),"Club Option")</f>
        <v>Club Option</v>
      </c>
      <c r="M645" s="272" t="n">
        <f aca="false">IFERROR(__xludf.dummyfunction("""COMPUTED_VALUE"""),28918563.84)</f>
        <v>28918563.84</v>
      </c>
      <c r="N645" s="271" t="str">
        <f aca="false">IFERROR(__xludf.dummyfunction("""COMPUTED_VALUE"""),"RFA - Bird")</f>
        <v>RFA - Bird</v>
      </c>
      <c r="O645" s="193" t="n">
        <f aca="false">IFERROR(__xludf.dummyfunction("""COMPUTED_VALUE"""),1)</f>
        <v>1</v>
      </c>
      <c r="P645" s="193"/>
      <c r="Q645" s="193"/>
      <c r="R645" s="193"/>
      <c r="S645" s="193"/>
      <c r="T645" s="193"/>
      <c r="U645" s="193"/>
      <c r="V645" s="193"/>
      <c r="W645" s="193"/>
      <c r="X645" s="193"/>
      <c r="Y645" s="193"/>
      <c r="Z645" s="193"/>
    </row>
    <row r="646" customFormat="false" ht="15.75" hidden="false" customHeight="false" outlineLevel="0" collapsed="false">
      <c r="A646" s="193" t="str">
        <f aca="false">IFERROR(__xludf.dummyfunction("""COMPUTED_VALUE"""),"Blake Wesley")</f>
        <v>Blake Wesley</v>
      </c>
      <c r="B646" s="271" t="str">
        <f aca="false">IFERROR(__xludf.dummyfunction("""COMPUTED_VALUE"""),"Utah Jazz")</f>
        <v>Utah Jazz</v>
      </c>
      <c r="C646" s="272" t="n">
        <f aca="false">IFERROR(__xludf.dummyfunction("""COMPUTED_VALUE"""),2624280)</f>
        <v>2624280</v>
      </c>
      <c r="D646" s="193"/>
      <c r="E646" s="272" t="n">
        <f aca="false">IFERROR(__xludf.dummyfunction("""COMPUTED_VALUE"""),4726328)</f>
        <v>4726328</v>
      </c>
      <c r="F646" s="193"/>
      <c r="G646" s="272" t="n">
        <f aca="false">IFERROR(__xludf.dummyfunction("""COMPUTED_VALUE"""),14178984)</f>
        <v>14178984</v>
      </c>
      <c r="H646" s="271" t="str">
        <f aca="false">IFERROR(__xludf.dummyfunction("""COMPUTED_VALUE"""),"RFA - Bird")</f>
        <v>RFA - Bird</v>
      </c>
      <c r="I646" s="272" t="str">
        <f aca="false">IFERROR(__xludf.dummyfunction("""COMPUTED_VALUE"""),"")</f>
        <v/>
      </c>
      <c r="J646" s="193"/>
      <c r="K646" s="273"/>
      <c r="L646" s="193"/>
      <c r="M646" s="273"/>
      <c r="N646" s="193"/>
      <c r="O646" s="193" t="n">
        <f aca="false">IFERROR(__xludf.dummyfunction("""COMPUTED_VALUE"""),1)</f>
        <v>1</v>
      </c>
      <c r="P646" s="193"/>
      <c r="Q646" s="193"/>
      <c r="R646" s="193"/>
      <c r="S646" s="193"/>
      <c r="T646" s="193"/>
      <c r="U646" s="193"/>
      <c r="V646" s="193"/>
      <c r="W646" s="193"/>
      <c r="X646" s="193"/>
      <c r="Y646" s="193"/>
      <c r="Z646" s="193"/>
    </row>
    <row r="647" customFormat="false" ht="15.75" hidden="false" customHeight="false" outlineLevel="0" collapsed="false">
      <c r="A647" s="193" t="str">
        <f aca="false">IFERROR(__xludf.dummyfunction("""COMPUTED_VALUE"""),"Nikola Jovic")</f>
        <v>Nikola Jovic</v>
      </c>
      <c r="B647" s="271" t="str">
        <f aca="false">IFERROR(__xludf.dummyfunction("""COMPUTED_VALUE"""),"Utah Jazz")</f>
        <v>Utah Jazz</v>
      </c>
      <c r="C647" s="272" t="n">
        <f aca="false">IFERROR(__xludf.dummyfunction("""COMPUTED_VALUE"""),2464200)</f>
        <v>2464200</v>
      </c>
      <c r="D647" s="193"/>
      <c r="E647" s="272" t="n">
        <f aca="false">IFERROR(__xludf.dummyfunction("""COMPUTED_VALUE"""),4445417)</f>
        <v>4445417</v>
      </c>
      <c r="F647" s="193"/>
      <c r="G647" s="272" t="n">
        <f aca="false">IFERROR(__xludf.dummyfunction("""COMPUTED_VALUE"""),13336251)</f>
        <v>13336251</v>
      </c>
      <c r="H647" s="271" t="str">
        <f aca="false">IFERROR(__xludf.dummyfunction("""COMPUTED_VALUE"""),"RFA - Bird")</f>
        <v>RFA - Bird</v>
      </c>
      <c r="I647" s="272" t="str">
        <f aca="false">IFERROR(__xludf.dummyfunction("""COMPUTED_VALUE"""),"")</f>
        <v/>
      </c>
      <c r="J647" s="193"/>
      <c r="K647" s="273"/>
      <c r="L647" s="193"/>
      <c r="M647" s="273"/>
      <c r="N647" s="193"/>
      <c r="O647" s="193" t="n">
        <f aca="false">IFERROR(__xludf.dummyfunction("""COMPUTED_VALUE"""),1)</f>
        <v>1</v>
      </c>
      <c r="P647" s="193"/>
      <c r="Q647" s="193"/>
      <c r="R647" s="193"/>
      <c r="S647" s="193"/>
      <c r="T647" s="193"/>
      <c r="U647" s="193"/>
      <c r="V647" s="193"/>
      <c r="W647" s="193"/>
      <c r="X647" s="193"/>
      <c r="Y647" s="193"/>
      <c r="Z647" s="193"/>
    </row>
    <row r="648" customFormat="false" ht="15.75" hidden="false" customHeight="false" outlineLevel="0" collapsed="false">
      <c r="A648" s="193" t="str">
        <f aca="false">IFERROR(__xludf.dummyfunction("""COMPUTED_VALUE"""),"Sviatoslav Mykhailiuk")</f>
        <v>Sviatoslav Mykhailiuk</v>
      </c>
      <c r="B648" s="271" t="str">
        <f aca="false">IFERROR(__xludf.dummyfunction("""COMPUTED_VALUE"""),"Utah Jazz")</f>
        <v>Utah Jazz</v>
      </c>
      <c r="C648" s="272" t="n">
        <f aca="false">IFERROR(__xludf.dummyfunction("""COMPUTED_VALUE"""),3500000)</f>
        <v>3500000</v>
      </c>
      <c r="D648" s="193"/>
      <c r="E648" s="272" t="n">
        <f aca="false">IFERROR(__xludf.dummyfunction("""COMPUTED_VALUE"""),3675000)</f>
        <v>3675000</v>
      </c>
      <c r="F648" s="271" t="str">
        <f aca="false">IFERROR(__xludf.dummyfunction("""COMPUTED_VALUE"""),"UFA - Early Bird")</f>
        <v>UFA - Early Bird</v>
      </c>
      <c r="G648" s="273"/>
      <c r="H648" s="193"/>
      <c r="I648" s="273"/>
      <c r="J648" s="193"/>
      <c r="K648" s="273"/>
      <c r="L648" s="193"/>
      <c r="M648" s="273"/>
      <c r="N648" s="193"/>
      <c r="O648" s="193" t="n">
        <f aca="false">IFERROR(__xludf.dummyfunction("""COMPUTED_VALUE"""),1)</f>
        <v>1</v>
      </c>
      <c r="P648" s="193"/>
      <c r="Q648" s="193"/>
      <c r="R648" s="193"/>
      <c r="S648" s="193"/>
      <c r="T648" s="193"/>
      <c r="U648" s="193"/>
      <c r="V648" s="193"/>
      <c r="W648" s="193"/>
      <c r="X648" s="193"/>
      <c r="Y648" s="193"/>
      <c r="Z648" s="193"/>
    </row>
    <row r="649" customFormat="false" ht="15.75" hidden="false" customHeight="false" outlineLevel="0" collapsed="false">
      <c r="A649" s="193" t="str">
        <f aca="false">IFERROR(__xludf.dummyfunction("""COMPUTED_VALUE"""),"Dariq Whitehead")</f>
        <v>Dariq Whitehead</v>
      </c>
      <c r="B649" s="271" t="str">
        <f aca="false">IFERROR(__xludf.dummyfunction("""COMPUTED_VALUE"""),"Utah Jazz")</f>
        <v>Utah Jazz</v>
      </c>
      <c r="C649" s="273"/>
      <c r="D649" s="193"/>
      <c r="E649" s="272" t="n">
        <f aca="false">IFERROR(__xludf.dummyfunction("""COMPUTED_VALUE"""),3262560)</f>
        <v>3262560</v>
      </c>
      <c r="F649" s="193"/>
      <c r="G649" s="272" t="n">
        <f aca="false">IFERROR(__xludf.dummyfunction("""COMPUTED_VALUE"""),5366912)</f>
        <v>5366912</v>
      </c>
      <c r="H649" s="193" t="str">
        <f aca="false">IFERROR(__xludf.dummyfunction("""COMPUTED_VALUE"""),"Club Option")</f>
        <v>Club Option</v>
      </c>
      <c r="I649" s="272" t="n">
        <f aca="false">IFERROR(__xludf.dummyfunction("""COMPUTED_VALUE"""),16100736)</f>
        <v>16100736</v>
      </c>
      <c r="J649" s="193" t="str">
        <f aca="false">IFERROR(__xludf.dummyfunction("""COMPUTED_VALUE"""),"RFA - Bird")</f>
        <v>RFA - Bird</v>
      </c>
      <c r="K649" s="273"/>
      <c r="L649" s="193"/>
      <c r="M649" s="273"/>
      <c r="N649" s="193"/>
      <c r="O649" s="193" t="n">
        <f aca="false">IFERROR(__xludf.dummyfunction("""COMPUTED_VALUE"""),1)</f>
        <v>1</v>
      </c>
      <c r="P649" s="193"/>
      <c r="Q649" s="193"/>
      <c r="R649" s="193"/>
      <c r="S649" s="193"/>
      <c r="T649" s="193"/>
      <c r="U649" s="193"/>
      <c r="V649" s="193"/>
      <c r="W649" s="193"/>
      <c r="X649" s="193"/>
      <c r="Y649" s="193"/>
      <c r="Z649" s="193"/>
    </row>
    <row r="650" customFormat="false" ht="15.75" hidden="false" customHeight="false" outlineLevel="0" collapsed="false">
      <c r="A650" s="193" t="str">
        <f aca="false">IFERROR(__xludf.dummyfunction("""COMPUTED_VALUE"""),"Kris Murray")</f>
        <v>Kris Murray</v>
      </c>
      <c r="B650" s="271" t="str">
        <f aca="false">IFERROR(__xludf.dummyfunction("""COMPUTED_VALUE"""),"Utah Jazz")</f>
        <v>Utah Jazz</v>
      </c>
      <c r="C650" s="273"/>
      <c r="D650" s="193"/>
      <c r="E650" s="272" t="n">
        <f aca="false">IFERROR(__xludf.dummyfunction("""COMPUTED_VALUE"""),3132000)</f>
        <v>3132000</v>
      </c>
      <c r="F650" s="193"/>
      <c r="G650" s="272" t="n">
        <f aca="false">IFERROR(__xludf.dummyfunction("""COMPUTED_VALUE"""),5315004)</f>
        <v>5315004</v>
      </c>
      <c r="H650" s="193" t="str">
        <f aca="false">IFERROR(__xludf.dummyfunction("""COMPUTED_VALUE"""),"Club Option")</f>
        <v>Club Option</v>
      </c>
      <c r="I650" s="272" t="n">
        <f aca="false">IFERROR(__xludf.dummyfunction("""COMPUTED_VALUE"""),15945012)</f>
        <v>15945012</v>
      </c>
      <c r="J650" s="193" t="str">
        <f aca="false">IFERROR(__xludf.dummyfunction("""COMPUTED_VALUE"""),"RFA - Bird")</f>
        <v>RFA - Bird</v>
      </c>
      <c r="K650" s="273"/>
      <c r="L650" s="193"/>
      <c r="M650" s="273"/>
      <c r="N650" s="193"/>
      <c r="O650" s="193" t="n">
        <f aca="false">IFERROR(__xludf.dummyfunction("""COMPUTED_VALUE"""),1)</f>
        <v>1</v>
      </c>
      <c r="P650" s="193"/>
      <c r="Q650" s="193"/>
      <c r="R650" s="193"/>
      <c r="S650" s="193"/>
      <c r="T650" s="193"/>
      <c r="U650" s="193"/>
      <c r="V650" s="193"/>
      <c r="W650" s="193"/>
      <c r="X650" s="193"/>
      <c r="Y650" s="193"/>
      <c r="Z650" s="193"/>
    </row>
    <row r="651" customFormat="false" ht="15.75" hidden="false" customHeight="false" outlineLevel="0" collapsed="false">
      <c r="A651" s="193" t="str">
        <f aca="false">IFERROR(__xludf.dummyfunction("""COMPUTED_VALUE"""),"Maxime Raynaud (R)")</f>
        <v>Maxime Raynaud (R)</v>
      </c>
      <c r="B651" s="271" t="str">
        <f aca="false">IFERROR(__xludf.dummyfunction("""COMPUTED_VALUE"""),"Utah Jazz")</f>
        <v>Utah Jazz</v>
      </c>
      <c r="C651" s="273"/>
      <c r="D651" s="193"/>
      <c r="E651" s="272" t="n">
        <f aca="false">IFERROR(__xludf.dummyfunction("""COMPUTED_VALUE"""),2884560)</f>
        <v>2884560</v>
      </c>
      <c r="F651" s="193"/>
      <c r="G651" s="272" t="n">
        <f aca="false">IFERROR(__xludf.dummyfunction("""COMPUTED_VALUE"""),3028560)</f>
        <v>3028560</v>
      </c>
      <c r="H651" s="193"/>
      <c r="I651" s="272" t="n">
        <f aca="false">IFERROR(__xludf.dummyfunction("""COMPUTED_VALUE"""),3172920)</f>
        <v>3172920</v>
      </c>
      <c r="J651" s="271" t="str">
        <f aca="false">IFERROR(__xludf.dummyfunction("""COMPUTED_VALUE"""),"Club Option")</f>
        <v>Club Option</v>
      </c>
      <c r="K651" s="272" t="n">
        <f aca="false">IFERROR(__xludf.dummyfunction("""COMPUTED_VALUE"""),5720774.76)</f>
        <v>5720774.76</v>
      </c>
      <c r="L651" s="271" t="str">
        <f aca="false">IFERROR(__xludf.dummyfunction("""COMPUTED_VALUE"""),"Club Option")</f>
        <v>Club Option</v>
      </c>
      <c r="M651" s="272" t="n">
        <f aca="false">IFERROR(__xludf.dummyfunction("""COMPUTED_VALUE"""),17162324.28)</f>
        <v>17162324.28</v>
      </c>
      <c r="N651" s="271" t="str">
        <f aca="false">IFERROR(__xludf.dummyfunction("""COMPUTED_VALUE"""),"RFA - Bird")</f>
        <v>RFA - Bird</v>
      </c>
      <c r="O651" s="193" t="n">
        <f aca="false">IFERROR(__xludf.dummyfunction("""COMPUTED_VALUE"""),1)</f>
        <v>1</v>
      </c>
      <c r="P651" s="193"/>
      <c r="Q651" s="193"/>
      <c r="R651" s="193"/>
      <c r="S651" s="193"/>
      <c r="T651" s="193"/>
      <c r="U651" s="193"/>
      <c r="V651" s="193"/>
      <c r="W651" s="193"/>
      <c r="X651" s="193"/>
      <c r="Y651" s="193"/>
      <c r="Z651" s="193"/>
    </row>
    <row r="652" customFormat="false" ht="15.75" hidden="false" customHeight="false" outlineLevel="0" collapsed="false">
      <c r="A652" s="193" t="str">
        <f aca="false">IFERROR(__xludf.dummyfunction("""COMPUTED_VALUE"""),"Jaden Springer")</f>
        <v>Jaden Springer</v>
      </c>
      <c r="B652" s="271" t="str">
        <f aca="false">IFERROR(__xludf.dummyfunction("""COMPUTED_VALUE"""),"Utah Jazz")</f>
        <v>Utah Jazz</v>
      </c>
      <c r="C652" s="272" t="n">
        <f aca="false">IFERROR(__xludf.dummyfunction("""COMPUTED_VALUE"""),754409)</f>
        <v>754409</v>
      </c>
      <c r="D652" s="193"/>
      <c r="E652" s="272" t="n">
        <f aca="false">IFERROR(__xludf.dummyfunction("""COMPUTED_VALUE"""),2349578)</f>
        <v>2349578</v>
      </c>
      <c r="F652" s="271" t="str">
        <f aca="false">IFERROR(__xludf.dummyfunction("""COMPUTED_VALUE"""),"UFA - Non-Bird")</f>
        <v>UFA - Non-Bird</v>
      </c>
      <c r="G652" s="273"/>
      <c r="H652" s="193"/>
      <c r="I652" s="273"/>
      <c r="J652" s="193"/>
      <c r="K652" s="273"/>
      <c r="L652" s="193"/>
      <c r="M652" s="273"/>
      <c r="N652" s="193"/>
      <c r="O652" s="193" t="n">
        <f aca="false">IFERROR(__xludf.dummyfunction("""COMPUTED_VALUE"""),1)</f>
        <v>1</v>
      </c>
      <c r="P652" s="193"/>
      <c r="Q652" s="193"/>
      <c r="R652" s="193"/>
      <c r="S652" s="193"/>
      <c r="T652" s="193"/>
      <c r="U652" s="193"/>
      <c r="V652" s="193"/>
      <c r="W652" s="193"/>
      <c r="X652" s="193"/>
      <c r="Y652" s="193"/>
      <c r="Z652" s="193"/>
    </row>
    <row r="653" customFormat="false" ht="15.75" hidden="false" customHeight="false" outlineLevel="0" collapsed="false">
      <c r="A653" s="193" t="str">
        <f aca="false">IFERROR(__xludf.dummyfunction("""COMPUTED_VALUE"""),"Justin Champagnie")</f>
        <v>Justin Champagnie</v>
      </c>
      <c r="B653" s="271" t="str">
        <f aca="false">IFERROR(__xludf.dummyfunction("""COMPUTED_VALUE"""),"Utah Jazz")</f>
        <v>Utah Jazz</v>
      </c>
      <c r="C653" s="272" t="n">
        <f aca="false">IFERROR(__xludf.dummyfunction("""COMPUTED_VALUE"""),1800000)</f>
        <v>1800000</v>
      </c>
      <c r="D653" s="193"/>
      <c r="E653" s="272" t="n">
        <f aca="false">IFERROR(__xludf.dummyfunction("""COMPUTED_VALUE"""),2349578)</f>
        <v>2349578</v>
      </c>
      <c r="F653" s="193"/>
      <c r="G653" s="272" t="n">
        <f aca="false">IFERROR(__xludf.dummyfunction("""COMPUTED_VALUE"""),2667944)</f>
        <v>2667944</v>
      </c>
      <c r="H653" s="271" t="str">
        <f aca="false">IFERROR(__xludf.dummyfunction("""COMPUTED_VALUE"""),"Non Guaranteed")</f>
        <v>Non Guaranteed</v>
      </c>
      <c r="I653" s="272" t="n">
        <f aca="false">IFERROR(__xludf.dummyfunction("""COMPUTED_VALUE"""),3005085)</f>
        <v>3005085</v>
      </c>
      <c r="J653" s="271" t="str">
        <f aca="false">IFERROR(__xludf.dummyfunction("""COMPUTED_VALUE"""),"Club Option")</f>
        <v>Club Option</v>
      </c>
      <c r="K653" s="272" t="n">
        <f aca="false">IFERROR(__xludf.dummyfunction("""COMPUTED_VALUE"""),2778492)</f>
        <v>2778492</v>
      </c>
      <c r="L653" s="193" t="str">
        <f aca="false">IFERROR(__xludf.dummyfunction("""COMPUTED_VALUE"""),"UFA - Bird")</f>
        <v>UFA - Bird</v>
      </c>
      <c r="M653" s="273"/>
      <c r="N653" s="193"/>
      <c r="O653" s="193" t="n">
        <f aca="false">IFERROR(__xludf.dummyfunction("""COMPUTED_VALUE"""),1)</f>
        <v>1</v>
      </c>
      <c r="P653" s="193"/>
      <c r="Q653" s="193"/>
      <c r="R653" s="193"/>
      <c r="S653" s="193"/>
      <c r="T653" s="193"/>
      <c r="U653" s="193"/>
      <c r="V653" s="193"/>
      <c r="W653" s="193"/>
      <c r="X653" s="193"/>
      <c r="Y653" s="193"/>
      <c r="Z653" s="193"/>
    </row>
    <row r="654" customFormat="false" ht="15.75" hidden="false" customHeight="false" outlineLevel="0" collapsed="false">
      <c r="A654" s="193" t="str">
        <f aca="false">IFERROR(__xludf.dummyfunction("""COMPUTED_VALUE"""),"Keon Johnson")</f>
        <v>Keon Johnson</v>
      </c>
      <c r="B654" s="271" t="str">
        <f aca="false">IFERROR(__xludf.dummyfunction("""COMPUTED_VALUE"""),"Utah Jazz")</f>
        <v>Utah Jazz</v>
      </c>
      <c r="C654" s="273"/>
      <c r="D654" s="193"/>
      <c r="E654" s="272" t="n">
        <f aca="false">IFERROR(__xludf.dummyfunction("""COMPUTED_VALUE"""),2349578)</f>
        <v>2349578</v>
      </c>
      <c r="F654" s="193"/>
      <c r="G654" s="272" t="n">
        <f aca="false">IFERROR(__xludf.dummyfunction("""COMPUTED_VALUE"""),2525905)</f>
        <v>2525905</v>
      </c>
      <c r="H654" s="193" t="str">
        <f aca="false">IFERROR(__xludf.dummyfunction("""COMPUTED_VALUE"""),"UFA - Bird")</f>
        <v>UFA - Bird</v>
      </c>
      <c r="I654" s="272" t="str">
        <f aca="false">IFERROR(__xludf.dummyfunction("""COMPUTED_VALUE"""),"")</f>
        <v/>
      </c>
      <c r="J654" s="193"/>
      <c r="K654" s="273"/>
      <c r="L654" s="193"/>
      <c r="M654" s="273"/>
      <c r="N654" s="193"/>
      <c r="O654" s="193" t="n">
        <f aca="false">IFERROR(__xludf.dummyfunction("""COMPUTED_VALUE"""),1)</f>
        <v>1</v>
      </c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</row>
    <row r="655" customFormat="false" ht="15.75" hidden="false" customHeight="false" outlineLevel="0" collapsed="false">
      <c r="A655" s="193" t="str">
        <f aca="false">IFERROR(__xludf.dummyfunction("""COMPUTED_VALUE"""),"Micah Potter")</f>
        <v>Micah Potter</v>
      </c>
      <c r="B655" s="271" t="str">
        <f aca="false">IFERROR(__xludf.dummyfunction("""COMPUTED_VALUE"""),"Utah Jazz")</f>
        <v>Utah Jazz</v>
      </c>
      <c r="C655" s="273"/>
      <c r="D655" s="193"/>
      <c r="E655" s="272" t="n">
        <f aca="false">IFERROR(__xludf.dummyfunction("""COMPUTED_VALUE"""),2296274)</f>
        <v>2296274</v>
      </c>
      <c r="F655" s="271" t="str">
        <f aca="false">IFERROR(__xludf.dummyfunction("""COMPUTED_VALUE"""),"UFA - Non-Bird")</f>
        <v>UFA - Non-Bird</v>
      </c>
      <c r="G655" s="273"/>
      <c r="H655" s="193"/>
      <c r="I655" s="273"/>
      <c r="J655" s="193"/>
      <c r="K655" s="273"/>
      <c r="L655" s="193"/>
      <c r="M655" s="273"/>
      <c r="N655" s="193"/>
      <c r="O655" s="193" t="n">
        <f aca="false">IFERROR(__xludf.dummyfunction("""COMPUTED_VALUE"""),1)</f>
        <v>1</v>
      </c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</row>
    <row r="656" customFormat="false" ht="15.75" hidden="false" customHeight="false" outlineLevel="0" collapsed="false">
      <c r="A656" s="193" t="str">
        <f aca="false">IFERROR(__xludf.dummyfunction("""COMPUTED_VALUE"""),"Elijah Harkless")</f>
        <v>Elijah Harkless</v>
      </c>
      <c r="B656" s="271" t="str">
        <f aca="false">IFERROR(__xludf.dummyfunction("""COMPUTED_VALUE"""),"Utah Jazz")</f>
        <v>Utah Jazz</v>
      </c>
      <c r="C656" s="273"/>
      <c r="D656" s="193"/>
      <c r="E656" s="272" t="n">
        <f aca="false">IFERROR(__xludf.dummyfunction("""COMPUTED_VALUE"""),2048491)</f>
        <v>2048491</v>
      </c>
      <c r="F656" s="271" t="str">
        <f aca="false">IFERROR(__xludf.dummyfunction("""COMPUTED_VALUE"""),"UFA - Two-way")</f>
        <v>UFA - Two-way</v>
      </c>
      <c r="G656" s="273"/>
      <c r="H656" s="193"/>
      <c r="I656" s="273"/>
      <c r="J656" s="193"/>
      <c r="K656" s="273"/>
      <c r="L656" s="193"/>
      <c r="M656" s="273"/>
      <c r="N656" s="193"/>
      <c r="O656" s="193" t="n">
        <f aca="false">IFERROR(__xludf.dummyfunction("""COMPUTED_VALUE"""),1)</f>
        <v>1</v>
      </c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</row>
    <row r="657" customFormat="false" ht="15.75" hidden="false" customHeight="false" outlineLevel="0" collapsed="false">
      <c r="A657" s="193" t="str">
        <f aca="false">IFERROR(__xludf.dummyfunction("""COMPUTED_VALUE"""),"Ricky Council IV")</f>
        <v>Ricky Council IV</v>
      </c>
      <c r="B657" s="271" t="str">
        <f aca="false">IFERROR(__xludf.dummyfunction("""COMPUTED_VALUE"""),"Washington Wizards")</f>
        <v>Washington Wizards</v>
      </c>
      <c r="C657" s="272" t="str">
        <f aca="false">IFERROR(__xludf.dummyfunction("""COMPUTED_VALUE"""),"Two-way")</f>
        <v>Two-way</v>
      </c>
      <c r="D657" s="272" t="str">
        <f aca="false">IFERROR(__xludf.dummyfunction("""COMPUTED_VALUE"""),"Two-way")</f>
        <v>Two-way</v>
      </c>
      <c r="E657" s="272" t="str">
        <f aca="false">IFERROR(__xludf.dummyfunction("""COMPUTED_VALUE"""),"Two-way")</f>
        <v>Two-way</v>
      </c>
      <c r="F657" s="272" t="str">
        <f aca="false">IFERROR(__xludf.dummyfunction("""COMPUTED_VALUE"""),"Two-way")</f>
        <v>Two-way</v>
      </c>
      <c r="G657" s="272" t="n">
        <f aca="false">IFERROR(__xludf.dummyfunction("""COMPUTED_VALUE"""),2253346)</f>
        <v>2253346</v>
      </c>
      <c r="H657" s="271" t="str">
        <f aca="false">IFERROR(__xludf.dummyfunction("""COMPUTED_VALUE"""),"UFA - Two-Way")</f>
        <v>UFA - Two-Way</v>
      </c>
      <c r="I657" s="273"/>
      <c r="J657" s="193"/>
      <c r="K657" s="273"/>
      <c r="L657" s="193"/>
      <c r="M657" s="273"/>
      <c r="N657" s="193"/>
      <c r="O657" s="193" t="n">
        <f aca="false">IFERROR(__xludf.dummyfunction("""COMPUTED_VALUE"""),1)</f>
        <v>1</v>
      </c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</row>
    <row r="658" customFormat="false" ht="15.75" hidden="false" customHeight="false" outlineLevel="0" collapsed="false">
      <c r="A658" s="193" t="str">
        <f aca="false">IFERROR(__xludf.dummyfunction("""COMPUTED_VALUE"""),"Ryan Nembhard (R)")</f>
        <v>Ryan Nembhard (R)</v>
      </c>
      <c r="B658" s="271" t="str">
        <f aca="false">IFERROR(__xludf.dummyfunction("""COMPUTED_VALUE"""),"Washington Wizards")</f>
        <v>Washington Wizards</v>
      </c>
      <c r="C658" s="272" t="str">
        <f aca="false">IFERROR(__xludf.dummyfunction("""COMPUTED_VALUE"""),"Two-Way")</f>
        <v>Two-Way</v>
      </c>
      <c r="D658" s="271" t="str">
        <f aca="false">IFERROR(__xludf.dummyfunction("""COMPUTED_VALUE"""),"Two-Way")</f>
        <v>Two-Way</v>
      </c>
      <c r="E658" s="272" t="str">
        <f aca="false">IFERROR(__xludf.dummyfunction("""COMPUTED_VALUE"""),"Two-Way")</f>
        <v>Two-Way</v>
      </c>
      <c r="F658" s="271" t="str">
        <f aca="false">IFERROR(__xludf.dummyfunction("""COMPUTED_VALUE"""),"Two-Way")</f>
        <v>Two-Way</v>
      </c>
      <c r="G658" s="272" t="n">
        <f aca="false">IFERROR(__xludf.dummyfunction("""COMPUTED_VALUE"""),2253346)</f>
        <v>2253346</v>
      </c>
      <c r="H658" s="271" t="str">
        <f aca="false">IFERROR(__xludf.dummyfunction("""COMPUTED_VALUE"""),"UFA - Two-Way")</f>
        <v>UFA - Two-Way</v>
      </c>
      <c r="I658" s="273"/>
      <c r="J658" s="193"/>
      <c r="K658" s="273"/>
      <c r="L658" s="193"/>
      <c r="M658" s="273"/>
      <c r="N658" s="193"/>
      <c r="O658" s="193" t="n">
        <f aca="false">IFERROR(__xludf.dummyfunction("""COMPUTED_VALUE"""),1)</f>
        <v>1</v>
      </c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</row>
    <row r="659" customFormat="false" ht="15.75" hidden="false" customHeight="false" outlineLevel="0" collapsed="false">
      <c r="A659" s="193" t="str">
        <f aca="false">IFERROR(__xludf.dummyfunction("""COMPUTED_VALUE"""),"Yanic Konan Niederhauser (R)")</f>
        <v>Yanic Konan Niederhauser (R)</v>
      </c>
      <c r="B659" s="271" t="str">
        <f aca="false">IFERROR(__xludf.dummyfunction("""COMPUTED_VALUE"""),"Washington Wizards")</f>
        <v>Washington Wizards</v>
      </c>
      <c r="C659" s="272" t="str">
        <f aca="false">IFERROR(__xludf.dummyfunction("""COMPUTED_VALUE"""),"Two-Way")</f>
        <v>Two-Way</v>
      </c>
      <c r="D659" s="271" t="str">
        <f aca="false">IFERROR(__xludf.dummyfunction("""COMPUTED_VALUE"""),"Two-Way")</f>
        <v>Two-Way</v>
      </c>
      <c r="E659" s="272" t="str">
        <f aca="false">IFERROR(__xludf.dummyfunction("""COMPUTED_VALUE"""),"Two-Way")</f>
        <v>Two-Way</v>
      </c>
      <c r="F659" s="271" t="str">
        <f aca="false">IFERROR(__xludf.dummyfunction("""COMPUTED_VALUE"""),"Two-Way")</f>
        <v>Two-Way</v>
      </c>
      <c r="G659" s="272" t="n">
        <f aca="false">IFERROR(__xludf.dummyfunction("""COMPUTED_VALUE"""),2253346)</f>
        <v>2253346</v>
      </c>
      <c r="H659" s="271" t="str">
        <f aca="false">IFERROR(__xludf.dummyfunction("""COMPUTED_VALUE"""),"UFA - Two-Way")</f>
        <v>UFA - Two-Way</v>
      </c>
      <c r="I659" s="273"/>
      <c r="J659" s="193"/>
      <c r="K659" s="273"/>
      <c r="L659" s="193"/>
      <c r="M659" s="273"/>
      <c r="N659" s="193"/>
      <c r="O659" s="193" t="n">
        <f aca="false">IFERROR(__xludf.dummyfunction("""COMPUTED_VALUE"""),1)</f>
        <v>1</v>
      </c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</row>
    <row r="660" customFormat="false" ht="15.75" hidden="false" customHeight="false" outlineLevel="0" collapsed="false">
      <c r="A660" s="193" t="str">
        <f aca="false">IFERROR(__xludf.dummyfunction("""COMPUTED_VALUE"""),"Damian Lillard")</f>
        <v>Damian Lillard</v>
      </c>
      <c r="B660" s="271" t="str">
        <f aca="false">IFERROR(__xludf.dummyfunction("""COMPUTED_VALUE"""),"Washington Wizards")</f>
        <v>Washington Wizards</v>
      </c>
      <c r="C660" s="273"/>
      <c r="D660" s="193"/>
      <c r="E660" s="272" t="n">
        <f aca="false">IFERROR(__xludf.dummyfunction("""COMPUTED_VALUE"""),54126380)</f>
        <v>54126380</v>
      </c>
      <c r="F660" s="271" t="str">
        <f aca="false">IFERROR(__xludf.dummyfunction("""COMPUTED_VALUE"""),"Estimated")</f>
        <v>Estimated</v>
      </c>
      <c r="G660" s="272" t="n">
        <f aca="false">IFERROR(__xludf.dummyfunction("""COMPUTED_VALUE"""),58456490)</f>
        <v>58456490</v>
      </c>
      <c r="H660" s="271" t="str">
        <f aca="false">IFERROR(__xludf.dummyfunction("""COMPUTED_VALUE"""),"Player Option")</f>
        <v>Player Option</v>
      </c>
      <c r="I660" s="272" t="n">
        <f aca="false">IFERROR(__xludf.dummyfunction("""COMPUTED_VALUE"""),65492920)</f>
        <v>65492920</v>
      </c>
      <c r="J660" s="193" t="str">
        <f aca="false">IFERROR(__xludf.dummyfunction("""COMPUTED_VALUE"""),"UFA - Bird")</f>
        <v>UFA - Bird</v>
      </c>
      <c r="K660" s="273"/>
      <c r="L660" s="193"/>
      <c r="M660" s="273"/>
      <c r="N660" s="193"/>
      <c r="O660" s="193" t="n">
        <f aca="false">IFERROR(__xludf.dummyfunction("""COMPUTED_VALUE"""),1)</f>
        <v>1</v>
      </c>
      <c r="P660" s="193"/>
      <c r="Q660" s="193"/>
      <c r="R660" s="193"/>
      <c r="S660" s="193"/>
      <c r="T660" s="193"/>
      <c r="U660" s="193"/>
      <c r="V660" s="193"/>
      <c r="W660" s="193"/>
      <c r="X660" s="193"/>
      <c r="Y660" s="193"/>
      <c r="Z660" s="193"/>
    </row>
    <row r="661" customFormat="false" ht="15.75" hidden="false" customHeight="false" outlineLevel="0" collapsed="false">
      <c r="A661" s="193" t="str">
        <f aca="false">IFERROR(__xludf.dummyfunction("""COMPUTED_VALUE"""),"Isaiah Stewart")</f>
        <v>Isaiah Stewart</v>
      </c>
      <c r="B661" s="271" t="str">
        <f aca="false">IFERROR(__xludf.dummyfunction("""COMPUTED_VALUE"""),"Washington Wizards")</f>
        <v>Washington Wizards</v>
      </c>
      <c r="C661" s="273"/>
      <c r="D661" s="193"/>
      <c r="E661" s="272" t="n">
        <f aca="false">IFERROR(__xludf.dummyfunction("""COMPUTED_VALUE"""),15000000)</f>
        <v>15000000</v>
      </c>
      <c r="F661" s="193"/>
      <c r="G661" s="272" t="n">
        <f aca="false">IFERROR(__xludf.dummyfunction("""COMPUTED_VALUE"""),15000000)</f>
        <v>15000000</v>
      </c>
      <c r="H661" s="193"/>
      <c r="I661" s="272" t="n">
        <f aca="false">IFERROR(__xludf.dummyfunction("""COMPUTED_VALUE"""),15000000)</f>
        <v>15000000</v>
      </c>
      <c r="J661" s="193" t="str">
        <f aca="false">IFERROR(__xludf.dummyfunction("""COMPUTED_VALUE"""),"Club Option")</f>
        <v>Club Option</v>
      </c>
      <c r="K661" s="272" t="n">
        <f aca="false">IFERROR(__xludf.dummyfunction("""COMPUTED_VALUE"""),26571429)</f>
        <v>26571429</v>
      </c>
      <c r="L661" s="193" t="str">
        <f aca="false">IFERROR(__xludf.dummyfunction("""COMPUTED_VALUE"""),"UFA - Bird")</f>
        <v>UFA - Bird</v>
      </c>
      <c r="M661" s="273"/>
      <c r="N661" s="193"/>
      <c r="O661" s="193" t="n">
        <f aca="false">IFERROR(__xludf.dummyfunction("""COMPUTED_VALUE"""),1)</f>
        <v>1</v>
      </c>
      <c r="P661" s="193"/>
      <c r="Q661" s="193"/>
      <c r="R661" s="193"/>
      <c r="S661" s="193"/>
      <c r="T661" s="193"/>
      <c r="U661" s="193"/>
      <c r="V661" s="193"/>
      <c r="W661" s="193"/>
      <c r="X661" s="193"/>
      <c r="Y661" s="193"/>
      <c r="Z661" s="193"/>
    </row>
    <row r="662" customFormat="false" ht="15.75" hidden="false" customHeight="false" outlineLevel="0" collapsed="false">
      <c r="A662" s="193" t="str">
        <f aca="false">IFERROR(__xludf.dummyfunction("""COMPUTED_VALUE"""),"Jonathan Isaac")</f>
        <v>Jonathan Isaac</v>
      </c>
      <c r="B662" s="271" t="str">
        <f aca="false">IFERROR(__xludf.dummyfunction("""COMPUTED_VALUE"""),"Washington Wizards")</f>
        <v>Washington Wizards</v>
      </c>
      <c r="C662" s="272" t="n">
        <f aca="false">IFERROR(__xludf.dummyfunction("""COMPUTED_VALUE"""),25000000)</f>
        <v>25000000</v>
      </c>
      <c r="D662" s="193"/>
      <c r="E662" s="272" t="n">
        <f aca="false">IFERROR(__xludf.dummyfunction("""COMPUTED_VALUE"""),15000000)</f>
        <v>15000000</v>
      </c>
      <c r="F662" s="193"/>
      <c r="G662" s="272" t="n">
        <f aca="false">IFERROR(__xludf.dummyfunction("""COMPUTED_VALUE"""),14500000)</f>
        <v>14500000</v>
      </c>
      <c r="H662" s="271" t="str">
        <f aca="false">IFERROR(__xludf.dummyfunction("""COMPUTED_VALUE"""),"8m Guaranteed")</f>
        <v>8m Guaranteed</v>
      </c>
      <c r="I662" s="272" t="n">
        <f aca="false">IFERROR(__xludf.dummyfunction("""COMPUTED_VALUE"""),14500000)</f>
        <v>14500000</v>
      </c>
      <c r="J662" s="271" t="str">
        <f aca="false">IFERROR(__xludf.dummyfunction("""COMPUTED_VALUE"""),"Non Guaranteed")</f>
        <v>Non Guaranteed</v>
      </c>
      <c r="K662" s="272" t="n">
        <f aca="false">IFERROR(__xludf.dummyfunction("""COMPUTED_VALUE"""),15000000)</f>
        <v>15000000</v>
      </c>
      <c r="L662" s="271" t="str">
        <f aca="false">IFERROR(__xludf.dummyfunction("""COMPUTED_VALUE"""),"Non Guaranteed")</f>
        <v>Non Guaranteed</v>
      </c>
      <c r="M662" s="272" t="n">
        <f aca="false">IFERROR(__xludf.dummyfunction("""COMPUTED_VALUE"""),22500000)</f>
        <v>22500000</v>
      </c>
      <c r="N662" s="193" t="str">
        <f aca="false">IFERROR(__xludf.dummyfunction("""COMPUTED_VALUE"""),"UFA - Bird")</f>
        <v>UFA - Bird</v>
      </c>
      <c r="O662" s="193" t="n">
        <f aca="false">IFERROR(__xludf.dummyfunction("""COMPUTED_VALUE"""),1)</f>
        <v>1</v>
      </c>
      <c r="P662" s="193"/>
      <c r="Q662" s="193"/>
      <c r="R662" s="193"/>
      <c r="S662" s="193"/>
      <c r="T662" s="193"/>
      <c r="U662" s="193"/>
      <c r="V662" s="193"/>
      <c r="W662" s="193"/>
      <c r="X662" s="193"/>
      <c r="Y662" s="193"/>
      <c r="Z662" s="193"/>
    </row>
    <row r="663" customFormat="false" ht="15.75" hidden="false" customHeight="false" outlineLevel="0" collapsed="false">
      <c r="A663" s="193" t="str">
        <f aca="false">IFERROR(__xludf.dummyfunction("""COMPUTED_VALUE"""),"Alex Sarr")</f>
        <v>Alex Sarr</v>
      </c>
      <c r="B663" s="271" t="str">
        <f aca="false">IFERROR(__xludf.dummyfunction("""COMPUTED_VALUE"""),"Washington Wizards")</f>
        <v>Washington Wizards</v>
      </c>
      <c r="C663" s="272" t="n">
        <f aca="false">IFERROR(__xludf.dummyfunction("""COMPUTED_VALUE"""),11245680)</f>
        <v>11245680</v>
      </c>
      <c r="D663" s="193"/>
      <c r="E663" s="272" t="n">
        <f aca="false">IFERROR(__xludf.dummyfunction("""COMPUTED_VALUE"""),11808240)</f>
        <v>11808240</v>
      </c>
      <c r="F663" s="193"/>
      <c r="G663" s="272" t="n">
        <f aca="false">IFERROR(__xludf.dummyfunction("""COMPUTED_VALUE"""),12370680)</f>
        <v>12370680</v>
      </c>
      <c r="H663" s="193"/>
      <c r="I663" s="272" t="n">
        <f aca="false">IFERROR(__xludf.dummyfunction("""COMPUTED_VALUE"""),15611798)</f>
        <v>15611798</v>
      </c>
      <c r="J663" s="271" t="str">
        <f aca="false">IFERROR(__xludf.dummyfunction("""COMPUTED_VALUE"""),"Club Option")</f>
        <v>Club Option</v>
      </c>
      <c r="K663" s="272" t="n">
        <f aca="false">IFERROR(__xludf.dummyfunction("""COMPUTED_VALUE"""),39029485)</f>
        <v>39029485</v>
      </c>
      <c r="L663" s="193" t="str">
        <f aca="false">IFERROR(__xludf.dummyfunction("""COMPUTED_VALUE"""),"RFA - Bird")</f>
        <v>RFA - Bird</v>
      </c>
      <c r="M663" s="273"/>
      <c r="N663" s="193"/>
      <c r="O663" s="193" t="n">
        <f aca="false">IFERROR(__xludf.dummyfunction("""COMPUTED_VALUE"""),1)</f>
        <v>1</v>
      </c>
      <c r="P663" s="193"/>
      <c r="Q663" s="193"/>
      <c r="R663" s="193"/>
      <c r="S663" s="193"/>
      <c r="T663" s="193"/>
      <c r="U663" s="193"/>
      <c r="V663" s="193"/>
      <c r="W663" s="193"/>
      <c r="X663" s="193"/>
      <c r="Y663" s="193"/>
      <c r="Z663" s="193"/>
    </row>
    <row r="664" customFormat="false" ht="15.75" hidden="false" customHeight="false" outlineLevel="0" collapsed="false">
      <c r="A664" s="193" t="str">
        <f aca="false">IFERROR(__xludf.dummyfunction("""COMPUTED_VALUE"""),"Pat Connaughton")</f>
        <v>Pat Connaughton</v>
      </c>
      <c r="B664" s="271" t="str">
        <f aca="false">IFERROR(__xludf.dummyfunction("""COMPUTED_VALUE"""),"Washington Wizards")</f>
        <v>Washington Wizards</v>
      </c>
      <c r="C664" s="272" t="n">
        <f aca="false">IFERROR(__xludf.dummyfunction("""COMPUTED_VALUE"""),9423869)</f>
        <v>9423869</v>
      </c>
      <c r="D664" s="193"/>
      <c r="E664" s="272" t="n">
        <f aca="false">IFERROR(__xludf.dummyfunction("""COMPUTED_VALUE"""),9423869)</f>
        <v>9423869</v>
      </c>
      <c r="F664" s="193"/>
      <c r="G664" s="272" t="n">
        <f aca="false">IFERROR(__xludf.dummyfunction("""COMPUTED_VALUE"""),17905351)</f>
        <v>17905351</v>
      </c>
      <c r="H664" s="193" t="str">
        <f aca="false">IFERROR(__xludf.dummyfunction("""COMPUTED_VALUE"""),"UFA - Bird")</f>
        <v>UFA - Bird</v>
      </c>
      <c r="I664" s="272" t="str">
        <f aca="false">IFERROR(__xludf.dummyfunction("""COMPUTED_VALUE"""),"")</f>
        <v/>
      </c>
      <c r="J664" s="193"/>
      <c r="K664" s="273"/>
      <c r="L664" s="193"/>
      <c r="M664" s="273"/>
      <c r="N664" s="193"/>
      <c r="O664" s="193" t="n">
        <f aca="false">IFERROR(__xludf.dummyfunction("""COMPUTED_VALUE"""),1)</f>
        <v>1</v>
      </c>
      <c r="P664" s="193"/>
      <c r="Q664" s="193"/>
      <c r="R664" s="193"/>
      <c r="S664" s="193"/>
      <c r="T664" s="193"/>
      <c r="U664" s="193"/>
      <c r="V664" s="193"/>
      <c r="W664" s="193"/>
      <c r="X664" s="193"/>
      <c r="Y664" s="193"/>
      <c r="Z664" s="193"/>
    </row>
    <row r="665" customFormat="false" ht="15.75" hidden="false" customHeight="false" outlineLevel="0" collapsed="false">
      <c r="A665" s="193" t="str">
        <f aca="false">IFERROR(__xludf.dummyfunction("""COMPUTED_VALUE"""),"Gary Trent Jr.")</f>
        <v>Gary Trent Jr.</v>
      </c>
      <c r="B665" s="271" t="str">
        <f aca="false">IFERROR(__xludf.dummyfunction("""COMPUTED_VALUE"""),"Washington Wizards")</f>
        <v>Washington Wizards</v>
      </c>
      <c r="C665" s="272" t="n">
        <f aca="false">IFERROR(__xludf.dummyfunction("""COMPUTED_VALUE"""),2087519)</f>
        <v>2087519</v>
      </c>
      <c r="D665" s="193"/>
      <c r="E665" s="272" t="n">
        <f aca="false">IFERROR(__xludf.dummyfunction("""COMPUTED_VALUE"""),9000000)</f>
        <v>9000000</v>
      </c>
      <c r="F665" s="193"/>
      <c r="G665" s="272" t="n">
        <f aca="false">IFERROR(__xludf.dummyfunction("""COMPUTED_VALUE"""),9000000)</f>
        <v>9000000</v>
      </c>
      <c r="H665" s="193"/>
      <c r="I665" s="272" t="n">
        <f aca="false">IFERROR(__xludf.dummyfunction("""COMPUTED_VALUE"""),9000000)</f>
        <v>9000000</v>
      </c>
      <c r="J665" s="271" t="str">
        <f aca="false">IFERROR(__xludf.dummyfunction("""COMPUTED_VALUE"""),"Player Option")</f>
        <v>Player Option</v>
      </c>
      <c r="K665" s="272" t="n">
        <f aca="false">IFERROR(__xludf.dummyfunction("""COMPUTED_VALUE"""),17100000)</f>
        <v>17100000</v>
      </c>
      <c r="L665" s="271" t="str">
        <f aca="false">IFERROR(__xludf.dummyfunction("""COMPUTED_VALUE"""),"UFA - Bird")</f>
        <v>UFA - Bird</v>
      </c>
      <c r="M665" s="273"/>
      <c r="N665" s="193"/>
      <c r="O665" s="193" t="n">
        <f aca="false">IFERROR(__xludf.dummyfunction("""COMPUTED_VALUE"""),1)</f>
        <v>1</v>
      </c>
      <c r="P665" s="193"/>
      <c r="Q665" s="193"/>
      <c r="R665" s="193"/>
      <c r="S665" s="193"/>
      <c r="T665" s="193"/>
      <c r="U665" s="193"/>
      <c r="V665" s="193"/>
      <c r="W665" s="193"/>
      <c r="X665" s="193"/>
      <c r="Y665" s="193"/>
      <c r="Z665" s="193"/>
    </row>
    <row r="666" customFormat="false" ht="15.75" hidden="false" customHeight="false" outlineLevel="0" collapsed="false">
      <c r="A666" s="193" t="str">
        <f aca="false">IFERROR(__xludf.dummyfunction("""COMPUTED_VALUE"""),"Tre Jones")</f>
        <v>Tre Jones</v>
      </c>
      <c r="B666" s="271" t="str">
        <f aca="false">IFERROR(__xludf.dummyfunction("""COMPUTED_VALUE"""),"Washington Wizards")</f>
        <v>Washington Wizards</v>
      </c>
      <c r="C666" s="272" t="n">
        <f aca="false">IFERROR(__xludf.dummyfunction("""COMPUTED_VALUE"""),9104167)</f>
        <v>9104167</v>
      </c>
      <c r="D666" s="193"/>
      <c r="E666" s="272" t="n">
        <f aca="false">IFERROR(__xludf.dummyfunction("""COMPUTED_VALUE"""),8000000)</f>
        <v>8000000</v>
      </c>
      <c r="F666" s="193"/>
      <c r="G666" s="272" t="n">
        <f aca="false">IFERROR(__xludf.dummyfunction("""COMPUTED_VALUE"""),8000000)</f>
        <v>8000000</v>
      </c>
      <c r="H666" s="193"/>
      <c r="I666" s="272" t="n">
        <f aca="false">IFERROR(__xludf.dummyfunction("""COMPUTED_VALUE"""),8000000)</f>
        <v>8000000</v>
      </c>
      <c r="J666" s="271" t="str">
        <f aca="false">IFERROR(__xludf.dummyfunction("""COMPUTED_VALUE"""),"Player Option")</f>
        <v>Player Option</v>
      </c>
      <c r="K666" s="272" t="n">
        <f aca="false">IFERROR(__xludf.dummyfunction("""COMPUTED_VALUE"""),15200000)</f>
        <v>15200000</v>
      </c>
      <c r="L666" s="271" t="str">
        <f aca="false">IFERROR(__xludf.dummyfunction("""COMPUTED_VALUE"""),"UFA - Bird")</f>
        <v>UFA - Bird</v>
      </c>
      <c r="M666" s="273"/>
      <c r="N666" s="193"/>
      <c r="O666" s="193" t="n">
        <f aca="false">IFERROR(__xludf.dummyfunction("""COMPUTED_VALUE"""),1)</f>
        <v>1</v>
      </c>
      <c r="P666" s="193"/>
      <c r="Q666" s="193"/>
      <c r="R666" s="193"/>
      <c r="S666" s="193"/>
      <c r="T666" s="193"/>
      <c r="U666" s="193"/>
      <c r="V666" s="193"/>
      <c r="W666" s="193"/>
      <c r="X666" s="193"/>
      <c r="Y666" s="193"/>
      <c r="Z666" s="193"/>
    </row>
    <row r="667" customFormat="false" ht="15.75" hidden="false" customHeight="false" outlineLevel="0" collapsed="false">
      <c r="A667" s="193" t="str">
        <f aca="false">IFERROR(__xludf.dummyfunction("""COMPUTED_VALUE"""),"Max Christie")</f>
        <v>Max Christie</v>
      </c>
      <c r="B667" s="271" t="str">
        <f aca="false">IFERROR(__xludf.dummyfunction("""COMPUTED_VALUE"""),"Washington Wizards")</f>
        <v>Washington Wizards</v>
      </c>
      <c r="C667" s="272" t="n">
        <f aca="false">IFERROR(__xludf.dummyfunction("""COMPUTED_VALUE"""),7142857)</f>
        <v>7142857</v>
      </c>
      <c r="D667" s="193"/>
      <c r="E667" s="272" t="n">
        <f aca="false">IFERROR(__xludf.dummyfunction("""COMPUTED_VALUE"""),7714286)</f>
        <v>7714286</v>
      </c>
      <c r="F667" s="193"/>
      <c r="G667" s="272" t="n">
        <f aca="false">IFERROR(__xludf.dummyfunction("""COMPUTED_VALUE"""),8285714)</f>
        <v>8285714</v>
      </c>
      <c r="H667" s="193"/>
      <c r="I667" s="272" t="n">
        <f aca="false">IFERROR(__xludf.dummyfunction("""COMPUTED_VALUE"""),8857143)</f>
        <v>8857143</v>
      </c>
      <c r="J667" s="193" t="str">
        <f aca="false">IFERROR(__xludf.dummyfunction("""COMPUTED_VALUE"""),"Player Option")</f>
        <v>Player Option</v>
      </c>
      <c r="K667" s="272" t="n">
        <f aca="false">IFERROR(__xludf.dummyfunction("""COMPUTED_VALUE"""),16828572)</f>
        <v>16828572</v>
      </c>
      <c r="L667" s="193" t="str">
        <f aca="false">IFERROR(__xludf.dummyfunction("""COMPUTED_VALUE"""),"UFA - Bird")</f>
        <v>UFA - Bird</v>
      </c>
      <c r="M667" s="273"/>
      <c r="N667" s="193"/>
      <c r="O667" s="193" t="n">
        <f aca="false">IFERROR(__xludf.dummyfunction("""COMPUTED_VALUE"""),1)</f>
        <v>1</v>
      </c>
      <c r="P667" s="193"/>
      <c r="Q667" s="193"/>
      <c r="R667" s="193"/>
      <c r="S667" s="193"/>
      <c r="T667" s="193"/>
      <c r="U667" s="193"/>
      <c r="V667" s="193"/>
      <c r="W667" s="193"/>
      <c r="X667" s="193"/>
      <c r="Y667" s="193"/>
      <c r="Z667" s="193"/>
    </row>
    <row r="668" customFormat="false" ht="15.75" hidden="false" customHeight="false" outlineLevel="0" collapsed="false">
      <c r="A668" s="193" t="str">
        <f aca="false">IFERROR(__xludf.dummyfunction("""COMPUTED_VALUE"""),"Bilal Coulibaly")</f>
        <v>Bilal Coulibaly</v>
      </c>
      <c r="B668" s="271" t="str">
        <f aca="false">IFERROR(__xludf.dummyfunction("""COMPUTED_VALUE"""),"Washington Wizards")</f>
        <v>Washington Wizards</v>
      </c>
      <c r="C668" s="272" t="n">
        <f aca="false">IFERROR(__xludf.dummyfunction("""COMPUTED_VALUE"""),6945240)</f>
        <v>6945240</v>
      </c>
      <c r="D668" s="193"/>
      <c r="E668" s="272" t="n">
        <f aca="false">IFERROR(__xludf.dummyfunction("""COMPUTED_VALUE"""),7275600)</f>
        <v>7275600</v>
      </c>
      <c r="F668" s="193"/>
      <c r="G668" s="272" t="n">
        <f aca="false">IFERROR(__xludf.dummyfunction("""COMPUTED_VALUE"""),9240012)</f>
        <v>9240012</v>
      </c>
      <c r="H668" s="271" t="str">
        <f aca="false">IFERROR(__xludf.dummyfunction("""COMPUTED_VALUE"""),"Club Option")</f>
        <v>Club Option</v>
      </c>
      <c r="I668" s="272" t="n">
        <f aca="false">IFERROR(__xludf.dummyfunction("""COMPUTED_VALUE"""),27720036)</f>
        <v>27720036</v>
      </c>
      <c r="J668" s="193" t="str">
        <f aca="false">IFERROR(__xludf.dummyfunction("""COMPUTED_VALUE"""),"RFA - Bird")</f>
        <v>RFA - Bird</v>
      </c>
      <c r="K668" s="273"/>
      <c r="L668" s="193"/>
      <c r="M668" s="273"/>
      <c r="N668" s="193"/>
      <c r="O668" s="193" t="n">
        <f aca="false">IFERROR(__xludf.dummyfunction("""COMPUTED_VALUE"""),1)</f>
        <v>1</v>
      </c>
      <c r="P668" s="193"/>
      <c r="Q668" s="193"/>
      <c r="R668" s="193"/>
      <c r="S668" s="193"/>
      <c r="T668" s="193"/>
      <c r="U668" s="193"/>
      <c r="V668" s="193"/>
      <c r="W668" s="193"/>
      <c r="X668" s="193"/>
      <c r="Y668" s="193"/>
      <c r="Z668" s="193"/>
    </row>
    <row r="669" customFormat="false" ht="15.75" hidden="false" customHeight="false" outlineLevel="0" collapsed="false">
      <c r="A669" s="193" t="str">
        <f aca="false">IFERROR(__xludf.dummyfunction("""COMPUTED_VALUE"""),"Rasheer Fleming (R)")</f>
        <v>Rasheer Fleming (R)</v>
      </c>
      <c r="B669" s="271" t="str">
        <f aca="false">IFERROR(__xludf.dummyfunction("""COMPUTED_VALUE"""),"Washington Wizards")</f>
        <v>Washington Wizards</v>
      </c>
      <c r="C669" s="273"/>
      <c r="D669" s="193"/>
      <c r="E669" s="272" t="n">
        <f aca="false">IFERROR(__xludf.dummyfunction("""COMPUTED_VALUE"""),6016080)</f>
        <v>6016080</v>
      </c>
      <c r="F669" s="193"/>
      <c r="G669" s="272" t="n">
        <f aca="false">IFERROR(__xludf.dummyfunction("""COMPUTED_VALUE"""),6316680)</f>
        <v>6316680</v>
      </c>
      <c r="H669" s="193"/>
      <c r="I669" s="272" t="n">
        <f aca="false">IFERROR(__xludf.dummyfunction("""COMPUTED_VALUE"""),6617160)</f>
        <v>6617160</v>
      </c>
      <c r="J669" s="271" t="str">
        <f aca="false">IFERROR(__xludf.dummyfunction("""COMPUTED_VALUE"""),"Club Option")</f>
        <v>Club Option</v>
      </c>
      <c r="K669" s="272" t="n">
        <f aca="false">IFERROR(__xludf.dummyfunction("""COMPUTED_VALUE"""),8436879)</f>
        <v>8436879</v>
      </c>
      <c r="L669" s="271" t="str">
        <f aca="false">IFERROR(__xludf.dummyfunction("""COMPUTED_VALUE"""),"Club Option")</f>
        <v>Club Option</v>
      </c>
      <c r="M669" s="272" t="n">
        <f aca="false">IFERROR(__xludf.dummyfunction("""COMPUTED_VALUE"""),25310637)</f>
        <v>25310637</v>
      </c>
      <c r="N669" s="271" t="str">
        <f aca="false">IFERROR(__xludf.dummyfunction("""COMPUTED_VALUE"""),"RFA - Bird")</f>
        <v>RFA - Bird</v>
      </c>
      <c r="O669" s="193" t="n">
        <f aca="false">IFERROR(__xludf.dummyfunction("""COMPUTED_VALUE"""),1)</f>
        <v>1</v>
      </c>
      <c r="P669" s="193"/>
      <c r="Q669" s="193"/>
      <c r="R669" s="193"/>
      <c r="S669" s="193"/>
      <c r="T669" s="193"/>
      <c r="U669" s="193"/>
      <c r="V669" s="193"/>
      <c r="W669" s="193"/>
      <c r="X669" s="193"/>
      <c r="Y669" s="193"/>
      <c r="Z669" s="193"/>
    </row>
    <row r="670" customFormat="false" ht="15.75" hidden="false" customHeight="false" outlineLevel="0" collapsed="false">
      <c r="A670" s="193" t="str">
        <f aca="false">IFERROR(__xludf.dummyfunction("""COMPUTED_VALUE"""),"Aaron Holiday")</f>
        <v>Aaron Holiday</v>
      </c>
      <c r="B670" s="271" t="str">
        <f aca="false">IFERROR(__xludf.dummyfunction("""COMPUTED_VALUE"""),"Washington Wizards")</f>
        <v>Washington Wizards</v>
      </c>
      <c r="C670" s="273"/>
      <c r="D670" s="193"/>
      <c r="E670" s="272" t="n">
        <f aca="false">IFERROR(__xludf.dummyfunction("""COMPUTED_VALUE"""),4901400)</f>
        <v>4901400</v>
      </c>
      <c r="F670" s="193"/>
      <c r="G670" s="272" t="n">
        <f aca="false">IFERROR(__xludf.dummyfunction("""COMPUTED_VALUE"""),6371820)</f>
        <v>6371820</v>
      </c>
      <c r="H670" s="271" t="str">
        <f aca="false">IFERROR(__xludf.dummyfunction("""COMPUTED_VALUE"""),"UFA - Bird")</f>
        <v>UFA - Bird</v>
      </c>
      <c r="I670" s="272" t="str">
        <f aca="false">IFERROR(__xludf.dummyfunction("""COMPUTED_VALUE"""),"")</f>
        <v/>
      </c>
      <c r="J670" s="193"/>
      <c r="K670" s="273"/>
      <c r="L670" s="193"/>
      <c r="M670" s="273"/>
      <c r="N670" s="193"/>
      <c r="O670" s="193" t="n">
        <f aca="false">IFERROR(__xludf.dummyfunction("""COMPUTED_VALUE"""),1)</f>
        <v>1</v>
      </c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</row>
    <row r="671" customFormat="false" ht="15.75" hidden="false" customHeight="false" outlineLevel="0" collapsed="false">
      <c r="A671" s="193" t="str">
        <f aca="false">IFERROR(__xludf.dummyfunction("""COMPUTED_VALUE"""),"Bub Carrington")</f>
        <v>Bub Carrington</v>
      </c>
      <c r="B671" s="271" t="str">
        <f aca="false">IFERROR(__xludf.dummyfunction("""COMPUTED_VALUE"""),"Washington Wizards")</f>
        <v>Washington Wizards</v>
      </c>
      <c r="C671" s="272" t="n">
        <f aca="false">IFERROR(__xludf.dummyfunction("""COMPUTED_VALUE"""),4454880)</f>
        <v>4454880</v>
      </c>
      <c r="D671" s="193"/>
      <c r="E671" s="272" t="n">
        <f aca="false">IFERROR(__xludf.dummyfunction("""COMPUTED_VALUE"""),4677600)</f>
        <v>4677600</v>
      </c>
      <c r="F671" s="193"/>
      <c r="G671" s="272" t="n">
        <f aca="false">IFERROR(__xludf.dummyfunction("""COMPUTED_VALUE"""),4900560)</f>
        <v>4900560</v>
      </c>
      <c r="H671" s="271" t="str">
        <f aca="false">IFERROR(__xludf.dummyfunction("""COMPUTED_VALUE"""),"Club Option")</f>
        <v>Club Option</v>
      </c>
      <c r="I671" s="272" t="n">
        <f aca="false">IFERROR(__xludf.dummyfunction("""COMPUTED_VALUE"""),7257730)</f>
        <v>7257730</v>
      </c>
      <c r="J671" s="271" t="str">
        <f aca="false">IFERROR(__xludf.dummyfunction("""COMPUTED_VALUE"""),"Club Option")</f>
        <v>Club Option</v>
      </c>
      <c r="K671" s="272" t="n">
        <f aca="false">IFERROR(__xludf.dummyfunction("""COMPUTED_VALUE"""),21773190)</f>
        <v>21773190</v>
      </c>
      <c r="L671" s="193" t="str">
        <f aca="false">IFERROR(__xludf.dummyfunction("""COMPUTED_VALUE"""),"RFA - Bird")</f>
        <v>RFA - Bird</v>
      </c>
      <c r="M671" s="273"/>
      <c r="N671" s="193"/>
      <c r="O671" s="193" t="n">
        <f aca="false">IFERROR(__xludf.dummyfunction("""COMPUTED_VALUE"""),1)</f>
        <v>1</v>
      </c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</row>
    <row r="672" customFormat="false" ht="15.75" hidden="false" customHeight="false" outlineLevel="0" collapsed="false">
      <c r="A672" s="193" t="str">
        <f aca="false">IFERROR(__xludf.dummyfunction("""COMPUTED_VALUE"""),"Kevin Love")</f>
        <v>Kevin Love</v>
      </c>
      <c r="B672" s="271" t="str">
        <f aca="false">IFERROR(__xludf.dummyfunction("""COMPUTED_VALUE"""),"Washington Wizards")</f>
        <v>Washington Wizards</v>
      </c>
      <c r="C672" s="272" t="n">
        <f aca="false">IFERROR(__xludf.dummyfunction("""COMPUTED_VALUE"""),3850000)</f>
        <v>3850000</v>
      </c>
      <c r="D672" s="271" t="str">
        <f aca="false">IFERROR(__xludf.dummyfunction("""COMPUTED_VALUE"""),"Dead Cap")</f>
        <v>Dead Cap</v>
      </c>
      <c r="E672" s="272" t="n">
        <f aca="false">IFERROR(__xludf.dummyfunction("""COMPUTED_VALUE"""),4150000)</f>
        <v>4150000</v>
      </c>
      <c r="F672" s="193" t="str">
        <f aca="false">IFERROR(__xludf.dummyfunction("""COMPUTED_VALUE"""),"Dead Cap")</f>
        <v>Dead Cap</v>
      </c>
      <c r="G672" s="273"/>
      <c r="H672" s="193"/>
      <c r="I672" s="273"/>
      <c r="J672" s="193"/>
      <c r="K672" s="273"/>
      <c r="L672" s="193"/>
      <c r="M672" s="273"/>
      <c r="N672" s="193"/>
      <c r="O672" s="193" t="n">
        <f aca="false">IFERROR(__xludf.dummyfunction("""COMPUTED_VALUE"""),1)</f>
        <v>1</v>
      </c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</row>
    <row r="673" customFormat="false" ht="15.75" hidden="false" customHeight="false" outlineLevel="0" collapsed="false">
      <c r="A673" s="193" t="str">
        <f aca="false">IFERROR(__xludf.dummyfunction("""COMPUTED_VALUE"""),"AJ Johnson")</f>
        <v>AJ Johnson</v>
      </c>
      <c r="B673" s="271" t="str">
        <f aca="false">IFERROR(__xludf.dummyfunction("""COMPUTED_VALUE"""),"Washington Wizards")</f>
        <v>Washington Wizards</v>
      </c>
      <c r="C673" s="272" t="n">
        <f aca="false">IFERROR(__xludf.dummyfunction("""COMPUTED_VALUE"""),2795294)</f>
        <v>2795294</v>
      </c>
      <c r="D673" s="193"/>
      <c r="E673" s="272" t="n">
        <f aca="false">IFERROR(__xludf.dummyfunction("""COMPUTED_VALUE"""),3090480)</f>
        <v>3090480</v>
      </c>
      <c r="F673" s="193"/>
      <c r="G673" s="272" t="n">
        <f aca="false">IFERROR(__xludf.dummyfunction("""COMPUTED_VALUE"""),3237120)</f>
        <v>3237120</v>
      </c>
      <c r="H673" s="271" t="str">
        <f aca="false">IFERROR(__xludf.dummyfunction("""COMPUTED_VALUE"""),"Club Option")</f>
        <v>Club Option</v>
      </c>
      <c r="I673" s="272" t="n">
        <f aca="false">IFERROR(__xludf.dummyfunction("""COMPUTED_VALUE"""),5493394)</f>
        <v>5493394</v>
      </c>
      <c r="J673" s="271" t="str">
        <f aca="false">IFERROR(__xludf.dummyfunction("""COMPUTED_VALUE"""),"Club Option")</f>
        <v>Club Option</v>
      </c>
      <c r="K673" s="272" t="n">
        <f aca="false">IFERROR(__xludf.dummyfunction("""COMPUTED_VALUE"""),16480182)</f>
        <v>16480182</v>
      </c>
      <c r="L673" s="193" t="str">
        <f aca="false">IFERROR(__xludf.dummyfunction("""COMPUTED_VALUE"""),"RFA - Bird")</f>
        <v>RFA - Bird</v>
      </c>
      <c r="M673" s="273"/>
      <c r="N673" s="193"/>
      <c r="O673" s="193" t="n">
        <f aca="false">IFERROR(__xludf.dummyfunction("""COMPUTED_VALUE"""),1)</f>
        <v>1</v>
      </c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</row>
    <row r="674" customFormat="false" ht="15.75" hidden="false" customHeight="false" outlineLevel="0" collapsed="false">
      <c r="A674" s="193" t="str">
        <f aca="false">IFERROR(__xludf.dummyfunction("""COMPUTED_VALUE"""),"Kyshawn George")</f>
        <v>Kyshawn George</v>
      </c>
      <c r="B674" s="271" t="str">
        <f aca="false">IFERROR(__xludf.dummyfunction("""COMPUTED_VALUE"""),"Washington Wizards")</f>
        <v>Washington Wizards</v>
      </c>
      <c r="C674" s="272" t="n">
        <f aca="false">IFERROR(__xludf.dummyfunction("""COMPUTED_VALUE"""),2825520)</f>
        <v>2825520</v>
      </c>
      <c r="D674" s="193"/>
      <c r="E674" s="272" t="n">
        <f aca="false">IFERROR(__xludf.dummyfunction("""COMPUTED_VALUE"""),2966760)</f>
        <v>2966760</v>
      </c>
      <c r="F674" s="193"/>
      <c r="G674" s="272" t="n">
        <f aca="false">IFERROR(__xludf.dummyfunction("""COMPUTED_VALUE"""),3108000)</f>
        <v>3108000</v>
      </c>
      <c r="H674" s="271" t="str">
        <f aca="false">IFERROR(__xludf.dummyfunction("""COMPUTED_VALUE"""),"Club Option")</f>
        <v>Club Option</v>
      </c>
      <c r="I674" s="272" t="n">
        <f aca="false">IFERROR(__xludf.dummyfunction("""COMPUTED_VALUE"""),5435892)</f>
        <v>5435892</v>
      </c>
      <c r="J674" s="271" t="str">
        <f aca="false">IFERROR(__xludf.dummyfunction("""COMPUTED_VALUE"""),"Club Option")</f>
        <v>Club Option</v>
      </c>
      <c r="K674" s="272" t="n">
        <f aca="false">IFERROR(__xludf.dummyfunction("""COMPUTED_VALUE"""),16307676)</f>
        <v>16307676</v>
      </c>
      <c r="L674" s="193" t="str">
        <f aca="false">IFERROR(__xludf.dummyfunction("""COMPUTED_VALUE"""),"RFA - Bird")</f>
        <v>RFA - Bird</v>
      </c>
      <c r="M674" s="273"/>
      <c r="N674" s="193"/>
      <c r="O674" s="193" t="n">
        <f aca="false">IFERROR(__xludf.dummyfunction("""COMPUTED_VALUE"""),1)</f>
        <v>1</v>
      </c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</row>
    <row r="675" customFormat="false" ht="15.75" hidden="false" customHeight="false" outlineLevel="0" collapsed="false">
      <c r="A675" s="193" t="str">
        <f aca="false">IFERROR(__xludf.dummyfunction("""COMPUTED_VALUE"""),"Isaiah Collier")</f>
        <v>Isaiah Collier</v>
      </c>
      <c r="B675" s="271" t="str">
        <f aca="false">IFERROR(__xludf.dummyfunction("""COMPUTED_VALUE"""),"Washington Wizards")</f>
        <v>Washington Wizards</v>
      </c>
      <c r="C675" s="272" t="n">
        <f aca="false">IFERROR(__xludf.dummyfunction("""COMPUTED_VALUE"""),2512680)</f>
        <v>2512680</v>
      </c>
      <c r="D675" s="193"/>
      <c r="E675" s="272" t="n">
        <f aca="false">IFERROR(__xludf.dummyfunction("""COMPUTED_VALUE"""),2638200)</f>
        <v>2638200</v>
      </c>
      <c r="F675" s="193"/>
      <c r="G675" s="272" t="n">
        <f aca="false">IFERROR(__xludf.dummyfunction("""COMPUTED_VALUE"""),2763960)</f>
        <v>2763960</v>
      </c>
      <c r="H675" s="271" t="str">
        <f aca="false">IFERROR(__xludf.dummyfunction("""COMPUTED_VALUE"""),"Club Option")</f>
        <v>Club Option</v>
      </c>
      <c r="I675" s="272" t="n">
        <f aca="false">IFERROR(__xludf.dummyfunction("""COMPUTED_VALUE"""),4988948)</f>
        <v>4988948</v>
      </c>
      <c r="J675" s="271" t="str">
        <f aca="false">IFERROR(__xludf.dummyfunction("""COMPUTED_VALUE"""),"Club Option")</f>
        <v>Club Option</v>
      </c>
      <c r="K675" s="272" t="n">
        <f aca="false">IFERROR(__xludf.dummyfunction("""COMPUTED_VALUE"""),14966844)</f>
        <v>14966844</v>
      </c>
      <c r="L675" s="193" t="str">
        <f aca="false">IFERROR(__xludf.dummyfunction("""COMPUTED_VALUE"""),"RFA - Bird")</f>
        <v>RFA - Bird</v>
      </c>
      <c r="M675" s="273"/>
      <c r="N675" s="193"/>
      <c r="O675" s="193" t="n">
        <f aca="false">IFERROR(__xludf.dummyfunction("""COMPUTED_VALUE"""),1)</f>
        <v>1</v>
      </c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</row>
    <row r="676" customFormat="false" ht="15.75" hidden="false" customHeight="false" outlineLevel="0" collapsed="false">
      <c r="A676" s="193" t="str">
        <f aca="false">IFERROR(__xludf.dummyfunction("""COMPUTED_VALUE"""),"Karlo Matkovic")</f>
        <v>Karlo Matkovic</v>
      </c>
      <c r="B676" s="271" t="str">
        <f aca="false">IFERROR(__xludf.dummyfunction("""COMPUTED_VALUE"""),"Washington Wizards")</f>
        <v>Washington Wizards</v>
      </c>
      <c r="C676" s="272" t="n">
        <f aca="false">IFERROR(__xludf.dummyfunction("""COMPUTED_VALUE"""),1407153)</f>
        <v>1407153</v>
      </c>
      <c r="D676" s="193"/>
      <c r="E676" s="272" t="n">
        <f aca="false">IFERROR(__xludf.dummyfunction("""COMPUTED_VALUE"""),1955377)</f>
        <v>1955377</v>
      </c>
      <c r="F676" s="193"/>
      <c r="G676" s="272" t="n">
        <f aca="false">IFERROR(__xludf.dummyfunction("""COMPUTED_VALUE"""),2296271)</f>
        <v>2296271</v>
      </c>
      <c r="H676" s="193" t="str">
        <f aca="false">IFERROR(__xludf.dummyfunction("""COMPUTED_VALUE"""),"Club Option")</f>
        <v>Club Option</v>
      </c>
      <c r="I676" s="272" t="n">
        <f aca="false">IFERROR(__xludf.dummyfunction("""COMPUTED_VALUE"""),3099966)</f>
        <v>3099966</v>
      </c>
      <c r="J676" s="271" t="str">
        <f aca="false">IFERROR(__xludf.dummyfunction("""COMPUTED_VALUE"""),"RFA - Bird")</f>
        <v>RFA - Bird</v>
      </c>
      <c r="K676" s="273"/>
      <c r="L676" s="193"/>
      <c r="M676" s="273"/>
      <c r="N676" s="193"/>
      <c r="O676" s="193" t="n">
        <f aca="false">IFERROR(__xludf.dummyfunction("""COMPUTED_VALUE"""),1)</f>
        <v>1</v>
      </c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</row>
    <row r="677" customFormat="false" ht="15.75" hidden="false" customHeight="false" outlineLevel="0" collapsed="false">
      <c r="A677" s="193" t="str">
        <f aca="false">IFERROR(__xludf.dummyfunction("""COMPUTED_VALUE"""),"Richaun Holmes")</f>
        <v>Richaun Holmes</v>
      </c>
      <c r="B677" s="271" t="str">
        <f aca="false">IFERROR(__xludf.dummyfunction("""COMPUTED_VALUE"""),"Washington Wizards")</f>
        <v>Washington Wizards</v>
      </c>
      <c r="C677" s="273"/>
      <c r="D677" s="271" t="str">
        <f aca="false">IFERROR(__xludf.dummyfunction("""COMPUTED_VALUE"""),"Dead Cap")</f>
        <v>Dead Cap</v>
      </c>
      <c r="E677" s="272" t="n">
        <f aca="false">IFERROR(__xludf.dummyfunction("""COMPUTED_VALUE"""),250000)</f>
        <v>250000</v>
      </c>
      <c r="F677" s="193" t="str">
        <f aca="false">IFERROR(__xludf.dummyfunction("""COMPUTED_VALUE"""),"Dead Cap")</f>
        <v>Dead Cap</v>
      </c>
      <c r="G677" s="273"/>
      <c r="H677" s="193"/>
      <c r="I677" s="272" t="str">
        <f aca="false">IFERROR(__xludf.dummyfunction("""COMPUTED_VALUE"""),"")</f>
        <v/>
      </c>
      <c r="J677" s="193"/>
      <c r="K677" s="273"/>
      <c r="L677" s="193"/>
      <c r="M677" s="273"/>
      <c r="N677" s="193"/>
      <c r="O677" s="193" t="n">
        <f aca="false">IFERROR(__xludf.dummyfunction("""COMPUTED_VALUE"""),2)</f>
        <v>2</v>
      </c>
      <c r="P677" s="193"/>
      <c r="Q677" s="193"/>
      <c r="R677" s="193"/>
      <c r="S677" s="193"/>
      <c r="T677" s="193"/>
      <c r="U677" s="193"/>
      <c r="V677" s="193"/>
      <c r="W677" s="193"/>
      <c r="X677" s="193"/>
      <c r="Y677" s="193"/>
      <c r="Z677" s="193"/>
    </row>
    <row r="678" customFormat="false" ht="15.75" hidden="false" customHeight="false" outlineLevel="0" collapsed="false">
      <c r="A678" s="193" t="str">
        <f aca="false">IFERROR(__xludf.dummyfunction("""COMPUTED_VALUE"""),"Tristan Vukcevic")</f>
        <v>Tristan Vukcevic</v>
      </c>
      <c r="B678" s="271" t="str">
        <f aca="false">IFERROR(__xludf.dummyfunction("""COMPUTED_VALUE"""),"Washington Wizards")</f>
        <v>Washington Wizards</v>
      </c>
      <c r="C678" s="273"/>
      <c r="D678" s="193"/>
      <c r="E678" s="273"/>
      <c r="F678" s="193" t="str">
        <f aca="false">IFERROR(__xludf.dummyfunction("""COMPUTED_VALUE"""),"UFA - Rights Renounced")</f>
        <v>UFA - Rights Renounced</v>
      </c>
      <c r="G678" s="273"/>
      <c r="H678" s="193"/>
      <c r="I678" s="273"/>
      <c r="J678" s="193"/>
      <c r="K678" s="273"/>
      <c r="L678" s="193"/>
      <c r="M678" s="273"/>
      <c r="N678" s="193"/>
      <c r="O678" s="193" t="n">
        <f aca="false">IFERROR(__xludf.dummyfunction("""COMPUTED_VALUE"""),1)</f>
        <v>1</v>
      </c>
      <c r="P678" s="193"/>
      <c r="Q678" s="193"/>
      <c r="R678" s="193"/>
      <c r="S678" s="193"/>
      <c r="T678" s="193"/>
      <c r="U678" s="193"/>
      <c r="V678" s="193"/>
      <c r="W678" s="193"/>
      <c r="X678" s="193"/>
      <c r="Y678" s="193"/>
      <c r="Z678" s="193"/>
    </row>
    <row r="679" customFormat="false" ht="15.75" hidden="false" customHeight="false" outlineLevel="0" collapsed="false">
      <c r="A679" s="193" t="str">
        <f aca="false">IFERROR(__xludf.dummyfunction("""COMPUTED_VALUE"""),"Richaun Holmes")</f>
        <v>Richaun Holmes</v>
      </c>
      <c r="B679" s="271" t="str">
        <f aca="false">IFERROR(__xludf.dummyfunction("""COMPUTED_VALUE"""),"Washington Wizards")</f>
        <v>Washington Wizards</v>
      </c>
      <c r="C679" s="272" t="n">
        <f aca="false">IFERROR(__xludf.dummyfunction("""COMPUTED_VALUE"""),12648321)</f>
        <v>12648321</v>
      </c>
      <c r="D679" s="193"/>
      <c r="E679" s="273"/>
      <c r="F679" s="193" t="str">
        <f aca="false">IFERROR(__xludf.dummyfunction("""COMPUTED_VALUE"""),"UFA - Rights Renounced")</f>
        <v>UFA - Rights Renounced</v>
      </c>
      <c r="G679" s="273"/>
      <c r="H679" s="193"/>
      <c r="I679" s="272" t="str">
        <f aca="false">IFERROR(__xludf.dummyfunction("""COMPUTED_VALUE"""),"")</f>
        <v/>
      </c>
      <c r="J679" s="193"/>
      <c r="K679" s="273"/>
      <c r="L679" s="193"/>
      <c r="M679" s="273"/>
      <c r="N679" s="193"/>
      <c r="O679" s="193" t="n">
        <f aca="false">IFERROR(__xludf.dummyfunction("""COMPUTED_VALUE"""),2)</f>
        <v>2</v>
      </c>
      <c r="P679" s="193"/>
      <c r="Q679" s="193"/>
      <c r="R679" s="193"/>
      <c r="S679" s="193"/>
      <c r="T679" s="193"/>
      <c r="U679" s="193"/>
      <c r="V679" s="193"/>
      <c r="W679" s="193"/>
      <c r="X679" s="193"/>
      <c r="Y679" s="193"/>
      <c r="Z679" s="193"/>
    </row>
    <row r="680" customFormat="false" ht="15.75" hidden="false" customHeight="false" outlineLevel="0" collapsed="false">
      <c r="A680" s="193" t="str">
        <f aca="false">IFERROR(__xludf.dummyfunction("""COMPUTED_VALUE"""),"Ian Mahinmi")</f>
        <v>Ian Mahinmi</v>
      </c>
      <c r="B680" s="271" t="str">
        <f aca="false">IFERROR(__xludf.dummyfunction("""COMPUTED_VALUE"""),"Washington Wizards")</f>
        <v>Washington Wizards</v>
      </c>
      <c r="C680" s="272" t="n">
        <f aca="false">IFERROR(__xludf.dummyfunction("""COMPUTED_VALUE"""),23175077)</f>
        <v>23175077</v>
      </c>
      <c r="D680" s="271" t="str">
        <f aca="false">IFERROR(__xludf.dummyfunction("""COMPUTED_VALUE"""),"UFA - Bird")</f>
        <v>UFA - Bird</v>
      </c>
      <c r="E680" s="273"/>
      <c r="F680" s="193" t="str">
        <f aca="false">IFERROR(__xludf.dummyfunction("""COMPUTED_VALUE"""),"UFA - Rights Renounced")</f>
        <v>UFA - Rights Renounced</v>
      </c>
      <c r="G680" s="273"/>
      <c r="H680" s="193"/>
      <c r="I680" s="273"/>
      <c r="J680" s="193"/>
      <c r="K680" s="273"/>
      <c r="L680" s="193"/>
      <c r="M680" s="273"/>
      <c r="N680" s="193"/>
      <c r="O680" s="193" t="n">
        <f aca="false">IFERROR(__xludf.dummyfunction("""COMPUTED_VALUE"""),1)</f>
        <v>1</v>
      </c>
      <c r="P680" s="193"/>
      <c r="Q680" s="193"/>
      <c r="R680" s="193"/>
      <c r="S680" s="193"/>
      <c r="T680" s="193"/>
      <c r="U680" s="193"/>
      <c r="V680" s="193"/>
      <c r="W680" s="193"/>
      <c r="X680" s="193"/>
      <c r="Y680" s="193"/>
      <c r="Z680" s="193"/>
    </row>
    <row r="681" customFormat="false" ht="15.75" hidden="false" customHeight="false" outlineLevel="0" collapsed="false">
      <c r="A681" s="193" t="str">
        <f aca="false">IFERROR(__xludf.dummyfunction("""COMPUTED_VALUE"""),"Kendrick Nunn")</f>
        <v>Kendrick Nunn</v>
      </c>
      <c r="B681" s="271" t="str">
        <f aca="false">IFERROR(__xludf.dummyfunction("""COMPUTED_VALUE"""),"Washington Wizards")</f>
        <v>Washington Wizards</v>
      </c>
      <c r="C681" s="272" t="n">
        <f aca="false">IFERROR(__xludf.dummyfunction("""COMPUTED_VALUE"""),6825000)</f>
        <v>6825000</v>
      </c>
      <c r="D681" s="271" t="str">
        <f aca="false">IFERROR(__xludf.dummyfunction("""COMPUTED_VALUE"""),"UFA - Early-Bird")</f>
        <v>UFA - Early-Bird</v>
      </c>
      <c r="E681" s="273"/>
      <c r="F681" s="193" t="str">
        <f aca="false">IFERROR(__xludf.dummyfunction("""COMPUTED_VALUE"""),"UFA - Rights Renounced")</f>
        <v>UFA - Rights Renounced</v>
      </c>
      <c r="G681" s="273"/>
      <c r="H681" s="193"/>
      <c r="I681" s="273"/>
      <c r="J681" s="193"/>
      <c r="K681" s="273"/>
      <c r="L681" s="193"/>
      <c r="M681" s="273"/>
      <c r="N681" s="193"/>
      <c r="O681" s="193" t="n">
        <f aca="false">IFERROR(__xludf.dummyfunction("""COMPUTED_VALUE"""),1)</f>
        <v>1</v>
      </c>
      <c r="P681" s="193"/>
      <c r="Q681" s="193"/>
      <c r="R681" s="193"/>
      <c r="S681" s="193"/>
      <c r="T681" s="193"/>
      <c r="U681" s="193"/>
      <c r="V681" s="193"/>
      <c r="W681" s="193"/>
      <c r="X681" s="193"/>
      <c r="Y681" s="193"/>
      <c r="Z681" s="193"/>
    </row>
    <row r="682" customFormat="false" ht="15.75" hidden="false" customHeight="false" outlineLevel="0" collapsed="false">
      <c r="A682" s="193" t="str">
        <f aca="false">IFERROR(__xludf.dummyfunction("""COMPUTED_VALUE"""),"Tomas Satoransky")</f>
        <v>Tomas Satoransky</v>
      </c>
      <c r="B682" s="271" t="str">
        <f aca="false">IFERROR(__xludf.dummyfunction("""COMPUTED_VALUE"""),"Washington Wizards")</f>
        <v>Washington Wizards</v>
      </c>
      <c r="C682" s="272" t="n">
        <f aca="false">IFERROR(__xludf.dummyfunction("""COMPUTED_VALUE"""),2087519)</f>
        <v>2087519</v>
      </c>
      <c r="D682" s="271" t="str">
        <f aca="false">IFERROR(__xludf.dummyfunction("""COMPUTED_VALUE"""),"UFA - Non-Bird")</f>
        <v>UFA - Non-Bird</v>
      </c>
      <c r="E682" s="273"/>
      <c r="F682" s="193" t="str">
        <f aca="false">IFERROR(__xludf.dummyfunction("""COMPUTED_VALUE"""),"UFA - Rights Renounced")</f>
        <v>UFA - Rights Renounced</v>
      </c>
      <c r="G682" s="273"/>
      <c r="H682" s="193"/>
      <c r="I682" s="273"/>
      <c r="J682" s="193"/>
      <c r="K682" s="273"/>
      <c r="L682" s="193"/>
      <c r="M682" s="273"/>
      <c r="N682" s="193"/>
      <c r="O682" s="193" t="n">
        <f aca="false">IFERROR(__xludf.dummyfunction("""COMPUTED_VALUE"""),1)</f>
        <v>1</v>
      </c>
      <c r="P682" s="193"/>
      <c r="Q682" s="193"/>
      <c r="R682" s="193"/>
      <c r="S682" s="193"/>
      <c r="T682" s="193"/>
      <c r="U682" s="193"/>
      <c r="V682" s="193"/>
      <c r="W682" s="193"/>
      <c r="X682" s="193"/>
      <c r="Y682" s="193"/>
      <c r="Z682" s="193"/>
    </row>
    <row r="683" customFormat="false" ht="15.75" hidden="false" customHeight="false" outlineLevel="0" collapsed="false">
      <c r="A683" s="193" t="str">
        <f aca="false">IFERROR(__xludf.dummyfunction("""COMPUTED_VALUE"""),"Cassius Winston")</f>
        <v>Cassius Winston</v>
      </c>
      <c r="B683" s="271" t="str">
        <f aca="false">IFERROR(__xludf.dummyfunction("""COMPUTED_VALUE"""),"Washington Wizards")</f>
        <v>Washington Wizards</v>
      </c>
      <c r="C683" s="272" t="n">
        <f aca="false">IFERROR(__xludf.dummyfunction("""COMPUTED_VALUE"""),1862265)</f>
        <v>1862265</v>
      </c>
      <c r="D683" s="271" t="str">
        <f aca="false">IFERROR(__xludf.dummyfunction("""COMPUTED_VALUE"""),"UFA - Two-way")</f>
        <v>UFA - Two-way</v>
      </c>
      <c r="E683" s="273"/>
      <c r="F683" s="193" t="str">
        <f aca="false">IFERROR(__xludf.dummyfunction("""COMPUTED_VALUE"""),"UFA - Rights Renounced")</f>
        <v>UFA - Rights Renounced</v>
      </c>
      <c r="G683" s="273"/>
      <c r="H683" s="193"/>
      <c r="I683" s="273"/>
      <c r="J683" s="193"/>
      <c r="K683" s="273"/>
      <c r="L683" s="193"/>
      <c r="M683" s="273"/>
      <c r="N683" s="193"/>
      <c r="O683" s="193" t="n">
        <f aca="false">IFERROR(__xludf.dummyfunction("""COMPUTED_VALUE"""),1)</f>
        <v>1</v>
      </c>
      <c r="P683" s="193"/>
      <c r="Q683" s="193"/>
      <c r="R683" s="193"/>
      <c r="S683" s="193"/>
      <c r="T683" s="193"/>
      <c r="U683" s="193"/>
      <c r="V683" s="193"/>
      <c r="W683" s="193"/>
      <c r="X683" s="193"/>
      <c r="Y683" s="193"/>
      <c r="Z683" s="193"/>
    </row>
    <row r="684" customFormat="false" ht="15.75" hidden="false" customHeight="false" outlineLevel="0" collapsed="false">
      <c r="A684" s="193" t="str">
        <f aca="false">IFERROR(__xludf.dummyfunction("""COMPUTED_VALUE"""),"Johnathan Williams")</f>
        <v>Johnathan Williams</v>
      </c>
      <c r="B684" s="271" t="str">
        <f aca="false">IFERROR(__xludf.dummyfunction("""COMPUTED_VALUE"""),"Washington Wizards")</f>
        <v>Washington Wizards</v>
      </c>
      <c r="C684" s="272" t="n">
        <f aca="false">IFERROR(__xludf.dummyfunction("""COMPUTED_VALUE"""),1862265)</f>
        <v>1862265</v>
      </c>
      <c r="D684" s="271" t="str">
        <f aca="false">IFERROR(__xludf.dummyfunction("""COMPUTED_VALUE"""),"UFA - Two-way")</f>
        <v>UFA - Two-way</v>
      </c>
      <c r="E684" s="273"/>
      <c r="F684" s="193" t="str">
        <f aca="false">IFERROR(__xludf.dummyfunction("""COMPUTED_VALUE"""),"UFA - Rights Renounced")</f>
        <v>UFA - Rights Renounced</v>
      </c>
      <c r="G684" s="273"/>
      <c r="H684" s="193"/>
      <c r="I684" s="273"/>
      <c r="J684" s="193"/>
      <c r="K684" s="273"/>
      <c r="L684" s="193"/>
      <c r="M684" s="273"/>
      <c r="N684" s="193"/>
      <c r="O684" s="193" t="n">
        <f aca="false">IFERROR(__xludf.dummyfunction("""COMPUTED_VALUE"""),1)</f>
        <v>1</v>
      </c>
      <c r="P684" s="193"/>
      <c r="Q684" s="193"/>
      <c r="R684" s="193"/>
      <c r="S684" s="193"/>
      <c r="T684" s="193"/>
      <c r="U684" s="193"/>
      <c r="V684" s="193"/>
      <c r="W684" s="193"/>
      <c r="X684" s="193"/>
      <c r="Y684" s="193"/>
      <c r="Z684" s="193"/>
    </row>
    <row r="685" customFormat="false" ht="15.75" hidden="false" customHeight="false" outlineLevel="0" collapsed="false">
      <c r="A685" s="193" t="str">
        <f aca="false">IFERROR(__xludf.dummyfunction("""COMPUTED_VALUE"""),"JT Thor")</f>
        <v>JT Thor</v>
      </c>
      <c r="B685" s="271" t="str">
        <f aca="false">IFERROR(__xludf.dummyfunction("""COMPUTED_VALUE"""),"Washington Wizards")</f>
        <v>Washington Wizards</v>
      </c>
      <c r="C685" s="273"/>
      <c r="D685" s="193"/>
      <c r="E685" s="273"/>
      <c r="F685" s="193" t="str">
        <f aca="false">IFERROR(__xludf.dummyfunction("""COMPUTED_VALUE"""),"UFA - Rights Renounced")</f>
        <v>UFA - Rights Renounced</v>
      </c>
      <c r="G685" s="273"/>
      <c r="H685" s="193"/>
      <c r="I685" s="273"/>
      <c r="J685" s="193"/>
      <c r="K685" s="273"/>
      <c r="L685" s="193"/>
      <c r="M685" s="273"/>
      <c r="N685" s="193"/>
      <c r="O685" s="193" t="n">
        <f aca="false">IFERROR(__xludf.dummyfunction("""COMPUTED_VALUE"""),1)</f>
        <v>1</v>
      </c>
      <c r="P685" s="193"/>
      <c r="Q685" s="193"/>
      <c r="R685" s="193"/>
      <c r="S685" s="193"/>
      <c r="T685" s="193"/>
      <c r="U685" s="193"/>
      <c r="V685" s="193"/>
      <c r="W685" s="193"/>
      <c r="X685" s="193"/>
      <c r="Y685" s="193"/>
      <c r="Z685" s="193"/>
    </row>
    <row r="686" customFormat="false" ht="15.75" hidden="false" customHeight="false" outlineLevel="0" collapsed="false">
      <c r="A686" s="193" t="str">
        <f aca="false">IFERROR(__xludf.dummyfunction("""COMPUTED_VALUE"""),"Anthony Gill")</f>
        <v>Anthony Gill</v>
      </c>
      <c r="B686" s="271" t="str">
        <f aca="false">IFERROR(__xludf.dummyfunction("""COMPUTED_VALUE"""),"Washington Wizards")</f>
        <v>Washington Wizards</v>
      </c>
      <c r="C686" s="272" t="n">
        <f aca="false">IFERROR(__xludf.dummyfunction("""COMPUTED_VALUE"""),2237691)</f>
        <v>2237691</v>
      </c>
      <c r="D686" s="193"/>
      <c r="E686" s="273"/>
      <c r="F686" s="193" t="str">
        <f aca="false">IFERROR(__xludf.dummyfunction("""COMPUTED_VALUE"""),"UFA - Rights Renounced")</f>
        <v>UFA - Rights Renounced</v>
      </c>
      <c r="G686" s="273"/>
      <c r="H686" s="193"/>
      <c r="I686" s="272" t="str">
        <f aca="false">IFERROR(__xludf.dummyfunction("""COMPUTED_VALUE"""),"")</f>
        <v/>
      </c>
      <c r="J686" s="193"/>
      <c r="K686" s="273"/>
      <c r="L686" s="193"/>
      <c r="M686" s="273"/>
      <c r="N686" s="193"/>
      <c r="O686" s="193" t="n">
        <f aca="false">IFERROR(__xludf.dummyfunction("""COMPUTED_VALUE"""),1)</f>
        <v>1</v>
      </c>
      <c r="P686" s="193"/>
      <c r="Q686" s="193"/>
      <c r="R686" s="193"/>
      <c r="S686" s="193"/>
      <c r="T686" s="193"/>
      <c r="U686" s="193"/>
      <c r="V686" s="193"/>
      <c r="W686" s="193"/>
      <c r="X686" s="193"/>
      <c r="Y686" s="193"/>
      <c r="Z686" s="193"/>
    </row>
    <row r="687" customFormat="false" ht="15.75" hidden="false" customHeight="false" outlineLevel="0" collapsed="false">
      <c r="A687" s="193" t="str">
        <f aca="false">IFERROR(__xludf.dummyfunction("""COMPUTED_VALUE"""),"Colby Jones")</f>
        <v>Colby Jones</v>
      </c>
      <c r="B687" s="271" t="str">
        <f aca="false">IFERROR(__xludf.dummyfunction("""COMPUTED_VALUE"""),"Washington Wizards")</f>
        <v>Washington Wizards</v>
      </c>
      <c r="C687" s="272" t="n">
        <f aca="false">IFERROR(__xludf.dummyfunction("""COMPUTED_VALUE"""),2120693)</f>
        <v>2120693</v>
      </c>
      <c r="D687" s="193"/>
      <c r="E687" s="273"/>
      <c r="F687" s="193" t="str">
        <f aca="false">IFERROR(__xludf.dummyfunction("""COMPUTED_VALUE"""),"UFA - Rights Renounced")</f>
        <v>UFA - Rights Renounced</v>
      </c>
      <c r="G687" s="273"/>
      <c r="H687" s="193"/>
      <c r="I687" s="273"/>
      <c r="J687" s="193"/>
      <c r="K687" s="273"/>
      <c r="L687" s="193"/>
      <c r="M687" s="273"/>
      <c r="N687" s="193"/>
      <c r="O687" s="193" t="n">
        <f aca="false">IFERROR(__xludf.dummyfunction("""COMPUTED_VALUE"""),1)</f>
        <v>1</v>
      </c>
      <c r="P687" s="193"/>
      <c r="Q687" s="193"/>
      <c r="R687" s="193"/>
      <c r="S687" s="193"/>
      <c r="T687" s="193"/>
      <c r="U687" s="193"/>
      <c r="V687" s="193"/>
      <c r="W687" s="193"/>
      <c r="X687" s="193"/>
      <c r="Y687" s="193"/>
      <c r="Z687" s="193"/>
    </row>
    <row r="688" customFormat="false" ht="15.75" hidden="false" customHeight="false" outlineLevel="0" collapsed="false">
      <c r="A688" s="193" t="str">
        <f aca="false">IFERROR(__xludf.dummyfunction("""COMPUTED_VALUE"""),"Jaylen Martin")</f>
        <v>Jaylen Martin</v>
      </c>
      <c r="B688" s="271" t="str">
        <f aca="false">IFERROR(__xludf.dummyfunction("""COMPUTED_VALUE"""),"Washington Wizards")</f>
        <v>Washington Wizards</v>
      </c>
      <c r="C688" s="273"/>
      <c r="D688" s="193"/>
      <c r="E688" s="273"/>
      <c r="F688" s="193" t="str">
        <f aca="false">IFERROR(__xludf.dummyfunction("""COMPUTED_VALUE"""),"UFA - Rights Renounced")</f>
        <v>UFA - Rights Renounced</v>
      </c>
      <c r="G688" s="273"/>
      <c r="H688" s="193"/>
      <c r="I688" s="273"/>
      <c r="J688" s="193"/>
      <c r="K688" s="273"/>
      <c r="L688" s="193"/>
      <c r="M688" s="273"/>
      <c r="N688" s="193"/>
      <c r="O688" s="193" t="n">
        <f aca="false">IFERROR(__xludf.dummyfunction("""COMPUTED_VALUE"""),1)</f>
        <v>1</v>
      </c>
      <c r="P688" s="193"/>
      <c r="Q688" s="193"/>
      <c r="R688" s="193"/>
      <c r="S688" s="193"/>
      <c r="T688" s="193"/>
      <c r="U688" s="193"/>
      <c r="V688" s="193"/>
      <c r="W688" s="193"/>
      <c r="X688" s="193"/>
      <c r="Y688" s="193"/>
      <c r="Z688" s="193"/>
    </row>
    <row r="689" customFormat="false" ht="15.75" hidden="false" customHeight="false" outlineLevel="0" collapsed="false">
      <c r="A689" s="193" t="str">
        <f aca="false">IFERROR(__xludf.dummyfunction("""COMPUTED_VALUE"""),"Karter Knox")</f>
        <v>Karter Knox</v>
      </c>
      <c r="B689" s="271" t="str">
        <f aca="false">IFERROR(__xludf.dummyfunction("""COMPUTED_VALUE"""),"Washington Wizards")</f>
        <v>Washington Wizards</v>
      </c>
      <c r="C689" s="273"/>
      <c r="D689" s="271" t="str">
        <f aca="false">IFERROR(__xludf.dummyfunction("""COMPUTED_VALUE"""),"Not In League")</f>
        <v>Not In League</v>
      </c>
      <c r="E689" s="273"/>
      <c r="F689" s="193"/>
      <c r="G689" s="273"/>
      <c r="H689" s="193"/>
      <c r="I689" s="273"/>
      <c r="J689" s="193"/>
      <c r="K689" s="273"/>
      <c r="L689" s="193"/>
      <c r="M689" s="273"/>
      <c r="N689" s="193"/>
      <c r="O689" s="193" t="n">
        <f aca="false">IFERROR(__xludf.dummyfunction("""COMPUTED_VALUE"""),1)</f>
        <v>1</v>
      </c>
      <c r="P689" s="193"/>
      <c r="Q689" s="193"/>
      <c r="R689" s="193"/>
      <c r="S689" s="193"/>
      <c r="T689" s="193"/>
      <c r="U689" s="193"/>
      <c r="V689" s="193"/>
      <c r="W689" s="193"/>
      <c r="X689" s="193"/>
      <c r="Y689" s="193"/>
      <c r="Z689" s="193"/>
    </row>
    <row r="690" customFormat="false" ht="15.75" hidden="false" customHeight="false" outlineLevel="0" collapsed="false">
      <c r="A690" s="193"/>
      <c r="B690" s="193"/>
      <c r="C690" s="273"/>
      <c r="D690" s="193"/>
      <c r="E690" s="273"/>
      <c r="F690" s="193"/>
      <c r="G690" s="273"/>
      <c r="H690" s="193"/>
      <c r="I690" s="273"/>
      <c r="J690" s="193"/>
      <c r="K690" s="273"/>
      <c r="L690" s="193"/>
      <c r="M690" s="273"/>
      <c r="N690" s="193"/>
      <c r="O690" s="193"/>
      <c r="P690" s="193"/>
      <c r="Q690" s="193"/>
      <c r="R690" s="193"/>
      <c r="S690" s="193"/>
      <c r="T690" s="193"/>
      <c r="U690" s="193"/>
      <c r="V690" s="193"/>
      <c r="W690" s="193"/>
      <c r="X690" s="193"/>
      <c r="Y690" s="193"/>
      <c r="Z690" s="193"/>
    </row>
    <row r="691" customFormat="false" ht="15.75" hidden="false" customHeight="false" outlineLevel="0" collapsed="false">
      <c r="A691" s="193"/>
      <c r="B691" s="193"/>
      <c r="C691" s="273"/>
      <c r="D691" s="193"/>
      <c r="E691" s="273"/>
      <c r="F691" s="193"/>
      <c r="G691" s="273"/>
      <c r="H691" s="193"/>
      <c r="I691" s="273"/>
      <c r="J691" s="193"/>
      <c r="K691" s="273"/>
      <c r="L691" s="193"/>
      <c r="M691" s="273"/>
      <c r="N691" s="193"/>
      <c r="O691" s="193"/>
      <c r="P691" s="193"/>
      <c r="Q691" s="193"/>
      <c r="R691" s="193"/>
      <c r="S691" s="193"/>
      <c r="T691" s="193"/>
      <c r="U691" s="193"/>
      <c r="V691" s="193"/>
      <c r="W691" s="193"/>
      <c r="X691" s="193"/>
      <c r="Y691" s="193"/>
      <c r="Z691" s="193"/>
    </row>
    <row r="692" customFormat="false" ht="15.75" hidden="false" customHeight="false" outlineLevel="0" collapsed="false">
      <c r="A692" s="193"/>
      <c r="B692" s="193"/>
      <c r="C692" s="273"/>
      <c r="D692" s="193"/>
      <c r="E692" s="273"/>
      <c r="F692" s="193"/>
      <c r="G692" s="273"/>
      <c r="H692" s="193"/>
      <c r="I692" s="273"/>
      <c r="J692" s="193"/>
      <c r="K692" s="273"/>
      <c r="L692" s="193"/>
      <c r="M692" s="273"/>
      <c r="N692" s="193"/>
      <c r="O692" s="193"/>
      <c r="P692" s="193"/>
      <c r="Q692" s="193"/>
      <c r="R692" s="193"/>
      <c r="S692" s="193"/>
      <c r="T692" s="193"/>
      <c r="U692" s="193"/>
      <c r="V692" s="193"/>
      <c r="W692" s="193"/>
      <c r="X692" s="193"/>
      <c r="Y692" s="193"/>
      <c r="Z692" s="193"/>
    </row>
    <row r="693" customFormat="false" ht="15.75" hidden="false" customHeight="false" outlineLevel="0" collapsed="false">
      <c r="A693" s="193"/>
      <c r="B693" s="193"/>
      <c r="C693" s="273"/>
      <c r="D693" s="193"/>
      <c r="E693" s="273"/>
      <c r="F693" s="193"/>
      <c r="G693" s="273"/>
      <c r="H693" s="193"/>
      <c r="I693" s="273"/>
      <c r="J693" s="193"/>
      <c r="K693" s="273"/>
      <c r="L693" s="193"/>
      <c r="M693" s="273"/>
      <c r="N693" s="193"/>
      <c r="O693" s="193"/>
      <c r="P693" s="193"/>
      <c r="Q693" s="193"/>
      <c r="R693" s="193"/>
      <c r="S693" s="193"/>
      <c r="T693" s="193"/>
      <c r="U693" s="193"/>
      <c r="V693" s="193"/>
      <c r="W693" s="193"/>
      <c r="X693" s="193"/>
      <c r="Y693" s="193"/>
      <c r="Z693" s="193"/>
    </row>
    <row r="694" customFormat="false" ht="15.75" hidden="false" customHeight="false" outlineLevel="0" collapsed="false">
      <c r="A694" s="193"/>
      <c r="B694" s="193"/>
      <c r="C694" s="273"/>
      <c r="D694" s="193"/>
      <c r="E694" s="273"/>
      <c r="F694" s="193"/>
      <c r="G694" s="273"/>
      <c r="H694" s="193"/>
      <c r="I694" s="273"/>
      <c r="J694" s="193"/>
      <c r="K694" s="273"/>
      <c r="L694" s="193"/>
      <c r="M694" s="273"/>
      <c r="N694" s="193"/>
      <c r="O694" s="193"/>
      <c r="P694" s="193"/>
      <c r="Q694" s="193"/>
      <c r="R694" s="193"/>
      <c r="S694" s="193"/>
      <c r="T694" s="193"/>
      <c r="U694" s="193"/>
      <c r="V694" s="193"/>
      <c r="W694" s="193"/>
      <c r="X694" s="193"/>
      <c r="Y694" s="193"/>
      <c r="Z694" s="193"/>
    </row>
    <row r="695" customFormat="false" ht="15.75" hidden="false" customHeight="false" outlineLevel="0" collapsed="false">
      <c r="A695" s="193"/>
      <c r="B695" s="193"/>
      <c r="C695" s="273"/>
      <c r="D695" s="193"/>
      <c r="E695" s="273"/>
      <c r="F695" s="193"/>
      <c r="G695" s="273"/>
      <c r="H695" s="193"/>
      <c r="I695" s="273"/>
      <c r="J695" s="193"/>
      <c r="K695" s="273"/>
      <c r="L695" s="193"/>
      <c r="M695" s="273"/>
      <c r="N695" s="193"/>
      <c r="O695" s="193"/>
      <c r="P695" s="193"/>
      <c r="Q695" s="193"/>
      <c r="R695" s="193"/>
      <c r="S695" s="193"/>
      <c r="T695" s="193"/>
      <c r="U695" s="193"/>
      <c r="V695" s="193"/>
      <c r="W695" s="193"/>
      <c r="X695" s="193"/>
      <c r="Y695" s="193"/>
      <c r="Z695" s="193"/>
    </row>
    <row r="696" customFormat="false" ht="15.75" hidden="false" customHeight="false" outlineLevel="0" collapsed="false">
      <c r="A696" s="193"/>
      <c r="B696" s="193"/>
      <c r="C696" s="273"/>
      <c r="D696" s="193"/>
      <c r="E696" s="273"/>
      <c r="F696" s="193"/>
      <c r="G696" s="273"/>
      <c r="H696" s="193"/>
      <c r="I696" s="273"/>
      <c r="J696" s="193"/>
      <c r="K696" s="273"/>
      <c r="L696" s="193"/>
      <c r="M696" s="273"/>
      <c r="N696" s="193"/>
      <c r="O696" s="193"/>
      <c r="P696" s="193"/>
      <c r="Q696" s="193"/>
      <c r="R696" s="193"/>
      <c r="S696" s="193"/>
      <c r="T696" s="193"/>
      <c r="U696" s="193"/>
      <c r="V696" s="193"/>
      <c r="W696" s="193"/>
      <c r="X696" s="193"/>
      <c r="Y696" s="193"/>
      <c r="Z696" s="193"/>
    </row>
    <row r="697" customFormat="false" ht="15.75" hidden="false" customHeight="false" outlineLevel="0" collapsed="false">
      <c r="A697" s="193"/>
      <c r="B697" s="193"/>
      <c r="C697" s="273"/>
      <c r="D697" s="193"/>
      <c r="E697" s="273"/>
      <c r="F697" s="193"/>
      <c r="G697" s="273"/>
      <c r="H697" s="193"/>
      <c r="I697" s="273"/>
      <c r="J697" s="193"/>
      <c r="K697" s="273"/>
      <c r="L697" s="193"/>
      <c r="M697" s="273"/>
      <c r="N697" s="193"/>
      <c r="O697" s="193"/>
      <c r="P697" s="193"/>
      <c r="Q697" s="193"/>
      <c r="R697" s="193"/>
      <c r="S697" s="193"/>
      <c r="T697" s="193"/>
      <c r="U697" s="193"/>
      <c r="V697" s="193"/>
      <c r="W697" s="193"/>
      <c r="X697" s="193"/>
      <c r="Y697" s="193"/>
      <c r="Z697" s="193"/>
    </row>
    <row r="698" customFormat="false" ht="15.75" hidden="false" customHeight="false" outlineLevel="0" collapsed="false">
      <c r="A698" s="193"/>
      <c r="B698" s="193"/>
      <c r="C698" s="273"/>
      <c r="D698" s="193"/>
      <c r="E698" s="273"/>
      <c r="F698" s="193"/>
      <c r="G698" s="273"/>
      <c r="H698" s="193"/>
      <c r="I698" s="273"/>
      <c r="J698" s="193"/>
      <c r="K698" s="273"/>
      <c r="L698" s="193"/>
      <c r="M698" s="273"/>
      <c r="N698" s="193"/>
      <c r="O698" s="193"/>
      <c r="P698" s="193"/>
      <c r="Q698" s="193"/>
      <c r="R698" s="193"/>
      <c r="S698" s="193"/>
      <c r="T698" s="193"/>
      <c r="U698" s="193"/>
      <c r="V698" s="193"/>
      <c r="W698" s="193"/>
      <c r="X698" s="193"/>
      <c r="Y698" s="193"/>
      <c r="Z698" s="193"/>
    </row>
    <row r="699" customFormat="false" ht="15.75" hidden="false" customHeight="false" outlineLevel="0" collapsed="false">
      <c r="A699" s="193"/>
      <c r="B699" s="193"/>
      <c r="C699" s="273"/>
      <c r="D699" s="193"/>
      <c r="E699" s="273"/>
      <c r="F699" s="193"/>
      <c r="G699" s="273"/>
      <c r="H699" s="193"/>
      <c r="I699" s="273"/>
      <c r="J699" s="193"/>
      <c r="K699" s="273"/>
      <c r="L699" s="193"/>
      <c r="M699" s="273"/>
      <c r="N699" s="193"/>
      <c r="O699" s="193"/>
      <c r="P699" s="193"/>
      <c r="Q699" s="193"/>
      <c r="R699" s="193"/>
      <c r="S699" s="193"/>
      <c r="T699" s="193"/>
      <c r="U699" s="193"/>
      <c r="V699" s="193"/>
      <c r="W699" s="193"/>
      <c r="X699" s="193"/>
      <c r="Y699" s="193"/>
      <c r="Z699" s="193"/>
    </row>
    <row r="700" customFormat="false" ht="15.75" hidden="false" customHeight="false" outlineLevel="0" collapsed="false">
      <c r="A700" s="193"/>
      <c r="B700" s="193"/>
      <c r="C700" s="273"/>
      <c r="D700" s="193"/>
      <c r="E700" s="273"/>
      <c r="F700" s="193"/>
      <c r="G700" s="273"/>
      <c r="H700" s="193"/>
      <c r="I700" s="273"/>
      <c r="J700" s="193"/>
      <c r="K700" s="273"/>
      <c r="L700" s="193"/>
      <c r="M700" s="273"/>
      <c r="N700" s="193"/>
      <c r="O700" s="193"/>
      <c r="P700" s="193"/>
      <c r="Q700" s="193"/>
      <c r="R700" s="193"/>
      <c r="S700" s="193"/>
      <c r="T700" s="193"/>
      <c r="U700" s="193"/>
      <c r="V700" s="193"/>
      <c r="W700" s="193"/>
      <c r="X700" s="193"/>
      <c r="Y700" s="193"/>
      <c r="Z700" s="193"/>
    </row>
    <row r="701" customFormat="false" ht="15.75" hidden="false" customHeight="false" outlineLevel="0" collapsed="false">
      <c r="A701" s="193"/>
      <c r="B701" s="193"/>
      <c r="C701" s="273"/>
      <c r="D701" s="193"/>
      <c r="E701" s="273"/>
      <c r="F701" s="193"/>
      <c r="G701" s="273"/>
      <c r="H701" s="193"/>
      <c r="I701" s="273"/>
      <c r="J701" s="193"/>
      <c r="K701" s="273"/>
      <c r="L701" s="193"/>
      <c r="M701" s="273"/>
      <c r="N701" s="193"/>
      <c r="O701" s="193"/>
      <c r="P701" s="193"/>
      <c r="Q701" s="193"/>
      <c r="R701" s="193"/>
      <c r="S701" s="193"/>
      <c r="T701" s="193"/>
      <c r="U701" s="193"/>
      <c r="V701" s="193"/>
      <c r="W701" s="193"/>
      <c r="X701" s="193"/>
      <c r="Y701" s="193"/>
      <c r="Z701" s="193"/>
    </row>
    <row r="702" customFormat="false" ht="15.75" hidden="false" customHeight="false" outlineLevel="0" collapsed="false">
      <c r="A702" s="193"/>
      <c r="B702" s="193"/>
      <c r="C702" s="273"/>
      <c r="D702" s="193"/>
      <c r="E702" s="273"/>
      <c r="F702" s="193"/>
      <c r="G702" s="273"/>
      <c r="H702" s="193"/>
      <c r="I702" s="273"/>
      <c r="J702" s="193"/>
      <c r="K702" s="273"/>
      <c r="L702" s="193"/>
      <c r="M702" s="273"/>
      <c r="N702" s="193"/>
      <c r="O702" s="193"/>
      <c r="P702" s="193"/>
      <c r="Q702" s="193"/>
      <c r="R702" s="193"/>
      <c r="S702" s="193"/>
      <c r="T702" s="193"/>
      <c r="U702" s="193"/>
      <c r="V702" s="193"/>
      <c r="W702" s="193"/>
      <c r="X702" s="193"/>
      <c r="Y702" s="193"/>
      <c r="Z702" s="193"/>
    </row>
    <row r="703" customFormat="false" ht="15.75" hidden="false" customHeight="false" outlineLevel="0" collapsed="false">
      <c r="A703" s="193"/>
      <c r="B703" s="193"/>
      <c r="C703" s="273"/>
      <c r="D703" s="193"/>
      <c r="E703" s="273"/>
      <c r="F703" s="193"/>
      <c r="G703" s="273"/>
      <c r="H703" s="193"/>
      <c r="I703" s="273"/>
      <c r="J703" s="193"/>
      <c r="K703" s="273"/>
      <c r="L703" s="193"/>
      <c r="M703" s="273"/>
      <c r="N703" s="193"/>
      <c r="O703" s="193"/>
      <c r="P703" s="193"/>
      <c r="Q703" s="193"/>
      <c r="R703" s="193"/>
      <c r="S703" s="193"/>
      <c r="T703" s="193"/>
      <c r="U703" s="193"/>
      <c r="V703" s="193"/>
      <c r="W703" s="193"/>
      <c r="X703" s="193"/>
      <c r="Y703" s="193"/>
      <c r="Z703" s="193"/>
    </row>
    <row r="704" customFormat="false" ht="15.75" hidden="false" customHeight="false" outlineLevel="0" collapsed="false">
      <c r="A704" s="193"/>
      <c r="B704" s="193"/>
      <c r="C704" s="273"/>
      <c r="D704" s="193"/>
      <c r="E704" s="273"/>
      <c r="F704" s="193"/>
      <c r="G704" s="273"/>
      <c r="H704" s="193"/>
      <c r="I704" s="273"/>
      <c r="J704" s="193"/>
      <c r="K704" s="273"/>
      <c r="L704" s="193"/>
      <c r="M704" s="273"/>
      <c r="N704" s="193"/>
      <c r="O704" s="193"/>
      <c r="P704" s="193"/>
      <c r="Q704" s="193"/>
      <c r="R704" s="193"/>
      <c r="S704" s="193"/>
      <c r="T704" s="193"/>
      <c r="U704" s="193"/>
      <c r="V704" s="193"/>
      <c r="W704" s="193"/>
      <c r="X704" s="193"/>
      <c r="Y704" s="193"/>
      <c r="Z704" s="193"/>
    </row>
    <row r="705" customFormat="false" ht="15.75" hidden="false" customHeight="false" outlineLevel="0" collapsed="false">
      <c r="A705" s="193"/>
      <c r="B705" s="193"/>
      <c r="C705" s="273"/>
      <c r="D705" s="193"/>
      <c r="E705" s="273"/>
      <c r="F705" s="193"/>
      <c r="G705" s="273"/>
      <c r="H705" s="193"/>
      <c r="I705" s="273"/>
      <c r="J705" s="193"/>
      <c r="K705" s="273"/>
      <c r="L705" s="193"/>
      <c r="M705" s="273"/>
      <c r="N705" s="193"/>
      <c r="O705" s="193"/>
      <c r="P705" s="193"/>
      <c r="Q705" s="193"/>
      <c r="R705" s="193"/>
      <c r="S705" s="193"/>
      <c r="T705" s="193"/>
      <c r="U705" s="193"/>
      <c r="V705" s="193"/>
      <c r="W705" s="193"/>
      <c r="X705" s="193"/>
      <c r="Y705" s="193"/>
      <c r="Z705" s="193"/>
    </row>
    <row r="706" customFormat="false" ht="15.75" hidden="false" customHeight="false" outlineLevel="0" collapsed="false">
      <c r="A706" s="193"/>
      <c r="B706" s="193"/>
      <c r="C706" s="273"/>
      <c r="D706" s="193"/>
      <c r="E706" s="273"/>
      <c r="F706" s="193"/>
      <c r="G706" s="273"/>
      <c r="H706" s="193"/>
      <c r="I706" s="273"/>
      <c r="J706" s="193"/>
      <c r="K706" s="273"/>
      <c r="L706" s="193"/>
      <c r="M706" s="273"/>
      <c r="N706" s="193"/>
      <c r="O706" s="193"/>
      <c r="P706" s="193"/>
      <c r="Q706" s="193"/>
      <c r="R706" s="193"/>
      <c r="S706" s="193"/>
      <c r="T706" s="193"/>
      <c r="U706" s="193"/>
      <c r="V706" s="193"/>
      <c r="W706" s="193"/>
      <c r="X706" s="193"/>
      <c r="Y706" s="193"/>
      <c r="Z706" s="193"/>
    </row>
    <row r="707" customFormat="false" ht="15.75" hidden="false" customHeight="false" outlineLevel="0" collapsed="false">
      <c r="A707" s="193"/>
      <c r="B707" s="193"/>
      <c r="C707" s="273"/>
      <c r="D707" s="193"/>
      <c r="E707" s="273"/>
      <c r="F707" s="193"/>
      <c r="G707" s="273"/>
      <c r="H707" s="193"/>
      <c r="I707" s="273"/>
      <c r="J707" s="193"/>
      <c r="K707" s="273"/>
      <c r="L707" s="193"/>
      <c r="M707" s="273"/>
      <c r="N707" s="193"/>
      <c r="O707" s="193"/>
      <c r="P707" s="193"/>
      <c r="Q707" s="193"/>
      <c r="R707" s="193"/>
      <c r="S707" s="193"/>
      <c r="T707" s="193"/>
      <c r="U707" s="193"/>
      <c r="V707" s="193"/>
      <c r="W707" s="193"/>
      <c r="X707" s="193"/>
      <c r="Y707" s="193"/>
      <c r="Z707" s="193"/>
    </row>
    <row r="708" customFormat="false" ht="15.75" hidden="false" customHeight="false" outlineLevel="0" collapsed="false">
      <c r="A708" s="193"/>
      <c r="B708" s="193"/>
      <c r="C708" s="273"/>
      <c r="D708" s="193"/>
      <c r="E708" s="273"/>
      <c r="F708" s="193"/>
      <c r="G708" s="273"/>
      <c r="H708" s="193"/>
      <c r="I708" s="273"/>
      <c r="J708" s="193"/>
      <c r="K708" s="273"/>
      <c r="L708" s="193"/>
      <c r="M708" s="273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</row>
    <row r="709" customFormat="false" ht="15.75" hidden="false" customHeight="false" outlineLevel="0" collapsed="false">
      <c r="A709" s="193"/>
      <c r="B709" s="193"/>
      <c r="C709" s="273"/>
      <c r="D709" s="193"/>
      <c r="E709" s="273"/>
      <c r="F709" s="193"/>
      <c r="G709" s="273"/>
      <c r="H709" s="193"/>
      <c r="I709" s="273"/>
      <c r="J709" s="193"/>
      <c r="K709" s="273"/>
      <c r="L709" s="193"/>
      <c r="M709" s="273"/>
      <c r="N709" s="193"/>
      <c r="O709" s="193"/>
      <c r="P709" s="193"/>
      <c r="Q709" s="193"/>
      <c r="R709" s="193"/>
      <c r="S709" s="193"/>
      <c r="T709" s="193"/>
      <c r="U709" s="193"/>
      <c r="V709" s="193"/>
      <c r="W709" s="193"/>
      <c r="X709" s="193"/>
      <c r="Y709" s="193"/>
      <c r="Z709" s="193"/>
    </row>
    <row r="710" customFormat="false" ht="15.75" hidden="false" customHeight="false" outlineLevel="0" collapsed="false">
      <c r="A710" s="193"/>
      <c r="B710" s="193"/>
      <c r="C710" s="273"/>
      <c r="D710" s="193"/>
      <c r="E710" s="273"/>
      <c r="F710" s="193"/>
      <c r="G710" s="273"/>
      <c r="H710" s="193"/>
      <c r="I710" s="273"/>
      <c r="J710" s="193"/>
      <c r="K710" s="273"/>
      <c r="L710" s="193"/>
      <c r="M710" s="273"/>
      <c r="N710" s="193"/>
      <c r="O710" s="193"/>
      <c r="P710" s="193"/>
      <c r="Q710" s="193"/>
      <c r="R710" s="193"/>
      <c r="S710" s="193"/>
      <c r="T710" s="193"/>
      <c r="U710" s="193"/>
      <c r="V710" s="193"/>
      <c r="W710" s="193"/>
      <c r="X710" s="193"/>
      <c r="Y710" s="193"/>
      <c r="Z710" s="193"/>
    </row>
    <row r="711" customFormat="false" ht="15.75" hidden="false" customHeight="false" outlineLevel="0" collapsed="false">
      <c r="A711" s="193"/>
      <c r="B711" s="193"/>
      <c r="C711" s="273"/>
      <c r="D711" s="193"/>
      <c r="E711" s="273"/>
      <c r="F711" s="193"/>
      <c r="G711" s="273"/>
      <c r="H711" s="193"/>
      <c r="I711" s="273"/>
      <c r="J711" s="193"/>
      <c r="K711" s="273"/>
      <c r="L711" s="193"/>
      <c r="M711" s="273"/>
      <c r="N711" s="193"/>
      <c r="O711" s="193"/>
      <c r="P711" s="193"/>
      <c r="Q711" s="193"/>
      <c r="R711" s="193"/>
      <c r="S711" s="193"/>
      <c r="T711" s="193"/>
      <c r="U711" s="193"/>
      <c r="V711" s="193"/>
      <c r="W711" s="193"/>
      <c r="X711" s="193"/>
      <c r="Y711" s="193"/>
      <c r="Z711" s="193"/>
    </row>
    <row r="712" customFormat="false" ht="15.75" hidden="false" customHeight="false" outlineLevel="0" collapsed="false">
      <c r="A712" s="193"/>
      <c r="B712" s="193"/>
      <c r="C712" s="273"/>
      <c r="D712" s="193"/>
      <c r="E712" s="273"/>
      <c r="F712" s="193"/>
      <c r="G712" s="273"/>
      <c r="H712" s="193"/>
      <c r="I712" s="273"/>
      <c r="J712" s="193"/>
      <c r="K712" s="273"/>
      <c r="L712" s="193"/>
      <c r="M712" s="273"/>
      <c r="N712" s="193"/>
      <c r="O712" s="193"/>
      <c r="P712" s="193"/>
      <c r="Q712" s="193"/>
      <c r="R712" s="193"/>
      <c r="S712" s="193"/>
      <c r="T712" s="193"/>
      <c r="U712" s="193"/>
      <c r="V712" s="193"/>
      <c r="W712" s="193"/>
      <c r="X712" s="193"/>
      <c r="Y712" s="193"/>
      <c r="Z712" s="193"/>
    </row>
    <row r="713" customFormat="false" ht="15.75" hidden="false" customHeight="false" outlineLevel="0" collapsed="false">
      <c r="A713" s="193"/>
      <c r="B713" s="193"/>
      <c r="C713" s="273"/>
      <c r="D713" s="193"/>
      <c r="E713" s="273"/>
      <c r="F713" s="193"/>
      <c r="G713" s="273"/>
      <c r="H713" s="193"/>
      <c r="I713" s="273"/>
      <c r="J713" s="193"/>
      <c r="K713" s="273"/>
      <c r="L713" s="193"/>
      <c r="M713" s="273"/>
      <c r="N713" s="193"/>
      <c r="O713" s="193"/>
      <c r="P713" s="193"/>
      <c r="Q713" s="193"/>
      <c r="R713" s="193"/>
      <c r="S713" s="193"/>
      <c r="T713" s="193"/>
      <c r="U713" s="193"/>
      <c r="V713" s="193"/>
      <c r="W713" s="193"/>
      <c r="X713" s="193"/>
      <c r="Y713" s="193"/>
      <c r="Z713" s="193"/>
    </row>
    <row r="714" customFormat="false" ht="15.75" hidden="false" customHeight="false" outlineLevel="0" collapsed="false">
      <c r="A714" s="193"/>
      <c r="B714" s="193"/>
      <c r="C714" s="273"/>
      <c r="D714" s="193"/>
      <c r="E714" s="273"/>
      <c r="F714" s="193"/>
      <c r="G714" s="273"/>
      <c r="H714" s="193"/>
      <c r="I714" s="273"/>
      <c r="J714" s="193"/>
      <c r="K714" s="273"/>
      <c r="L714" s="193"/>
      <c r="M714" s="273"/>
      <c r="N714" s="193"/>
      <c r="O714" s="193"/>
      <c r="P714" s="193"/>
      <c r="Q714" s="193"/>
      <c r="R714" s="193"/>
      <c r="S714" s="193"/>
      <c r="T714" s="193"/>
      <c r="U714" s="193"/>
      <c r="V714" s="193"/>
      <c r="W714" s="193"/>
      <c r="X714" s="193"/>
      <c r="Y714" s="193"/>
      <c r="Z714" s="193"/>
    </row>
    <row r="715" customFormat="false" ht="15.75" hidden="false" customHeight="false" outlineLevel="0" collapsed="false">
      <c r="A715" s="193"/>
      <c r="B715" s="193"/>
      <c r="C715" s="273"/>
      <c r="D715" s="193"/>
      <c r="E715" s="273"/>
      <c r="F715" s="193"/>
      <c r="G715" s="273"/>
      <c r="H715" s="193"/>
      <c r="I715" s="273"/>
      <c r="J715" s="193"/>
      <c r="K715" s="273"/>
      <c r="L715" s="193"/>
      <c r="M715" s="273"/>
      <c r="N715" s="193"/>
      <c r="O715" s="193"/>
      <c r="P715" s="193"/>
      <c r="Q715" s="193"/>
      <c r="R715" s="193"/>
      <c r="S715" s="193"/>
      <c r="T715" s="193"/>
      <c r="U715" s="193"/>
      <c r="V715" s="193"/>
      <c r="W715" s="193"/>
      <c r="X715" s="193"/>
      <c r="Y715" s="193"/>
      <c r="Z715" s="193"/>
    </row>
    <row r="716" customFormat="false" ht="15.75" hidden="false" customHeight="false" outlineLevel="0" collapsed="false">
      <c r="A716" s="193"/>
      <c r="B716" s="193"/>
      <c r="C716" s="273"/>
      <c r="D716" s="193"/>
      <c r="E716" s="273"/>
      <c r="F716" s="193"/>
      <c r="G716" s="273"/>
      <c r="H716" s="193"/>
      <c r="I716" s="273"/>
      <c r="J716" s="193"/>
      <c r="K716" s="273"/>
      <c r="L716" s="193"/>
      <c r="M716" s="273"/>
      <c r="N716" s="193"/>
      <c r="O716" s="193"/>
      <c r="P716" s="193"/>
      <c r="Q716" s="193"/>
      <c r="R716" s="193"/>
      <c r="S716" s="193"/>
      <c r="T716" s="193"/>
      <c r="U716" s="193"/>
      <c r="V716" s="193"/>
      <c r="W716" s="193"/>
      <c r="X716" s="193"/>
      <c r="Y716" s="193"/>
      <c r="Z716" s="193"/>
    </row>
    <row r="717" customFormat="false" ht="15.75" hidden="false" customHeight="false" outlineLevel="0" collapsed="false">
      <c r="A717" s="193"/>
      <c r="B717" s="193"/>
      <c r="C717" s="273"/>
      <c r="D717" s="193"/>
      <c r="E717" s="273"/>
      <c r="F717" s="193"/>
      <c r="G717" s="273"/>
      <c r="H717" s="193"/>
      <c r="I717" s="273"/>
      <c r="J717" s="193"/>
      <c r="K717" s="273"/>
      <c r="L717" s="193"/>
      <c r="M717" s="273"/>
      <c r="N717" s="193"/>
      <c r="O717" s="193"/>
      <c r="P717" s="193"/>
      <c r="Q717" s="193"/>
      <c r="R717" s="193"/>
      <c r="S717" s="193"/>
      <c r="T717" s="193"/>
      <c r="U717" s="193"/>
      <c r="V717" s="193"/>
      <c r="W717" s="193"/>
      <c r="X717" s="193"/>
      <c r="Y717" s="193"/>
      <c r="Z717" s="193"/>
    </row>
    <row r="718" customFormat="false" ht="15.75" hidden="false" customHeight="false" outlineLevel="0" collapsed="false">
      <c r="A718" s="193"/>
      <c r="B718" s="193"/>
      <c r="C718" s="273"/>
      <c r="D718" s="193"/>
      <c r="E718" s="273"/>
      <c r="F718" s="193"/>
      <c r="G718" s="273"/>
      <c r="H718" s="193"/>
      <c r="I718" s="273"/>
      <c r="J718" s="193"/>
      <c r="K718" s="273"/>
      <c r="L718" s="193"/>
      <c r="M718" s="273"/>
      <c r="N718" s="193"/>
      <c r="O718" s="193"/>
      <c r="P718" s="193"/>
      <c r="Q718" s="193"/>
      <c r="R718" s="193"/>
      <c r="S718" s="193"/>
      <c r="T718" s="193"/>
      <c r="U718" s="193"/>
      <c r="V718" s="193"/>
      <c r="W718" s="193"/>
      <c r="X718" s="193"/>
      <c r="Y718" s="193"/>
      <c r="Z718" s="193"/>
    </row>
    <row r="719" customFormat="false" ht="15.75" hidden="false" customHeight="false" outlineLevel="0" collapsed="false">
      <c r="A719" s="193"/>
      <c r="B719" s="193"/>
      <c r="C719" s="273"/>
      <c r="D719" s="193"/>
      <c r="E719" s="273"/>
      <c r="F719" s="193"/>
      <c r="G719" s="273"/>
      <c r="H719" s="193"/>
      <c r="I719" s="273"/>
      <c r="J719" s="193"/>
      <c r="K719" s="273"/>
      <c r="L719" s="193"/>
      <c r="M719" s="273"/>
      <c r="N719" s="193"/>
      <c r="O719" s="193"/>
      <c r="P719" s="193"/>
      <c r="Q719" s="193"/>
      <c r="R719" s="193"/>
      <c r="S719" s="193"/>
      <c r="T719" s="193"/>
      <c r="U719" s="193"/>
      <c r="V719" s="193"/>
      <c r="W719" s="193"/>
      <c r="X719" s="193"/>
      <c r="Y719" s="193"/>
      <c r="Z719" s="193"/>
    </row>
    <row r="720" customFormat="false" ht="15.75" hidden="false" customHeight="false" outlineLevel="0" collapsed="false">
      <c r="A720" s="193"/>
      <c r="B720" s="193"/>
      <c r="C720" s="273"/>
      <c r="D720" s="193"/>
      <c r="E720" s="273"/>
      <c r="F720" s="193"/>
      <c r="G720" s="273"/>
      <c r="H720" s="193"/>
      <c r="I720" s="273"/>
      <c r="J720" s="193"/>
      <c r="K720" s="273"/>
      <c r="L720" s="193"/>
      <c r="M720" s="273"/>
      <c r="N720" s="193"/>
      <c r="O720" s="193"/>
      <c r="P720" s="193"/>
      <c r="Q720" s="193"/>
      <c r="R720" s="193"/>
      <c r="S720" s="193"/>
      <c r="T720" s="193"/>
      <c r="U720" s="193"/>
      <c r="V720" s="193"/>
      <c r="W720" s="193"/>
      <c r="X720" s="193"/>
      <c r="Y720" s="193"/>
      <c r="Z720" s="193"/>
    </row>
    <row r="721" customFormat="false" ht="15.75" hidden="false" customHeight="false" outlineLevel="0" collapsed="false">
      <c r="A721" s="193"/>
      <c r="B721" s="193"/>
      <c r="C721" s="273"/>
      <c r="D721" s="193"/>
      <c r="E721" s="273"/>
      <c r="F721" s="193"/>
      <c r="G721" s="273"/>
      <c r="H721" s="193"/>
      <c r="I721" s="273"/>
      <c r="J721" s="193"/>
      <c r="K721" s="273"/>
      <c r="L721" s="193"/>
      <c r="M721" s="273"/>
      <c r="N721" s="193"/>
      <c r="O721" s="193"/>
      <c r="P721" s="193"/>
      <c r="Q721" s="193"/>
      <c r="R721" s="193"/>
      <c r="S721" s="193"/>
      <c r="T721" s="193"/>
      <c r="U721" s="193"/>
      <c r="V721" s="193"/>
      <c r="W721" s="193"/>
      <c r="X721" s="193"/>
      <c r="Y721" s="193"/>
      <c r="Z721" s="193"/>
    </row>
    <row r="722" customFormat="false" ht="15.75" hidden="false" customHeight="false" outlineLevel="0" collapsed="false">
      <c r="A722" s="193"/>
      <c r="B722" s="193"/>
      <c r="C722" s="273"/>
      <c r="D722" s="193"/>
      <c r="E722" s="273"/>
      <c r="F722" s="193"/>
      <c r="G722" s="273"/>
      <c r="H722" s="193"/>
      <c r="I722" s="273"/>
      <c r="J722" s="193"/>
      <c r="K722" s="273"/>
      <c r="L722" s="193"/>
      <c r="M722" s="273"/>
      <c r="N722" s="193"/>
      <c r="O722" s="193"/>
      <c r="P722" s="193"/>
      <c r="Q722" s="193"/>
      <c r="R722" s="193"/>
      <c r="S722" s="193"/>
      <c r="T722" s="193"/>
      <c r="U722" s="193"/>
      <c r="V722" s="193"/>
      <c r="W722" s="193"/>
      <c r="X722" s="193"/>
      <c r="Y722" s="193"/>
      <c r="Z722" s="193"/>
    </row>
    <row r="723" customFormat="false" ht="15.75" hidden="false" customHeight="false" outlineLevel="0" collapsed="false">
      <c r="A723" s="193"/>
      <c r="B723" s="193"/>
      <c r="C723" s="273"/>
      <c r="D723" s="193"/>
      <c r="E723" s="273"/>
      <c r="F723" s="193"/>
      <c r="G723" s="273"/>
      <c r="H723" s="193"/>
      <c r="I723" s="273"/>
      <c r="J723" s="193"/>
      <c r="K723" s="273"/>
      <c r="L723" s="193"/>
      <c r="M723" s="273"/>
      <c r="N723" s="193"/>
      <c r="O723" s="193"/>
      <c r="P723" s="193"/>
      <c r="Q723" s="193"/>
      <c r="R723" s="193"/>
      <c r="S723" s="193"/>
      <c r="T723" s="193"/>
      <c r="U723" s="193"/>
      <c r="V723" s="193"/>
      <c r="W723" s="193"/>
      <c r="X723" s="193"/>
      <c r="Y723" s="193"/>
      <c r="Z723" s="193"/>
    </row>
    <row r="724" customFormat="false" ht="15.75" hidden="false" customHeight="false" outlineLevel="0" collapsed="false">
      <c r="A724" s="193"/>
      <c r="B724" s="193"/>
      <c r="C724" s="273"/>
      <c r="D724" s="193"/>
      <c r="E724" s="273"/>
      <c r="F724" s="193"/>
      <c r="G724" s="273"/>
      <c r="H724" s="193"/>
      <c r="I724" s="273"/>
      <c r="J724" s="193"/>
      <c r="K724" s="273"/>
      <c r="L724" s="193"/>
      <c r="M724" s="273"/>
      <c r="N724" s="193"/>
      <c r="O724" s="193"/>
      <c r="P724" s="193"/>
      <c r="Q724" s="193"/>
      <c r="R724" s="193"/>
      <c r="S724" s="193"/>
      <c r="T724" s="193"/>
      <c r="U724" s="193"/>
      <c r="V724" s="193"/>
      <c r="W724" s="193"/>
      <c r="X724" s="193"/>
      <c r="Y724" s="193"/>
      <c r="Z724" s="193"/>
    </row>
    <row r="725" customFormat="false" ht="15.75" hidden="false" customHeight="false" outlineLevel="0" collapsed="false">
      <c r="A725" s="193"/>
      <c r="B725" s="193"/>
      <c r="C725" s="273"/>
      <c r="D725" s="193"/>
      <c r="E725" s="273"/>
      <c r="F725" s="193"/>
      <c r="G725" s="273"/>
      <c r="H725" s="193"/>
      <c r="I725" s="273"/>
      <c r="J725" s="193"/>
      <c r="K725" s="273"/>
      <c r="L725" s="193"/>
      <c r="M725" s="273"/>
      <c r="N725" s="193"/>
      <c r="O725" s="193"/>
      <c r="P725" s="193"/>
      <c r="Q725" s="193"/>
      <c r="R725" s="193"/>
      <c r="S725" s="193"/>
      <c r="T725" s="193"/>
      <c r="U725" s="193"/>
      <c r="V725" s="193"/>
      <c r="W725" s="193"/>
      <c r="X725" s="193"/>
      <c r="Y725" s="193"/>
      <c r="Z725" s="193"/>
    </row>
    <row r="726" customFormat="false" ht="15.75" hidden="false" customHeight="false" outlineLevel="0" collapsed="false">
      <c r="A726" s="193"/>
      <c r="B726" s="193"/>
      <c r="C726" s="273"/>
      <c r="D726" s="193"/>
      <c r="E726" s="273"/>
      <c r="F726" s="193"/>
      <c r="G726" s="273"/>
      <c r="H726" s="193"/>
      <c r="I726" s="273"/>
      <c r="J726" s="193"/>
      <c r="K726" s="273"/>
      <c r="L726" s="193"/>
      <c r="M726" s="273"/>
      <c r="N726" s="193"/>
      <c r="O726" s="193"/>
      <c r="P726" s="193"/>
      <c r="Q726" s="193"/>
      <c r="R726" s="193"/>
      <c r="S726" s="193"/>
      <c r="T726" s="193"/>
      <c r="U726" s="193"/>
      <c r="V726" s="193"/>
      <c r="W726" s="193"/>
      <c r="X726" s="193"/>
      <c r="Y726" s="193"/>
      <c r="Z726" s="193"/>
    </row>
    <row r="727" customFormat="false" ht="15.75" hidden="false" customHeight="false" outlineLevel="0" collapsed="false">
      <c r="A727" s="193"/>
      <c r="B727" s="193"/>
      <c r="C727" s="273"/>
      <c r="D727" s="193"/>
      <c r="E727" s="273"/>
      <c r="F727" s="193"/>
      <c r="G727" s="273"/>
      <c r="H727" s="193"/>
      <c r="I727" s="273"/>
      <c r="J727" s="193"/>
      <c r="K727" s="273"/>
      <c r="L727" s="193"/>
      <c r="M727" s="273"/>
      <c r="N727" s="193"/>
      <c r="O727" s="193"/>
      <c r="P727" s="193"/>
      <c r="Q727" s="193"/>
      <c r="R727" s="193"/>
      <c r="S727" s="193"/>
      <c r="T727" s="193"/>
      <c r="U727" s="193"/>
      <c r="V727" s="193"/>
      <c r="W727" s="193"/>
      <c r="X727" s="193"/>
      <c r="Y727" s="193"/>
      <c r="Z727" s="193"/>
    </row>
    <row r="728" customFormat="false" ht="15.75" hidden="false" customHeight="false" outlineLevel="0" collapsed="false">
      <c r="A728" s="193"/>
      <c r="B728" s="193"/>
      <c r="C728" s="273"/>
      <c r="D728" s="193"/>
      <c r="E728" s="273"/>
      <c r="F728" s="193"/>
      <c r="G728" s="273"/>
      <c r="H728" s="193"/>
      <c r="I728" s="273"/>
      <c r="J728" s="193"/>
      <c r="K728" s="273"/>
      <c r="L728" s="193"/>
      <c r="M728" s="273"/>
      <c r="N728" s="193"/>
      <c r="O728" s="193"/>
      <c r="P728" s="193"/>
      <c r="Q728" s="193"/>
      <c r="R728" s="193"/>
      <c r="S728" s="193"/>
      <c r="T728" s="193"/>
      <c r="U728" s="193"/>
      <c r="V728" s="193"/>
      <c r="W728" s="193"/>
      <c r="X728" s="193"/>
      <c r="Y728" s="193"/>
      <c r="Z728" s="193"/>
    </row>
    <row r="729" customFormat="false" ht="15.75" hidden="false" customHeight="false" outlineLevel="0" collapsed="false">
      <c r="A729" s="193"/>
      <c r="B729" s="193"/>
      <c r="C729" s="273"/>
      <c r="D729" s="193"/>
      <c r="E729" s="273"/>
      <c r="F729" s="193"/>
      <c r="G729" s="273"/>
      <c r="H729" s="193"/>
      <c r="I729" s="273"/>
      <c r="J729" s="193"/>
      <c r="K729" s="273"/>
      <c r="L729" s="193"/>
      <c r="M729" s="273"/>
      <c r="N729" s="193"/>
      <c r="O729" s="193"/>
      <c r="P729" s="193"/>
      <c r="Q729" s="193"/>
      <c r="R729" s="193"/>
      <c r="S729" s="193"/>
      <c r="T729" s="193"/>
      <c r="U729" s="193"/>
      <c r="V729" s="193"/>
      <c r="W729" s="193"/>
      <c r="X729" s="193"/>
      <c r="Y729" s="193"/>
      <c r="Z729" s="193"/>
    </row>
    <row r="730" customFormat="false" ht="15.75" hidden="false" customHeight="false" outlineLevel="0" collapsed="false">
      <c r="A730" s="193"/>
      <c r="B730" s="193"/>
      <c r="C730" s="273"/>
      <c r="D730" s="193"/>
      <c r="E730" s="273"/>
      <c r="F730" s="193"/>
      <c r="G730" s="273"/>
      <c r="H730" s="193"/>
      <c r="I730" s="273"/>
      <c r="J730" s="193"/>
      <c r="K730" s="273"/>
      <c r="L730" s="193"/>
      <c r="M730" s="273"/>
      <c r="N730" s="193"/>
      <c r="O730" s="193"/>
      <c r="P730" s="193"/>
      <c r="Q730" s="193"/>
      <c r="R730" s="193"/>
      <c r="S730" s="193"/>
      <c r="T730" s="193"/>
      <c r="U730" s="193"/>
      <c r="V730" s="193"/>
      <c r="W730" s="193"/>
      <c r="X730" s="193"/>
      <c r="Y730" s="193"/>
      <c r="Z730" s="193"/>
    </row>
    <row r="731" customFormat="false" ht="15.75" hidden="false" customHeight="false" outlineLevel="0" collapsed="false">
      <c r="A731" s="193"/>
      <c r="B731" s="193"/>
      <c r="C731" s="273"/>
      <c r="D731" s="193"/>
      <c r="E731" s="273"/>
      <c r="F731" s="193"/>
      <c r="G731" s="273"/>
      <c r="H731" s="193"/>
      <c r="I731" s="273"/>
      <c r="J731" s="193"/>
      <c r="K731" s="273"/>
      <c r="L731" s="193"/>
      <c r="M731" s="273"/>
      <c r="N731" s="193"/>
      <c r="O731" s="193"/>
      <c r="P731" s="193"/>
      <c r="Q731" s="193"/>
      <c r="R731" s="193"/>
      <c r="S731" s="193"/>
      <c r="T731" s="193"/>
      <c r="U731" s="193"/>
      <c r="V731" s="193"/>
      <c r="W731" s="193"/>
      <c r="X731" s="193"/>
      <c r="Y731" s="193"/>
      <c r="Z731" s="193"/>
    </row>
    <row r="732" customFormat="false" ht="15.75" hidden="false" customHeight="false" outlineLevel="0" collapsed="false">
      <c r="A732" s="193"/>
      <c r="B732" s="193"/>
      <c r="C732" s="273"/>
      <c r="D732" s="193"/>
      <c r="E732" s="273"/>
      <c r="F732" s="193"/>
      <c r="G732" s="273"/>
      <c r="H732" s="193"/>
      <c r="I732" s="273"/>
      <c r="J732" s="193"/>
      <c r="K732" s="273"/>
      <c r="L732" s="193"/>
      <c r="M732" s="273"/>
      <c r="N732" s="193"/>
      <c r="O732" s="193"/>
      <c r="P732" s="193"/>
      <c r="Q732" s="193"/>
      <c r="R732" s="193"/>
      <c r="S732" s="193"/>
      <c r="T732" s="193"/>
      <c r="U732" s="193"/>
      <c r="V732" s="193"/>
      <c r="W732" s="193"/>
      <c r="X732" s="193"/>
      <c r="Y732" s="193"/>
      <c r="Z732" s="193"/>
    </row>
    <row r="733" customFormat="false" ht="15.75" hidden="false" customHeight="false" outlineLevel="0" collapsed="false">
      <c r="A733" s="193"/>
      <c r="B733" s="193"/>
      <c r="C733" s="273"/>
      <c r="D733" s="193"/>
      <c r="E733" s="273"/>
      <c r="F733" s="193"/>
      <c r="G733" s="273"/>
      <c r="H733" s="193"/>
      <c r="I733" s="273"/>
      <c r="J733" s="193"/>
      <c r="K733" s="273"/>
      <c r="L733" s="193"/>
      <c r="M733" s="273"/>
      <c r="N733" s="193"/>
      <c r="O733" s="193"/>
      <c r="P733" s="193"/>
      <c r="Q733" s="193"/>
      <c r="R733" s="193"/>
      <c r="S733" s="193"/>
      <c r="T733" s="193"/>
      <c r="U733" s="193"/>
      <c r="V733" s="193"/>
      <c r="W733" s="193"/>
      <c r="X733" s="193"/>
      <c r="Y733" s="193"/>
      <c r="Z733" s="193"/>
    </row>
    <row r="734" customFormat="false" ht="15.75" hidden="false" customHeight="false" outlineLevel="0" collapsed="false">
      <c r="A734" s="193"/>
      <c r="B734" s="193"/>
      <c r="C734" s="273"/>
      <c r="D734" s="193"/>
      <c r="E734" s="273"/>
      <c r="F734" s="193"/>
      <c r="G734" s="273"/>
      <c r="H734" s="193"/>
      <c r="I734" s="273"/>
      <c r="J734" s="193"/>
      <c r="K734" s="273"/>
      <c r="L734" s="193"/>
      <c r="M734" s="273"/>
      <c r="N734" s="193"/>
      <c r="O734" s="193"/>
      <c r="P734" s="193"/>
      <c r="Q734" s="193"/>
      <c r="R734" s="193"/>
      <c r="S734" s="193"/>
      <c r="T734" s="193"/>
      <c r="U734" s="193"/>
      <c r="V734" s="193"/>
      <c r="W734" s="193"/>
      <c r="X734" s="193"/>
      <c r="Y734" s="193"/>
      <c r="Z734" s="193"/>
    </row>
    <row r="735" customFormat="false" ht="15.75" hidden="false" customHeight="false" outlineLevel="0" collapsed="false">
      <c r="A735" s="193"/>
      <c r="B735" s="193"/>
      <c r="C735" s="273"/>
      <c r="D735" s="193"/>
      <c r="E735" s="273"/>
      <c r="F735" s="193"/>
      <c r="G735" s="273"/>
      <c r="H735" s="193"/>
      <c r="I735" s="273"/>
      <c r="J735" s="193"/>
      <c r="K735" s="273"/>
      <c r="L735" s="193"/>
      <c r="M735" s="273"/>
      <c r="N735" s="193"/>
      <c r="O735" s="193"/>
      <c r="P735" s="193"/>
      <c r="Q735" s="193"/>
      <c r="R735" s="193"/>
      <c r="S735" s="193"/>
      <c r="T735" s="193"/>
      <c r="U735" s="193"/>
      <c r="V735" s="193"/>
      <c r="W735" s="193"/>
      <c r="X735" s="193"/>
      <c r="Y735" s="193"/>
      <c r="Z735" s="193"/>
    </row>
    <row r="736" customFormat="false" ht="15.75" hidden="false" customHeight="false" outlineLevel="0" collapsed="false">
      <c r="A736" s="193"/>
      <c r="B736" s="193"/>
      <c r="C736" s="273"/>
      <c r="D736" s="193"/>
      <c r="E736" s="273"/>
      <c r="F736" s="193"/>
      <c r="G736" s="273"/>
      <c r="H736" s="193"/>
      <c r="I736" s="273"/>
      <c r="J736" s="193"/>
      <c r="K736" s="273"/>
      <c r="L736" s="193"/>
      <c r="M736" s="273"/>
      <c r="N736" s="193"/>
      <c r="O736" s="193"/>
      <c r="P736" s="193"/>
      <c r="Q736" s="193"/>
      <c r="R736" s="193"/>
      <c r="S736" s="193"/>
      <c r="T736" s="193"/>
      <c r="U736" s="193"/>
      <c r="V736" s="193"/>
      <c r="W736" s="193"/>
      <c r="X736" s="193"/>
      <c r="Y736" s="193"/>
      <c r="Z736" s="193"/>
    </row>
    <row r="737" customFormat="false" ht="15.75" hidden="false" customHeight="false" outlineLevel="0" collapsed="false">
      <c r="A737" s="193"/>
      <c r="B737" s="193"/>
      <c r="C737" s="273"/>
      <c r="D737" s="193"/>
      <c r="E737" s="273"/>
      <c r="F737" s="193"/>
      <c r="G737" s="273"/>
      <c r="H737" s="193"/>
      <c r="I737" s="273"/>
      <c r="J737" s="193"/>
      <c r="K737" s="273"/>
      <c r="L737" s="193"/>
      <c r="M737" s="273"/>
      <c r="N737" s="193"/>
      <c r="O737" s="193"/>
      <c r="P737" s="193"/>
      <c r="Q737" s="193"/>
      <c r="R737" s="193"/>
      <c r="S737" s="193"/>
      <c r="T737" s="193"/>
      <c r="U737" s="193"/>
      <c r="V737" s="193"/>
      <c r="W737" s="193"/>
      <c r="X737" s="193"/>
      <c r="Y737" s="193"/>
      <c r="Z737" s="193"/>
    </row>
    <row r="738" customFormat="false" ht="15.75" hidden="false" customHeight="false" outlineLevel="0" collapsed="false">
      <c r="A738" s="193"/>
      <c r="B738" s="193"/>
      <c r="C738" s="273"/>
      <c r="D738" s="193"/>
      <c r="E738" s="273"/>
      <c r="F738" s="193"/>
      <c r="G738" s="273"/>
      <c r="H738" s="193"/>
      <c r="I738" s="273"/>
      <c r="J738" s="193"/>
      <c r="K738" s="273"/>
      <c r="L738" s="193"/>
      <c r="M738" s="273"/>
      <c r="N738" s="193"/>
      <c r="O738" s="193"/>
      <c r="P738" s="193"/>
      <c r="Q738" s="193"/>
      <c r="R738" s="193"/>
      <c r="S738" s="193"/>
      <c r="T738" s="193"/>
      <c r="U738" s="193"/>
      <c r="V738" s="193"/>
      <c r="W738" s="193"/>
      <c r="X738" s="193"/>
      <c r="Y738" s="193"/>
      <c r="Z738" s="193"/>
    </row>
    <row r="739" customFormat="false" ht="15.75" hidden="false" customHeight="false" outlineLevel="0" collapsed="false">
      <c r="A739" s="193"/>
      <c r="B739" s="193"/>
      <c r="C739" s="273"/>
      <c r="D739" s="193"/>
      <c r="E739" s="273"/>
      <c r="F739" s="193"/>
      <c r="G739" s="273"/>
      <c r="H739" s="193"/>
      <c r="I739" s="273"/>
      <c r="J739" s="193"/>
      <c r="K739" s="273"/>
      <c r="L739" s="193"/>
      <c r="M739" s="273"/>
      <c r="N739" s="193"/>
      <c r="O739" s="193"/>
      <c r="P739" s="193"/>
      <c r="Q739" s="193"/>
      <c r="R739" s="193"/>
      <c r="S739" s="193"/>
      <c r="T739" s="193"/>
      <c r="U739" s="193"/>
      <c r="V739" s="193"/>
      <c r="W739" s="193"/>
      <c r="X739" s="193"/>
      <c r="Y739" s="193"/>
      <c r="Z739" s="193"/>
    </row>
    <row r="740" customFormat="false" ht="15.75" hidden="false" customHeight="false" outlineLevel="0" collapsed="false">
      <c r="A740" s="193"/>
      <c r="B740" s="193"/>
      <c r="C740" s="273"/>
      <c r="D740" s="193"/>
      <c r="E740" s="273"/>
      <c r="F740" s="193"/>
      <c r="G740" s="273"/>
      <c r="H740" s="193"/>
      <c r="I740" s="273"/>
      <c r="J740" s="193"/>
      <c r="K740" s="273"/>
      <c r="L740" s="193"/>
      <c r="M740" s="273"/>
      <c r="N740" s="193"/>
      <c r="O740" s="193"/>
      <c r="P740" s="193"/>
      <c r="Q740" s="193"/>
      <c r="R740" s="193"/>
      <c r="S740" s="193"/>
      <c r="T740" s="193"/>
      <c r="U740" s="193"/>
      <c r="V740" s="193"/>
      <c r="W740" s="193"/>
      <c r="X740" s="193"/>
      <c r="Y740" s="193"/>
      <c r="Z740" s="193"/>
    </row>
    <row r="741" customFormat="false" ht="15.75" hidden="false" customHeight="false" outlineLevel="0" collapsed="false">
      <c r="A741" s="193"/>
      <c r="B741" s="193"/>
      <c r="C741" s="273"/>
      <c r="D741" s="193"/>
      <c r="E741" s="273"/>
      <c r="F741" s="193"/>
      <c r="G741" s="273"/>
      <c r="H741" s="193"/>
      <c r="I741" s="273"/>
      <c r="J741" s="193"/>
      <c r="K741" s="273"/>
      <c r="L741" s="193"/>
      <c r="M741" s="273"/>
      <c r="N741" s="193"/>
      <c r="O741" s="193"/>
      <c r="P741" s="193"/>
      <c r="Q741" s="193"/>
      <c r="R741" s="193"/>
      <c r="S741" s="193"/>
      <c r="T741" s="193"/>
      <c r="U741" s="193"/>
      <c r="V741" s="193"/>
      <c r="W741" s="193"/>
      <c r="X741" s="193"/>
      <c r="Y741" s="193"/>
      <c r="Z741" s="193"/>
    </row>
    <row r="742" customFormat="false" ht="15.75" hidden="false" customHeight="false" outlineLevel="0" collapsed="false">
      <c r="A742" s="193"/>
      <c r="B742" s="193"/>
      <c r="C742" s="273"/>
      <c r="D742" s="193"/>
      <c r="E742" s="273"/>
      <c r="F742" s="193"/>
      <c r="G742" s="273"/>
      <c r="H742" s="193"/>
      <c r="I742" s="273"/>
      <c r="J742" s="193"/>
      <c r="K742" s="273"/>
      <c r="L742" s="193"/>
      <c r="M742" s="273"/>
      <c r="N742" s="193"/>
      <c r="O742" s="193"/>
      <c r="P742" s="193"/>
      <c r="Q742" s="193"/>
      <c r="R742" s="193"/>
      <c r="S742" s="193"/>
      <c r="T742" s="193"/>
      <c r="U742" s="193"/>
      <c r="V742" s="193"/>
      <c r="W742" s="193"/>
      <c r="X742" s="193"/>
      <c r="Y742" s="193"/>
      <c r="Z742" s="193"/>
    </row>
    <row r="743" customFormat="false" ht="15.75" hidden="false" customHeight="false" outlineLevel="0" collapsed="false">
      <c r="A743" s="193"/>
      <c r="B743" s="193"/>
      <c r="C743" s="273"/>
      <c r="D743" s="193"/>
      <c r="E743" s="273"/>
      <c r="F743" s="193"/>
      <c r="G743" s="273"/>
      <c r="H743" s="193"/>
      <c r="I743" s="273"/>
      <c r="J743" s="193"/>
      <c r="K743" s="273"/>
      <c r="L743" s="193"/>
      <c r="M743" s="273"/>
      <c r="N743" s="193"/>
      <c r="O743" s="193"/>
      <c r="P743" s="193"/>
      <c r="Q743" s="193"/>
      <c r="R743" s="193"/>
      <c r="S743" s="193"/>
      <c r="T743" s="193"/>
      <c r="U743" s="193"/>
      <c r="V743" s="193"/>
      <c r="W743" s="193"/>
      <c r="X743" s="193"/>
      <c r="Y743" s="193"/>
      <c r="Z743" s="193"/>
    </row>
    <row r="744" customFormat="false" ht="15.75" hidden="false" customHeight="false" outlineLevel="0" collapsed="false">
      <c r="A744" s="193"/>
      <c r="B744" s="193"/>
      <c r="C744" s="273"/>
      <c r="D744" s="193"/>
      <c r="E744" s="273"/>
      <c r="F744" s="193"/>
      <c r="G744" s="273"/>
      <c r="H744" s="193"/>
      <c r="I744" s="273"/>
      <c r="J744" s="193"/>
      <c r="K744" s="273"/>
      <c r="L744" s="193"/>
      <c r="M744" s="273"/>
      <c r="N744" s="193"/>
      <c r="O744" s="193"/>
      <c r="P744" s="193"/>
      <c r="Q744" s="193"/>
      <c r="R744" s="193"/>
      <c r="S744" s="193"/>
      <c r="T744" s="193"/>
      <c r="U744" s="193"/>
      <c r="V744" s="193"/>
      <c r="W744" s="193"/>
      <c r="X744" s="193"/>
      <c r="Y744" s="193"/>
      <c r="Z744" s="193"/>
    </row>
    <row r="745" customFormat="false" ht="15.75" hidden="false" customHeight="false" outlineLevel="0" collapsed="false">
      <c r="A745" s="193"/>
      <c r="B745" s="193"/>
      <c r="C745" s="273"/>
      <c r="D745" s="193"/>
      <c r="E745" s="273"/>
      <c r="F745" s="193"/>
      <c r="G745" s="273"/>
      <c r="H745" s="193"/>
      <c r="I745" s="273"/>
      <c r="J745" s="193"/>
      <c r="K745" s="273"/>
      <c r="L745" s="193"/>
      <c r="M745" s="273"/>
      <c r="N745" s="193"/>
      <c r="O745" s="193"/>
      <c r="P745" s="193"/>
      <c r="Q745" s="193"/>
      <c r="R745" s="193"/>
      <c r="S745" s="193"/>
      <c r="T745" s="193"/>
      <c r="U745" s="193"/>
      <c r="V745" s="193"/>
      <c r="W745" s="193"/>
      <c r="X745" s="193"/>
      <c r="Y745" s="193"/>
      <c r="Z745" s="193"/>
    </row>
    <row r="746" customFormat="false" ht="15.75" hidden="false" customHeight="false" outlineLevel="0" collapsed="false">
      <c r="A746" s="193"/>
      <c r="B746" s="193"/>
      <c r="C746" s="273"/>
      <c r="D746" s="193"/>
      <c r="E746" s="273"/>
      <c r="F746" s="193"/>
      <c r="G746" s="273"/>
      <c r="H746" s="193"/>
      <c r="I746" s="273"/>
      <c r="J746" s="193"/>
      <c r="K746" s="273"/>
      <c r="L746" s="193"/>
      <c r="M746" s="273"/>
      <c r="N746" s="193"/>
      <c r="O746" s="193"/>
      <c r="P746" s="193"/>
      <c r="Q746" s="193"/>
      <c r="R746" s="193"/>
      <c r="S746" s="193"/>
      <c r="T746" s="193"/>
      <c r="U746" s="193"/>
      <c r="V746" s="193"/>
      <c r="W746" s="193"/>
      <c r="X746" s="193"/>
      <c r="Y746" s="193"/>
      <c r="Z746" s="193"/>
    </row>
    <row r="747" customFormat="false" ht="15.75" hidden="false" customHeight="false" outlineLevel="0" collapsed="false">
      <c r="A747" s="193"/>
      <c r="B747" s="193"/>
      <c r="C747" s="273"/>
      <c r="D747" s="193"/>
      <c r="E747" s="273"/>
      <c r="F747" s="193"/>
      <c r="G747" s="273"/>
      <c r="H747" s="193"/>
      <c r="I747" s="273"/>
      <c r="J747" s="193"/>
      <c r="K747" s="273"/>
      <c r="L747" s="193"/>
      <c r="M747" s="273"/>
      <c r="N747" s="193"/>
      <c r="O747" s="193"/>
      <c r="P747" s="193"/>
      <c r="Q747" s="193"/>
      <c r="R747" s="193"/>
      <c r="S747" s="193"/>
      <c r="T747" s="193"/>
      <c r="U747" s="193"/>
      <c r="V747" s="193"/>
      <c r="W747" s="193"/>
      <c r="X747" s="193"/>
      <c r="Y747" s="193"/>
      <c r="Z747" s="193"/>
    </row>
    <row r="748" customFormat="false" ht="15.75" hidden="false" customHeight="false" outlineLevel="0" collapsed="false">
      <c r="A748" s="193"/>
      <c r="B748" s="193"/>
      <c r="C748" s="273"/>
      <c r="D748" s="193"/>
      <c r="E748" s="273"/>
      <c r="F748" s="193"/>
      <c r="G748" s="273"/>
      <c r="H748" s="193"/>
      <c r="I748" s="273"/>
      <c r="J748" s="193"/>
      <c r="K748" s="273"/>
      <c r="L748" s="193"/>
      <c r="M748" s="273"/>
      <c r="N748" s="193"/>
      <c r="O748" s="193"/>
      <c r="P748" s="193"/>
      <c r="Q748" s="193"/>
      <c r="R748" s="193"/>
      <c r="S748" s="193"/>
      <c r="T748" s="193"/>
      <c r="U748" s="193"/>
      <c r="V748" s="193"/>
      <c r="W748" s="193"/>
      <c r="X748" s="193"/>
      <c r="Y748" s="193"/>
      <c r="Z748" s="193"/>
    </row>
    <row r="749" customFormat="false" ht="15.75" hidden="false" customHeight="false" outlineLevel="0" collapsed="false">
      <c r="A749" s="193"/>
      <c r="B749" s="193"/>
      <c r="C749" s="273"/>
      <c r="D749" s="193"/>
      <c r="E749" s="273"/>
      <c r="F749" s="193"/>
      <c r="G749" s="273"/>
      <c r="H749" s="193"/>
      <c r="I749" s="273"/>
      <c r="J749" s="193"/>
      <c r="K749" s="273"/>
      <c r="L749" s="193"/>
      <c r="M749" s="273"/>
      <c r="N749" s="193"/>
      <c r="O749" s="193"/>
      <c r="P749" s="193"/>
      <c r="Q749" s="193"/>
      <c r="R749" s="193"/>
      <c r="S749" s="193"/>
      <c r="T749" s="193"/>
      <c r="U749" s="193"/>
      <c r="V749" s="193"/>
      <c r="W749" s="193"/>
      <c r="X749" s="193"/>
      <c r="Y749" s="193"/>
      <c r="Z749" s="193"/>
    </row>
    <row r="750" customFormat="false" ht="15.75" hidden="false" customHeight="false" outlineLevel="0" collapsed="false">
      <c r="A750" s="193"/>
      <c r="B750" s="193"/>
      <c r="C750" s="273"/>
      <c r="D750" s="193"/>
      <c r="E750" s="273"/>
      <c r="F750" s="193"/>
      <c r="G750" s="273"/>
      <c r="H750" s="193"/>
      <c r="I750" s="273"/>
      <c r="J750" s="193"/>
      <c r="K750" s="273"/>
      <c r="L750" s="193"/>
      <c r="M750" s="273"/>
      <c r="N750" s="193"/>
      <c r="O750" s="193"/>
      <c r="P750" s="193"/>
      <c r="Q750" s="193"/>
      <c r="R750" s="193"/>
      <c r="S750" s="193"/>
      <c r="T750" s="193"/>
      <c r="U750" s="193"/>
      <c r="V750" s="193"/>
      <c r="W750" s="193"/>
      <c r="X750" s="193"/>
      <c r="Y750" s="193"/>
      <c r="Z750" s="193"/>
    </row>
    <row r="751" customFormat="false" ht="15.75" hidden="false" customHeight="false" outlineLevel="0" collapsed="false">
      <c r="A751" s="193"/>
      <c r="B751" s="193"/>
      <c r="C751" s="273"/>
      <c r="D751" s="193"/>
      <c r="E751" s="273"/>
      <c r="F751" s="193"/>
      <c r="G751" s="273"/>
      <c r="H751" s="193"/>
      <c r="I751" s="273"/>
      <c r="J751" s="193"/>
      <c r="K751" s="273"/>
      <c r="L751" s="193"/>
      <c r="M751" s="273"/>
      <c r="N751" s="193"/>
      <c r="O751" s="193"/>
      <c r="P751" s="193"/>
      <c r="Q751" s="193"/>
      <c r="R751" s="193"/>
      <c r="S751" s="193"/>
      <c r="T751" s="193"/>
      <c r="U751" s="193"/>
      <c r="V751" s="193"/>
      <c r="W751" s="193"/>
      <c r="X751" s="193"/>
      <c r="Y751" s="193"/>
      <c r="Z751" s="193"/>
    </row>
    <row r="752" customFormat="false" ht="15.75" hidden="false" customHeight="false" outlineLevel="0" collapsed="false">
      <c r="A752" s="193"/>
      <c r="B752" s="193"/>
      <c r="C752" s="273"/>
      <c r="D752" s="193"/>
      <c r="E752" s="273"/>
      <c r="F752" s="193"/>
      <c r="G752" s="273"/>
      <c r="H752" s="193"/>
      <c r="I752" s="273"/>
      <c r="J752" s="193"/>
      <c r="K752" s="273"/>
      <c r="L752" s="193"/>
      <c r="M752" s="273"/>
      <c r="N752" s="193"/>
      <c r="O752" s="193"/>
      <c r="P752" s="193"/>
      <c r="Q752" s="193"/>
      <c r="R752" s="193"/>
      <c r="S752" s="193"/>
      <c r="T752" s="193"/>
      <c r="U752" s="193"/>
      <c r="V752" s="193"/>
      <c r="W752" s="193"/>
      <c r="X752" s="193"/>
      <c r="Y752" s="193"/>
      <c r="Z752" s="193"/>
    </row>
    <row r="753" customFormat="false" ht="15.75" hidden="false" customHeight="false" outlineLevel="0" collapsed="false">
      <c r="A753" s="193"/>
      <c r="B753" s="193"/>
      <c r="C753" s="273"/>
      <c r="D753" s="193"/>
      <c r="E753" s="273"/>
      <c r="F753" s="193"/>
      <c r="G753" s="273"/>
      <c r="H753" s="193"/>
      <c r="I753" s="273"/>
      <c r="J753" s="193"/>
      <c r="K753" s="273"/>
      <c r="L753" s="193"/>
      <c r="M753" s="273"/>
      <c r="N753" s="193"/>
      <c r="O753" s="193"/>
      <c r="P753" s="193"/>
      <c r="Q753" s="193"/>
      <c r="R753" s="193"/>
      <c r="S753" s="193"/>
      <c r="T753" s="193"/>
      <c r="U753" s="193"/>
      <c r="V753" s="193"/>
      <c r="W753" s="193"/>
      <c r="X753" s="193"/>
      <c r="Y753" s="193"/>
      <c r="Z753" s="193"/>
    </row>
    <row r="754" customFormat="false" ht="15.75" hidden="false" customHeight="false" outlineLevel="0" collapsed="false">
      <c r="A754" s="193"/>
      <c r="B754" s="193"/>
      <c r="C754" s="273"/>
      <c r="D754" s="193"/>
      <c r="E754" s="273"/>
      <c r="F754" s="193"/>
      <c r="G754" s="273"/>
      <c r="H754" s="193"/>
      <c r="I754" s="273"/>
      <c r="J754" s="193"/>
      <c r="K754" s="273"/>
      <c r="L754" s="193"/>
      <c r="M754" s="273"/>
      <c r="N754" s="193"/>
      <c r="O754" s="193"/>
      <c r="P754" s="193"/>
      <c r="Q754" s="193"/>
      <c r="R754" s="193"/>
      <c r="S754" s="193"/>
      <c r="T754" s="193"/>
      <c r="U754" s="193"/>
      <c r="V754" s="193"/>
      <c r="W754" s="193"/>
      <c r="X754" s="193"/>
      <c r="Y754" s="193"/>
      <c r="Z754" s="193"/>
    </row>
    <row r="755" customFormat="false" ht="15.75" hidden="false" customHeight="false" outlineLevel="0" collapsed="false">
      <c r="A755" s="193"/>
      <c r="B755" s="193"/>
      <c r="C755" s="273"/>
      <c r="D755" s="193"/>
      <c r="E755" s="273"/>
      <c r="F755" s="193"/>
      <c r="G755" s="273"/>
      <c r="H755" s="193"/>
      <c r="I755" s="273"/>
      <c r="J755" s="193"/>
      <c r="K755" s="273"/>
      <c r="L755" s="193"/>
      <c r="M755" s="273"/>
      <c r="N755" s="193"/>
      <c r="O755" s="193"/>
      <c r="P755" s="193"/>
      <c r="Q755" s="193"/>
      <c r="R755" s="193"/>
      <c r="S755" s="193"/>
      <c r="T755" s="193"/>
      <c r="U755" s="193"/>
      <c r="V755" s="193"/>
      <c r="W755" s="193"/>
      <c r="X755" s="193"/>
      <c r="Y755" s="193"/>
      <c r="Z755" s="193"/>
    </row>
    <row r="756" customFormat="false" ht="15.75" hidden="false" customHeight="false" outlineLevel="0" collapsed="false">
      <c r="A756" s="193"/>
      <c r="B756" s="193"/>
      <c r="C756" s="273"/>
      <c r="D756" s="193"/>
      <c r="E756" s="273"/>
      <c r="F756" s="193"/>
      <c r="G756" s="273"/>
      <c r="H756" s="193"/>
      <c r="I756" s="273"/>
      <c r="J756" s="193"/>
      <c r="K756" s="273"/>
      <c r="L756" s="193"/>
      <c r="M756" s="273"/>
      <c r="N756" s="193"/>
      <c r="O756" s="193"/>
      <c r="P756" s="193"/>
      <c r="Q756" s="193"/>
      <c r="R756" s="193"/>
      <c r="S756" s="193"/>
      <c r="T756" s="193"/>
      <c r="U756" s="193"/>
      <c r="V756" s="193"/>
      <c r="W756" s="193"/>
      <c r="X756" s="193"/>
      <c r="Y756" s="193"/>
      <c r="Z756" s="193"/>
    </row>
    <row r="757" customFormat="false" ht="15.75" hidden="false" customHeight="false" outlineLevel="0" collapsed="false">
      <c r="A757" s="193"/>
      <c r="B757" s="193"/>
      <c r="C757" s="273"/>
      <c r="D757" s="193"/>
      <c r="E757" s="273"/>
      <c r="F757" s="193"/>
      <c r="G757" s="273"/>
      <c r="H757" s="193"/>
      <c r="I757" s="273"/>
      <c r="J757" s="193"/>
      <c r="K757" s="273"/>
      <c r="L757" s="193"/>
      <c r="M757" s="273"/>
      <c r="N757" s="193"/>
      <c r="O757" s="193"/>
      <c r="P757" s="193"/>
      <c r="Q757" s="193"/>
      <c r="R757" s="193"/>
      <c r="S757" s="193"/>
      <c r="T757" s="193"/>
      <c r="U757" s="193"/>
      <c r="V757" s="193"/>
      <c r="W757" s="193"/>
      <c r="X757" s="193"/>
      <c r="Y757" s="193"/>
      <c r="Z757" s="193"/>
    </row>
    <row r="758" customFormat="false" ht="15.75" hidden="false" customHeight="false" outlineLevel="0" collapsed="false">
      <c r="A758" s="193"/>
      <c r="B758" s="193"/>
      <c r="C758" s="273"/>
      <c r="D758" s="193"/>
      <c r="E758" s="273"/>
      <c r="F758" s="193"/>
      <c r="G758" s="273"/>
      <c r="H758" s="193"/>
      <c r="I758" s="273"/>
      <c r="J758" s="193"/>
      <c r="K758" s="273"/>
      <c r="L758" s="193"/>
      <c r="M758" s="273"/>
      <c r="N758" s="193"/>
      <c r="O758" s="193"/>
      <c r="P758" s="193"/>
      <c r="Q758" s="193"/>
      <c r="R758" s="193"/>
      <c r="S758" s="193"/>
      <c r="T758" s="193"/>
      <c r="U758" s="193"/>
      <c r="V758" s="193"/>
      <c r="W758" s="193"/>
      <c r="X758" s="193"/>
      <c r="Y758" s="193"/>
      <c r="Z758" s="193"/>
    </row>
    <row r="759" customFormat="false" ht="15.75" hidden="false" customHeight="false" outlineLevel="0" collapsed="false">
      <c r="A759" s="193"/>
      <c r="B759" s="193"/>
      <c r="C759" s="273"/>
      <c r="D759" s="193"/>
      <c r="E759" s="273"/>
      <c r="F759" s="193"/>
      <c r="G759" s="273"/>
      <c r="H759" s="193"/>
      <c r="I759" s="273"/>
      <c r="J759" s="193"/>
      <c r="K759" s="273"/>
      <c r="L759" s="193"/>
      <c r="M759" s="273"/>
      <c r="N759" s="193"/>
      <c r="O759" s="193"/>
      <c r="P759" s="193"/>
      <c r="Q759" s="193"/>
      <c r="R759" s="193"/>
      <c r="S759" s="193"/>
      <c r="T759" s="193"/>
      <c r="U759" s="193"/>
      <c r="V759" s="193"/>
      <c r="W759" s="193"/>
      <c r="X759" s="193"/>
      <c r="Y759" s="193"/>
      <c r="Z759" s="193"/>
    </row>
    <row r="760" customFormat="false" ht="15.75" hidden="false" customHeight="false" outlineLevel="0" collapsed="false">
      <c r="A760" s="193"/>
      <c r="B760" s="193"/>
      <c r="C760" s="273"/>
      <c r="D760" s="193"/>
      <c r="E760" s="273"/>
      <c r="F760" s="193"/>
      <c r="G760" s="273"/>
      <c r="H760" s="193"/>
      <c r="I760" s="273"/>
      <c r="J760" s="193"/>
      <c r="K760" s="273"/>
      <c r="L760" s="193"/>
      <c r="M760" s="273"/>
      <c r="N760" s="193"/>
      <c r="O760" s="193"/>
      <c r="P760" s="193"/>
      <c r="Q760" s="193"/>
      <c r="R760" s="193"/>
      <c r="S760" s="193"/>
      <c r="T760" s="193"/>
      <c r="U760" s="193"/>
      <c r="V760" s="193"/>
      <c r="W760" s="193"/>
      <c r="X760" s="193"/>
      <c r="Y760" s="193"/>
      <c r="Z760" s="193"/>
    </row>
    <row r="761" customFormat="false" ht="15.75" hidden="false" customHeight="false" outlineLevel="0" collapsed="false">
      <c r="A761" s="193"/>
      <c r="B761" s="193"/>
      <c r="C761" s="273"/>
      <c r="D761" s="193"/>
      <c r="E761" s="273"/>
      <c r="F761" s="193"/>
      <c r="G761" s="273"/>
      <c r="H761" s="193"/>
      <c r="I761" s="273"/>
      <c r="J761" s="193"/>
      <c r="K761" s="273"/>
      <c r="L761" s="193"/>
      <c r="M761" s="273"/>
      <c r="N761" s="193"/>
      <c r="O761" s="193"/>
      <c r="P761" s="193"/>
      <c r="Q761" s="193"/>
      <c r="R761" s="193"/>
      <c r="S761" s="193"/>
      <c r="T761" s="193"/>
      <c r="U761" s="193"/>
      <c r="V761" s="193"/>
      <c r="W761" s="193"/>
      <c r="X761" s="193"/>
      <c r="Y761" s="193"/>
      <c r="Z761" s="193"/>
    </row>
    <row r="762" customFormat="false" ht="15.75" hidden="false" customHeight="false" outlineLevel="0" collapsed="false">
      <c r="A762" s="193"/>
      <c r="B762" s="193"/>
      <c r="C762" s="273"/>
      <c r="D762" s="193"/>
      <c r="E762" s="273"/>
      <c r="F762" s="193"/>
      <c r="G762" s="273"/>
      <c r="H762" s="193"/>
      <c r="I762" s="273"/>
      <c r="J762" s="193"/>
      <c r="K762" s="273"/>
      <c r="L762" s="193"/>
      <c r="M762" s="273"/>
      <c r="N762" s="193"/>
      <c r="O762" s="193"/>
      <c r="P762" s="193"/>
      <c r="Q762" s="193"/>
      <c r="R762" s="193"/>
      <c r="S762" s="193"/>
      <c r="T762" s="193"/>
      <c r="U762" s="193"/>
      <c r="V762" s="193"/>
      <c r="W762" s="193"/>
      <c r="X762" s="193"/>
      <c r="Y762" s="193"/>
      <c r="Z762" s="193"/>
    </row>
    <row r="763" customFormat="false" ht="15.75" hidden="false" customHeight="false" outlineLevel="0" collapsed="false">
      <c r="A763" s="193"/>
      <c r="B763" s="193"/>
      <c r="C763" s="273"/>
      <c r="D763" s="193"/>
      <c r="E763" s="273"/>
      <c r="F763" s="193"/>
      <c r="G763" s="273"/>
      <c r="H763" s="193"/>
      <c r="I763" s="273"/>
      <c r="J763" s="193"/>
      <c r="K763" s="273"/>
      <c r="L763" s="193"/>
      <c r="M763" s="273"/>
      <c r="N763" s="193"/>
      <c r="O763" s="193"/>
      <c r="P763" s="193"/>
      <c r="Q763" s="193"/>
      <c r="R763" s="193"/>
      <c r="S763" s="193"/>
      <c r="T763" s="193"/>
      <c r="U763" s="193"/>
      <c r="V763" s="193"/>
      <c r="W763" s="193"/>
      <c r="X763" s="193"/>
      <c r="Y763" s="193"/>
      <c r="Z763" s="193"/>
    </row>
    <row r="764" customFormat="false" ht="15.75" hidden="false" customHeight="false" outlineLevel="0" collapsed="false">
      <c r="A764" s="193"/>
      <c r="B764" s="193"/>
      <c r="C764" s="273"/>
      <c r="D764" s="193"/>
      <c r="E764" s="273"/>
      <c r="F764" s="193"/>
      <c r="G764" s="273"/>
      <c r="H764" s="193"/>
      <c r="I764" s="273"/>
      <c r="J764" s="193"/>
      <c r="K764" s="273"/>
      <c r="L764" s="193"/>
      <c r="M764" s="273"/>
      <c r="N764" s="193"/>
      <c r="O764" s="193"/>
      <c r="P764" s="193"/>
      <c r="Q764" s="193"/>
      <c r="R764" s="193"/>
      <c r="S764" s="193"/>
      <c r="T764" s="193"/>
      <c r="U764" s="193"/>
      <c r="V764" s="193"/>
      <c r="W764" s="193"/>
      <c r="X764" s="193"/>
      <c r="Y764" s="193"/>
      <c r="Z764" s="193"/>
    </row>
    <row r="765" customFormat="false" ht="15.75" hidden="false" customHeight="false" outlineLevel="0" collapsed="false">
      <c r="A765" s="193"/>
      <c r="B765" s="193"/>
      <c r="C765" s="273"/>
      <c r="D765" s="193"/>
      <c r="E765" s="273"/>
      <c r="F765" s="193"/>
      <c r="G765" s="273"/>
      <c r="H765" s="193"/>
      <c r="I765" s="273"/>
      <c r="J765" s="193"/>
      <c r="K765" s="273"/>
      <c r="L765" s="193"/>
      <c r="M765" s="273"/>
      <c r="N765" s="193"/>
      <c r="O765" s="193"/>
      <c r="P765" s="193"/>
      <c r="Q765" s="193"/>
      <c r="R765" s="193"/>
      <c r="S765" s="193"/>
      <c r="T765" s="193"/>
      <c r="U765" s="193"/>
      <c r="V765" s="193"/>
      <c r="W765" s="193"/>
      <c r="X765" s="193"/>
      <c r="Y765" s="193"/>
      <c r="Z765" s="193"/>
    </row>
  </sheetData>
  <mergeCells count="1">
    <mergeCell ref="C1:D1"/>
  </mergeCells>
  <conditionalFormatting sqref="C1:C1000 E1:E1000 G1:G1000 I1:I1000 K1:K1000 M1:M1000">
    <cfRule type="expression" priority="2" aboveAverage="0" equalAverage="0" bottom="0" percent="0" rank="0" text="" dxfId="0">
      <formula>IF(COUNTIF(D1,"*FA*"),1,0)</formula>
    </cfRule>
  </conditionalFormatting>
  <conditionalFormatting sqref="M2">
    <cfRule type="expression" priority="3" aboveAverage="0" equalAverage="0" bottom="0" percent="0" rank="0" text="" dxfId="10">
      <formula>LEN(TRIM(M2))&gt;0</formula>
    </cfRule>
  </conditionalFormatting>
  <conditionalFormatting sqref="F12">
    <cfRule type="expression" priority="4" aboveAverage="0" equalAverage="0" bottom="0" percent="0" rank="0" text="" dxfId="10">
      <formula>LEN(TRIM(F12))&gt;0</formula>
    </cfRule>
  </conditionalFormatting>
  <conditionalFormatting sqref="C1:C1000 E1:E1000 G1:G1000 I1:I1000 K1:K1000 M1:M1000">
    <cfRule type="expression" priority="5" aboveAverage="0" equalAverage="0" bottom="0" percent="0" rank="0" text="" dxfId="11">
      <formula>IF(COUNTIF(D1,"*Guaranteed*"),1,0)</formula>
    </cfRule>
  </conditionalFormatting>
  <conditionalFormatting sqref="C1:C1000 E1:E1000 G1:G1000 I1:I1000 K1:K1000 M1:M1000">
    <cfRule type="expression" priority="6" aboveAverage="0" equalAverage="0" bottom="0" percent="0" rank="0" text="" dxfId="12">
      <formula>IF(COUNTIF(D1,"*Club Option*"),1,0)</formula>
    </cfRule>
  </conditionalFormatting>
  <conditionalFormatting sqref="C1:C1000 E1:E1000 G1:G1000 I1:I1000 K1:K1000 M1:M1000">
    <cfRule type="expression" priority="7" aboveAverage="0" equalAverage="0" bottom="0" percent="0" rank="0" text="" dxfId="3">
      <formula>IF(COUNTIF(D1,"*Player Option*"),1,0)</formula>
    </cfRule>
  </conditionalFormatting>
  <conditionalFormatting sqref="C1:C1000 E1:E1000 G1:G1000 I1:I1000 K1:K1000 M1:M1000">
    <cfRule type="expression" priority="8" aboveAverage="0" equalAverage="0" bottom="0" percent="0" rank="0" text="" dxfId="5">
      <formula>IF(COUNTIF(D1,"*Estimated*"),1,0)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12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A60" activeCellId="0" sqref="A60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.88"/>
    <col collapsed="false" customWidth="true" hidden="false" outlineLevel="0" max="2" min="2" style="0" width="20.25"/>
    <col collapsed="false" customWidth="true" hidden="false" outlineLevel="0" max="4" min="4" style="0" width="3.37"/>
    <col collapsed="false" customWidth="true" hidden="false" outlineLevel="0" max="6" min="6" style="0" width="3.25"/>
    <col collapsed="false" customWidth="true" hidden="false" outlineLevel="0" max="8" min="7" style="0" width="22.01"/>
    <col collapsed="false" customWidth="true" hidden="false" outlineLevel="0" max="9" min="9" style="0" width="3.37"/>
    <col collapsed="false" customWidth="true" hidden="false" outlineLevel="0" max="11" min="10" style="0" width="22.01"/>
    <col collapsed="false" customWidth="true" hidden="false" outlineLevel="0" max="12" min="12" style="0" width="3.37"/>
    <col collapsed="false" customWidth="true" hidden="false" outlineLevel="0" max="13" min="13" style="0" width="20.25"/>
    <col collapsed="false" customWidth="true" hidden="false" outlineLevel="0" max="15" min="15" style="0" width="3.37"/>
  </cols>
  <sheetData>
    <row r="1" customFormat="false" ht="15.75" hidden="false" customHeight="false" outlineLevel="0" collapsed="false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</row>
    <row r="2" customFormat="false" ht="15.75" hidden="false" customHeight="false" outlineLevel="0" collapsed="false">
      <c r="A2" s="194"/>
      <c r="B2" s="275" t="s">
        <v>169</v>
      </c>
      <c r="C2" s="275"/>
      <c r="D2" s="275"/>
      <c r="E2" s="275"/>
      <c r="F2" s="194"/>
      <c r="G2" s="276" t="s">
        <v>170</v>
      </c>
      <c r="H2" s="277" t="s">
        <v>171</v>
      </c>
      <c r="I2" s="194"/>
      <c r="J2" s="276" t="s">
        <v>170</v>
      </c>
      <c r="K2" s="277" t="s">
        <v>172</v>
      </c>
      <c r="L2" s="194"/>
      <c r="M2" s="275" t="s">
        <v>173</v>
      </c>
      <c r="N2" s="275"/>
      <c r="O2" s="275"/>
      <c r="P2" s="275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</row>
    <row r="3" customFormat="false" ht="15.75" hidden="false" customHeight="false" outlineLevel="0" collapsed="false">
      <c r="A3" s="194"/>
      <c r="B3" s="278" t="s">
        <v>174</v>
      </c>
      <c r="C3" s="279" t="n">
        <v>2024</v>
      </c>
      <c r="D3" s="279"/>
      <c r="E3" s="279"/>
      <c r="F3" s="194"/>
      <c r="G3" s="278" t="s">
        <v>175</v>
      </c>
      <c r="H3" s="280" t="s">
        <v>162</v>
      </c>
      <c r="I3" s="194"/>
      <c r="J3" s="278" t="s">
        <v>175</v>
      </c>
      <c r="K3" s="280" t="s">
        <v>162</v>
      </c>
      <c r="L3" s="194"/>
      <c r="M3" s="278" t="s">
        <v>174</v>
      </c>
      <c r="N3" s="281" t="n">
        <f aca="false">C3</f>
        <v>2024</v>
      </c>
      <c r="O3" s="281"/>
      <c r="P3" s="281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</row>
    <row r="4" customFormat="false" ht="15.75" hidden="false" customHeight="false" outlineLevel="0" collapsed="false">
      <c r="A4" s="194"/>
      <c r="B4" s="282" t="s">
        <v>162</v>
      </c>
      <c r="C4" s="283" t="e">
        <f aca="false">SUM(H4:H11)</f>
        <v>#NAME?</v>
      </c>
      <c r="D4" s="283"/>
      <c r="E4" s="283"/>
      <c r="F4" s="194"/>
      <c r="G4" s="284" t="s">
        <v>176</v>
      </c>
      <c r="H4" s="285" t="e">
        <f aca="false">xlookup(G4,$G$21:$G$42,$H$21:$H$42,"")</f>
        <v>#NAME?</v>
      </c>
      <c r="I4" s="194"/>
      <c r="J4" s="284" t="s">
        <v>177</v>
      </c>
      <c r="K4" s="285" t="e">
        <f aca="false">xlookup(J4,$J$21:$J$42,$K$21:$K$42,"")</f>
        <v>#NAME?</v>
      </c>
      <c r="L4" s="194"/>
      <c r="M4" s="282" t="s">
        <v>162</v>
      </c>
      <c r="N4" s="283" t="e">
        <f aca="false">SUM(K4:K11)</f>
        <v>#NAME?</v>
      </c>
      <c r="O4" s="283"/>
      <c r="P4" s="283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</row>
    <row r="5" customFormat="false" ht="15.75" hidden="false" customHeight="false" outlineLevel="0" collapsed="false">
      <c r="A5" s="194"/>
      <c r="B5" s="282" t="s">
        <v>178</v>
      </c>
      <c r="C5" s="286" t="n">
        <f aca="false">140588000*((1)*(1.1^(C3-2024)))</f>
        <v>140588000</v>
      </c>
      <c r="D5" s="286"/>
      <c r="E5" s="286"/>
      <c r="F5" s="194"/>
      <c r="G5" s="284" t="s">
        <v>179</v>
      </c>
      <c r="H5" s="285" t="e">
        <f aca="false">xlookup(G5,$G$21:$G$42,$H$21:$H$42,"")</f>
        <v>#NAME?</v>
      </c>
      <c r="I5" s="194"/>
      <c r="J5" s="284"/>
      <c r="K5" s="285" t="e">
        <f aca="false">xlookup(J5,$J$21:$J$42,$K$21:$K$42,"")</f>
        <v>#NAME?</v>
      </c>
      <c r="L5" s="194"/>
      <c r="M5" s="282" t="s">
        <v>180</v>
      </c>
      <c r="N5" s="286" t="n">
        <f aca="false">140588000*((1)*(1.1^(N3-2024)))</f>
        <v>140588000</v>
      </c>
      <c r="O5" s="286"/>
      <c r="P5" s="286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</row>
    <row r="6" customFormat="false" ht="15.75" hidden="false" customHeight="false" outlineLevel="0" collapsed="false">
      <c r="A6" s="194"/>
      <c r="B6" s="282" t="s">
        <v>181</v>
      </c>
      <c r="C6" s="287" t="n">
        <v>0</v>
      </c>
      <c r="D6" s="288" t="s">
        <v>182</v>
      </c>
      <c r="E6" s="289" t="n">
        <f aca="false">C9-250000</f>
        <v>7501817.734</v>
      </c>
      <c r="F6" s="194"/>
      <c r="G6" s="284"/>
      <c r="H6" s="285" t="e">
        <f aca="false">xlookup(G6,$G$21:$G$42,$H$21:$H$42,"")</f>
        <v>#NAME?</v>
      </c>
      <c r="I6" s="194"/>
      <c r="J6" s="284"/>
      <c r="K6" s="285" t="e">
        <f aca="false">xlookup(J6,$J$21:$J$42,$K$21:$K$42,"")</f>
        <v>#NAME?</v>
      </c>
      <c r="L6" s="194"/>
      <c r="M6" s="282" t="s">
        <v>181</v>
      </c>
      <c r="N6" s="287" t="n">
        <v>0</v>
      </c>
      <c r="O6" s="288" t="s">
        <v>182</v>
      </c>
      <c r="P6" s="289" t="n">
        <f aca="false">N9-250000</f>
        <v>7501817.734</v>
      </c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</row>
    <row r="7" customFormat="false" ht="15.75" hidden="false" customHeight="false" outlineLevel="0" collapsed="false">
      <c r="A7" s="194"/>
      <c r="B7" s="282" t="s">
        <v>183</v>
      </c>
      <c r="C7" s="290" t="n">
        <f aca="false">E6</f>
        <v>7501817.734</v>
      </c>
      <c r="D7" s="291" t="s">
        <v>182</v>
      </c>
      <c r="E7" s="292" t="n">
        <f aca="false">C7*4</f>
        <v>30007270.94</v>
      </c>
      <c r="F7" s="194"/>
      <c r="G7" s="284"/>
      <c r="H7" s="285" t="e">
        <f aca="false">xlookup(G7,$G$21:$G$42,$H$21:$H$42,"")</f>
        <v>#NAME?</v>
      </c>
      <c r="I7" s="194"/>
      <c r="J7" s="284"/>
      <c r="K7" s="285" t="e">
        <f aca="false">xlookup(J7,$J$21:$J$42,$K$21:$K$42,"")</f>
        <v>#NAME?</v>
      </c>
      <c r="L7" s="194"/>
      <c r="M7" s="282" t="s">
        <v>183</v>
      </c>
      <c r="N7" s="290" t="n">
        <f aca="false">P6</f>
        <v>7501817.734</v>
      </c>
      <c r="O7" s="291" t="s">
        <v>182</v>
      </c>
      <c r="P7" s="292" t="n">
        <f aca="false">N7*4</f>
        <v>30007270.94</v>
      </c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</row>
    <row r="8" customFormat="false" ht="15.75" hidden="false" customHeight="false" outlineLevel="0" collapsed="false">
      <c r="A8" s="194"/>
      <c r="B8" s="282" t="s">
        <v>184</v>
      </c>
      <c r="C8" s="287" t="n">
        <f aca="false">C7*4</f>
        <v>30007270.94</v>
      </c>
      <c r="D8" s="288" t="s">
        <v>182</v>
      </c>
      <c r="E8" s="293" t="s">
        <v>185</v>
      </c>
      <c r="F8" s="194"/>
      <c r="G8" s="284"/>
      <c r="H8" s="285" t="e">
        <f aca="false">xlookup(G8,$G$21:$G$42,$H$21:$H$42,"")</f>
        <v>#NAME?</v>
      </c>
      <c r="I8" s="194"/>
      <c r="J8" s="284"/>
      <c r="K8" s="285" t="e">
        <f aca="false">xlookup(J8,$J$21:$J$42,$K$21:$K$42,"")</f>
        <v>#NAME?</v>
      </c>
      <c r="L8" s="194"/>
      <c r="M8" s="282" t="s">
        <v>184</v>
      </c>
      <c r="N8" s="287" t="n">
        <f aca="false">N7*4</f>
        <v>30007270.94</v>
      </c>
      <c r="O8" s="288" t="s">
        <v>182</v>
      </c>
      <c r="P8" s="293" t="s">
        <v>185</v>
      </c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</row>
    <row r="9" customFormat="false" ht="15.75" hidden="false" customHeight="false" outlineLevel="0" collapsed="false">
      <c r="A9" s="194"/>
      <c r="B9" s="282" t="s">
        <v>186</v>
      </c>
      <c r="C9" s="294" t="n">
        <f aca="false">7500000*(C5/ 136021000)</f>
        <v>7751817.734</v>
      </c>
      <c r="D9" s="294"/>
      <c r="E9" s="294"/>
      <c r="F9" s="194"/>
      <c r="G9" s="284"/>
      <c r="H9" s="285" t="e">
        <f aca="false">xlookup(G9,$G$21:$G$42,$H$21:$H$42,"")</f>
        <v>#NAME?</v>
      </c>
      <c r="I9" s="194"/>
      <c r="J9" s="284"/>
      <c r="K9" s="285" t="e">
        <f aca="false">xlookup(J9,$J$21:$J$42,$K$21:$K$42,"")</f>
        <v>#NAME?</v>
      </c>
      <c r="L9" s="194"/>
      <c r="M9" s="282" t="s">
        <v>186</v>
      </c>
      <c r="N9" s="294" t="n">
        <f aca="false">7500000*(N5/ 136021000)</f>
        <v>7751817.734</v>
      </c>
      <c r="O9" s="294"/>
      <c r="P9" s="2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</row>
    <row r="10" customFormat="false" ht="15.75" hidden="false" customHeight="false" outlineLevel="0" collapsed="false">
      <c r="A10" s="194"/>
      <c r="B10" s="282" t="s">
        <v>187</v>
      </c>
      <c r="C10" s="295" t="e">
        <f aca="false">IF(C4&lt;E6,"Low Threshold",IF(C4&lt;E7,"Mid Threshold","High Threshold"))</f>
        <v>#NAME?</v>
      </c>
      <c r="D10" s="295"/>
      <c r="E10" s="295"/>
      <c r="F10" s="194"/>
      <c r="G10" s="284"/>
      <c r="H10" s="285" t="e">
        <f aca="false">xlookup(G10,$G$21:$G$42,$H$21:$H$42,"")</f>
        <v>#NAME?</v>
      </c>
      <c r="I10" s="194"/>
      <c r="J10" s="284"/>
      <c r="K10" s="285" t="e">
        <f aca="false">xlookup(J10,$J$21:$J$42,$K$21:$K$42,"")</f>
        <v>#NAME?</v>
      </c>
      <c r="L10" s="194"/>
      <c r="M10" s="282" t="s">
        <v>187</v>
      </c>
      <c r="N10" s="295" t="e">
        <f aca="false">IF(N4&lt;P6,"Low Threshold",IF(N4&lt;P7,"Mid Threshold","High Threshold"))</f>
        <v>#NAME?</v>
      </c>
      <c r="O10" s="295"/>
      <c r="P10" s="295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</row>
    <row r="11" customFormat="false" ht="15.75" hidden="false" customHeight="false" outlineLevel="0" collapsed="false">
      <c r="A11" s="194"/>
      <c r="B11" s="282" t="s">
        <v>188</v>
      </c>
      <c r="C11" s="292" t="e">
        <f aca="false">IF(H18&lt;0,C4,IF(C10="Low Threshold",(C4*2)+250000,IF(C10="Mid Threshold",C4+C9,IF(C10="High Threshold",(C4*1.25)+250000,""))))</f>
        <v>#NAME?</v>
      </c>
      <c r="D11" s="292"/>
      <c r="E11" s="292"/>
      <c r="F11" s="194"/>
      <c r="G11" s="296"/>
      <c r="H11" s="297" t="e">
        <f aca="false">xlookup(G11,$G$21:$G$42,$H$21:$H$42,"")</f>
        <v>#NAME?</v>
      </c>
      <c r="I11" s="194"/>
      <c r="J11" s="296"/>
      <c r="K11" s="297" t="e">
        <f aca="false">xlookup(J11,$J$21:$J$42,$K$21:$K$42,"")</f>
        <v>#NAME?</v>
      </c>
      <c r="L11" s="194"/>
      <c r="M11" s="282" t="s">
        <v>188</v>
      </c>
      <c r="N11" s="292" t="e">
        <f aca="false">IF(K18&lt;0,N4,IF(N10="Low Threshold",(N4*2)+250000,IF(N10="Mid Threshold",N4+N9,IF(N10="High Threshold",(N4*1.25)+250000,""))))</f>
        <v>#NAME?</v>
      </c>
      <c r="O11" s="292"/>
      <c r="P11" s="292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</row>
    <row r="12" customFormat="false" ht="15.75" hidden="false" customHeight="false" outlineLevel="0" collapsed="false">
      <c r="A12" s="194"/>
      <c r="B12" s="298" t="s">
        <v>189</v>
      </c>
      <c r="C12" s="299" t="e">
        <f aca="false">IF(C10="Low Threshold",0,IF(C10="Mid Threshold",C4-C9,IF(C10="High Threshold",(C4*(1/1.25))-250000,"")))</f>
        <v>#NAME?</v>
      </c>
      <c r="D12" s="299"/>
      <c r="E12" s="299"/>
      <c r="F12" s="194"/>
      <c r="G12" s="210"/>
      <c r="H12" s="300"/>
      <c r="I12" s="194"/>
      <c r="J12" s="210"/>
      <c r="K12" s="300"/>
      <c r="L12" s="194"/>
      <c r="M12" s="298" t="s">
        <v>189</v>
      </c>
      <c r="N12" s="299" t="e">
        <f aca="false">IF(N10="Low Threshold",0,IF(N10="Mid Threshold",N4-N9,IF(N10="High Threshold",(N4*(1/1.25))-250000,"")))</f>
        <v>#NAME?</v>
      </c>
      <c r="O12" s="299"/>
      <c r="P12" s="299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</row>
    <row r="13" customFormat="false" ht="30.75" hidden="false" customHeight="true" outlineLevel="0" collapsed="false">
      <c r="A13" s="194"/>
      <c r="B13" s="194"/>
      <c r="C13" s="194"/>
      <c r="D13" s="194"/>
      <c r="E13" s="194"/>
      <c r="F13" s="194"/>
      <c r="G13" s="301" t="e">
        <f aca="false">IF(N4&lt;C11,"SUCCESS","FAILURE")</f>
        <v>#NAME?</v>
      </c>
      <c r="H13" s="301"/>
      <c r="I13" s="302"/>
      <c r="J13" s="301" t="e">
        <f aca="false">IF(C4&lt;N11,"SUCCESS","FAILURE")</f>
        <v>#NAME?</v>
      </c>
      <c r="K13" s="301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</row>
    <row r="14" customFormat="false" ht="15.75" hidden="false" customHeight="false" outlineLevel="0" collapsed="false">
      <c r="A14" s="194"/>
      <c r="B14" s="194"/>
      <c r="C14" s="194"/>
      <c r="D14" s="194"/>
      <c r="E14" s="194"/>
      <c r="F14" s="194"/>
      <c r="G14" s="303"/>
      <c r="H14" s="304"/>
      <c r="I14" s="194"/>
      <c r="J14" s="303"/>
      <c r="K14" s="30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</row>
    <row r="15" customFormat="false" ht="15.75" hidden="false" customHeight="false" outlineLevel="0" collapsed="false">
      <c r="A15" s="194"/>
      <c r="B15" s="194"/>
      <c r="C15" s="305"/>
      <c r="D15" s="194"/>
      <c r="E15" s="306"/>
      <c r="F15" s="194"/>
      <c r="G15" s="307" t="str">
        <f aca="false">H2</f>
        <v>Orlando Magic</v>
      </c>
      <c r="H15" s="307"/>
      <c r="I15" s="194"/>
      <c r="J15" s="307" t="str">
        <f aca="false">K2</f>
        <v>Washington Wizards</v>
      </c>
      <c r="K15" s="307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</row>
    <row r="16" customFormat="false" ht="15.75" hidden="false" customHeight="false" outlineLevel="0" collapsed="false">
      <c r="A16" s="194"/>
      <c r="B16" s="194"/>
      <c r="C16" s="305"/>
      <c r="D16" s="194"/>
      <c r="E16" s="306"/>
      <c r="F16" s="194"/>
      <c r="G16" s="308" t="s">
        <v>190</v>
      </c>
      <c r="H16" s="309" t="n">
        <f aca="false">SUM(H21:H52)</f>
        <v>155778839</v>
      </c>
      <c r="I16" s="194"/>
      <c r="J16" s="308" t="s">
        <v>190</v>
      </c>
      <c r="K16" s="309" t="n">
        <f aca="false">SUM(K21:K52)</f>
        <v>105801564</v>
      </c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</row>
    <row r="17" customFormat="false" ht="15.75" hidden="false" customHeight="false" outlineLevel="0" collapsed="false">
      <c r="A17" s="194"/>
      <c r="B17" s="194"/>
      <c r="C17" s="194"/>
      <c r="D17" s="194"/>
      <c r="E17" s="194"/>
      <c r="F17" s="194"/>
      <c r="G17" s="308" t="s">
        <v>191</v>
      </c>
      <c r="H17" s="309" t="n">
        <f aca="false">IF(H16+SUM(H54:H62)&gt;C5,0,C5-H16)</f>
        <v>0</v>
      </c>
      <c r="I17" s="194"/>
      <c r="J17" s="308" t="s">
        <v>191</v>
      </c>
      <c r="K17" s="309" t="n">
        <f aca="false">IF(K16+SUM(K54:K62)&gt;F5,0,F5-K16)</f>
        <v>0</v>
      </c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</row>
    <row r="18" customFormat="false" ht="15.75" hidden="false" customHeight="false" outlineLevel="0" collapsed="false">
      <c r="A18" s="194"/>
      <c r="B18" s="194"/>
      <c r="C18" s="194"/>
      <c r="D18" s="194"/>
      <c r="E18" s="194"/>
      <c r="F18" s="194"/>
      <c r="G18" s="308" t="s">
        <v>192</v>
      </c>
      <c r="H18" s="309" t="n">
        <f aca="false">172346000*(C5/136021000)-H16</f>
        <v>22353798.2251343</v>
      </c>
      <c r="I18" s="194"/>
      <c r="J18" s="308" t="s">
        <v>192</v>
      </c>
      <c r="K18" s="309" t="n">
        <f aca="false">172346000*(N5/136021000)-K16</f>
        <v>72331073.23</v>
      </c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</row>
    <row r="19" customFormat="false" ht="15.75" hidden="false" customHeight="false" outlineLevel="0" collapsed="false">
      <c r="A19" s="194"/>
      <c r="B19" s="194"/>
      <c r="C19" s="194"/>
      <c r="D19" s="194"/>
      <c r="E19" s="194"/>
      <c r="F19" s="194"/>
      <c r="G19" s="308" t="s">
        <v>193</v>
      </c>
      <c r="H19" s="309" t="n">
        <f aca="false">182794000*(C5/136021000)-H16</f>
        <v>33152597.116482</v>
      </c>
      <c r="I19" s="194"/>
      <c r="J19" s="308" t="s">
        <v>193</v>
      </c>
      <c r="K19" s="309" t="n">
        <f aca="false">182794000*(N5/136021000)-K16</f>
        <v>83129872.12</v>
      </c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</row>
    <row r="20" customFormat="false" ht="15.75" hidden="false" customHeight="false" outlineLevel="0" collapsed="false">
      <c r="A20" s="194"/>
      <c r="B20" s="194"/>
      <c r="C20" s="194"/>
      <c r="D20" s="194"/>
      <c r="E20" s="194"/>
      <c r="F20" s="194"/>
      <c r="G20" s="276" t="s">
        <v>175</v>
      </c>
      <c r="H20" s="310" t="s">
        <v>162</v>
      </c>
      <c r="I20" s="194"/>
      <c r="J20" s="276" t="s">
        <v>175</v>
      </c>
      <c r="K20" s="310" t="s">
        <v>162</v>
      </c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</row>
    <row r="21" customFormat="false" ht="15.75" hidden="false" customHeight="false" outlineLevel="0" collapsed="false">
      <c r="A21" s="194"/>
      <c r="B21" s="194"/>
      <c r="C21" s="194"/>
      <c r="D21" s="194"/>
      <c r="E21" s="194"/>
      <c r="F21" s="194"/>
      <c r="G21" s="311" t="str">
        <f aca="false">IFERROR(__xludf.dummyfunction("IF(C3=2024,CHOOSECOLS(FILTER('All Contracts'!A:C,('All Contracts'!B:B=H2)*('All Contracts'!C:C&lt;&gt;"""")*('All Contracts'!D:D&lt;&gt;""Dead Cap"")*(ISERROR(SEARCH(""UFA"",'All Contracts'!D:D,1)))),1,3),CHOOSECOLS(FILTER('All Contracts'!A:F,('All Contracts'!B:B=H2)"&amp;"*('All Contracts'!D:D&lt;&gt;""Dead Cap"")*(ISERROR(SEARCH(""UFA"",'All Contracts'!F:F,1)))),1,5))"),"Johann Grunloh (R)")</f>
        <v>Johann Grunloh (R)</v>
      </c>
      <c r="H21" s="285" t="str">
        <f aca="false">IFERROR(__xludf.dummyfunction("""COMPUTED_VALUE"""),"Two-way")</f>
        <v>Two-way</v>
      </c>
      <c r="I21" s="194"/>
      <c r="J21" s="311" t="str">
        <f aca="false">IFERROR(__xludf.dummyfunction("IF(C3=2024,CHOOSECOLS(FILTER('All Contracts'!A:C,('All Contracts'!B:B=K2)*('All Contracts'!C:C&lt;&gt;"""")*('All Contracts'!D:D&lt;&gt;""Dead Cap"")*(ISERROR(SEARCH(""UFA"",'All Contracts'!D:D,1)))),1,3),CHOOSECOLS(FILTER('All Contracts'!A:F,('All Contracts'!B:B=K2)"&amp;"*('All Contracts'!D:D&lt;&gt;""Dead Cap"")*(ISERROR(SEARCH(""UFA"",'All Contracts'!F:F,1)))),1,5))"),"Ricky Council IV")</f>
        <v>Ricky Council IV</v>
      </c>
      <c r="K21" s="285" t="str">
        <f aca="false">IFERROR(__xludf.dummyfunction("""COMPUTED_VALUE"""),"Two-way")</f>
        <v>Two-way</v>
      </c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</row>
    <row r="22" customFormat="false" ht="15.75" hidden="false" customHeight="false" outlineLevel="0" collapsed="false">
      <c r="A22" s="194"/>
      <c r="B22" s="194"/>
      <c r="C22" s="194"/>
      <c r="D22" s="194"/>
      <c r="E22" s="194"/>
      <c r="F22" s="194"/>
      <c r="G22" s="311" t="str">
        <f aca="false">IFERROR(__xludf.dummyfunction("""COMPUTED_VALUE"""),"Ethan Thompson")</f>
        <v>Ethan Thompson</v>
      </c>
      <c r="H22" s="285" t="str">
        <f aca="false">IFERROR(__xludf.dummyfunction("""COMPUTED_VALUE"""),"Two-way")</f>
        <v>Two-way</v>
      </c>
      <c r="I22" s="194"/>
      <c r="J22" s="311" t="str">
        <f aca="false">IFERROR(__xludf.dummyfunction("""COMPUTED_VALUE"""),"Ryan Nembhard (R)")</f>
        <v>Ryan Nembhard (R)</v>
      </c>
      <c r="K22" s="285" t="str">
        <f aca="false">IFERROR(__xludf.dummyfunction("""COMPUTED_VALUE"""),"Two-Way")</f>
        <v>Two-Way</v>
      </c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</row>
    <row r="23" customFormat="false" ht="15.75" hidden="false" customHeight="false" outlineLevel="0" collapsed="false">
      <c r="A23" s="194"/>
      <c r="B23" s="194"/>
      <c r="C23" s="194"/>
      <c r="D23" s="194"/>
      <c r="E23" s="194"/>
      <c r="F23" s="194"/>
      <c r="G23" s="311" t="str">
        <f aca="false">IFERROR(__xludf.dummyfunction("""COMPUTED_VALUE"""),"Darius Garland")</f>
        <v>Darius Garland</v>
      </c>
      <c r="H23" s="285" t="n">
        <f aca="false">IFERROR(__xludf.dummyfunction("""COMPUTED_VALUE"""),36725670)</f>
        <v>36725670</v>
      </c>
      <c r="I23" s="194"/>
      <c r="J23" s="311" t="str">
        <f aca="false">IFERROR(__xludf.dummyfunction("""COMPUTED_VALUE"""),"Yanic Konan Niederhauser (R)")</f>
        <v>Yanic Konan Niederhauser (R)</v>
      </c>
      <c r="K23" s="285" t="str">
        <f aca="false">IFERROR(__xludf.dummyfunction("""COMPUTED_VALUE"""),"Two-Way")</f>
        <v>Two-Way</v>
      </c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</row>
    <row r="24" customFormat="false" ht="15.75" hidden="false" customHeight="false" outlineLevel="0" collapsed="false">
      <c r="A24" s="194"/>
      <c r="B24" s="194"/>
      <c r="C24" s="194"/>
      <c r="D24" s="194"/>
      <c r="E24" s="194"/>
      <c r="F24" s="194"/>
      <c r="G24" s="311" t="str">
        <f aca="false">IFERROR(__xludf.dummyfunction("""COMPUTED_VALUE"""),"Franz Wagner")</f>
        <v>Franz Wagner</v>
      </c>
      <c r="H24" s="285" t="n">
        <f aca="false">IFERROR(__xludf.dummyfunction("""COMPUTED_VALUE"""),7007092)</f>
        <v>7007092</v>
      </c>
      <c r="I24" s="194"/>
      <c r="J24" s="311" t="str">
        <f aca="false">IFERROR(__xludf.dummyfunction("""COMPUTED_VALUE"""),"Jonathan Isaac")</f>
        <v>Jonathan Isaac</v>
      </c>
      <c r="K24" s="285" t="n">
        <f aca="false">IFERROR(__xludf.dummyfunction("""COMPUTED_VALUE"""),25000000)</f>
        <v>25000000</v>
      </c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</row>
    <row r="25" customFormat="false" ht="15.75" hidden="false" customHeight="false" outlineLevel="0" collapsed="false">
      <c r="A25" s="194"/>
      <c r="B25" s="194"/>
      <c r="C25" s="194"/>
      <c r="D25" s="194"/>
      <c r="E25" s="194"/>
      <c r="F25" s="194"/>
      <c r="G25" s="311" t="str">
        <f aca="false">IFERROR(__xludf.dummyfunction("""COMPUTED_VALUE"""),"Jalen Suggs")</f>
        <v>Jalen Suggs</v>
      </c>
      <c r="H25" s="285" t="n">
        <f aca="false">IFERROR(__xludf.dummyfunction("""COMPUTED_VALUE"""),9188385)</f>
        <v>9188385</v>
      </c>
      <c r="I25" s="194"/>
      <c r="J25" s="311" t="str">
        <f aca="false">IFERROR(__xludf.dummyfunction("""COMPUTED_VALUE"""),"Alex Sarr")</f>
        <v>Alex Sarr</v>
      </c>
      <c r="K25" s="285" t="n">
        <f aca="false">IFERROR(__xludf.dummyfunction("""COMPUTED_VALUE"""),11245680)</f>
        <v>11245680</v>
      </c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</row>
    <row r="26" customFormat="false" ht="15.75" hidden="false" customHeight="false" outlineLevel="0" collapsed="false">
      <c r="A26" s="194"/>
      <c r="B26" s="194"/>
      <c r="C26" s="194"/>
      <c r="D26" s="194"/>
      <c r="E26" s="229"/>
      <c r="F26" s="194"/>
      <c r="G26" s="311" t="str">
        <f aca="false">IFERROR(__xludf.dummyfunction("""COMPUTED_VALUE"""),"Khris Middleton")</f>
        <v>Khris Middleton</v>
      </c>
      <c r="H26" s="285" t="n">
        <f aca="false">IFERROR(__xludf.dummyfunction("""COMPUTED_VALUE"""),31000000)</f>
        <v>31000000</v>
      </c>
      <c r="I26" s="194"/>
      <c r="J26" s="311" t="str">
        <f aca="false">IFERROR(__xludf.dummyfunction("""COMPUTED_VALUE"""),"Pat Connaughton")</f>
        <v>Pat Connaughton</v>
      </c>
      <c r="K26" s="285" t="n">
        <f aca="false">IFERROR(__xludf.dummyfunction("""COMPUTED_VALUE"""),9423869)</f>
        <v>9423869</v>
      </c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</row>
    <row r="27" customFormat="false" ht="15.75" hidden="false" customHeight="false" outlineLevel="0" collapsed="false">
      <c r="A27" s="194"/>
      <c r="B27" s="194"/>
      <c r="C27" s="194"/>
      <c r="D27" s="194"/>
      <c r="E27" s="194"/>
      <c r="F27" s="194"/>
      <c r="G27" s="311" t="str">
        <f aca="false">IFERROR(__xludf.dummyfunction("""COMPUTED_VALUE"""),"Klay Thompson")</f>
        <v>Klay Thompson</v>
      </c>
      <c r="H27" s="285" t="n">
        <f aca="false">IFERROR(__xludf.dummyfunction("""COMPUTED_VALUE"""),15873016)</f>
        <v>15873016</v>
      </c>
      <c r="I27" s="194"/>
      <c r="J27" s="311" t="str">
        <f aca="false">IFERROR(__xludf.dummyfunction("""COMPUTED_VALUE"""),"Gary Trent Jr.")</f>
        <v>Gary Trent Jr.</v>
      </c>
      <c r="K27" s="285" t="n">
        <f aca="false">IFERROR(__xludf.dummyfunction("""COMPUTED_VALUE"""),2087519)</f>
        <v>2087519</v>
      </c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</row>
    <row r="28" customFormat="false" ht="15.75" hidden="false" customHeight="false" outlineLevel="0" collapsed="false">
      <c r="A28" s="194"/>
      <c r="B28" s="194"/>
      <c r="C28" s="194"/>
      <c r="D28" s="194"/>
      <c r="E28" s="194"/>
      <c r="F28" s="194"/>
      <c r="G28" s="311" t="str">
        <f aca="false">IFERROR(__xludf.dummyfunction("""COMPUTED_VALUE"""),"Paolo Banchero")</f>
        <v>Paolo Banchero</v>
      </c>
      <c r="H28" s="285" t="n">
        <f aca="false">IFERROR(__xludf.dummyfunction("""COMPUTED_VALUE"""),12160800)</f>
        <v>12160800</v>
      </c>
      <c r="I28" s="194"/>
      <c r="J28" s="311" t="str">
        <f aca="false">IFERROR(__xludf.dummyfunction("""COMPUTED_VALUE"""),"Tre Jones")</f>
        <v>Tre Jones</v>
      </c>
      <c r="K28" s="285" t="n">
        <f aca="false">IFERROR(__xludf.dummyfunction("""COMPUTED_VALUE"""),9104167)</f>
        <v>9104167</v>
      </c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</row>
    <row r="29" customFormat="false" ht="15.75" hidden="false" customHeight="false" outlineLevel="0" collapsed="false">
      <c r="A29" s="194"/>
      <c r="B29" s="194"/>
      <c r="C29" s="194"/>
      <c r="D29" s="194"/>
      <c r="E29" s="194"/>
      <c r="F29" s="194"/>
      <c r="G29" s="311" t="str">
        <f aca="false">IFERROR(__xludf.dummyfunction("""COMPUTED_VALUE"""),"Moritz Wagner")</f>
        <v>Moritz Wagner</v>
      </c>
      <c r="H29" s="285" t="n">
        <f aca="false">IFERROR(__xludf.dummyfunction("""COMPUTED_VALUE"""),11000000)</f>
        <v>11000000</v>
      </c>
      <c r="I29" s="194"/>
      <c r="J29" s="311" t="str">
        <f aca="false">IFERROR(__xludf.dummyfunction("""COMPUTED_VALUE"""),"Max Christie")</f>
        <v>Max Christie</v>
      </c>
      <c r="K29" s="285" t="n">
        <f aca="false">IFERROR(__xludf.dummyfunction("""COMPUTED_VALUE"""),7142857)</f>
        <v>7142857</v>
      </c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</row>
    <row r="30" customFormat="false" ht="15.75" hidden="false" customHeight="false" outlineLevel="0" collapsed="false">
      <c r="A30" s="194"/>
      <c r="B30" s="194"/>
      <c r="C30" s="194"/>
      <c r="D30" s="194"/>
      <c r="E30" s="194"/>
      <c r="F30" s="194"/>
      <c r="G30" s="311" t="str">
        <f aca="false">IFERROR(__xludf.dummyfunction("""COMPUTED_VALUE"""),"Goga Bitadze")</f>
        <v>Goga Bitadze</v>
      </c>
      <c r="H30" s="285" t="n">
        <f aca="false">IFERROR(__xludf.dummyfunction("""COMPUTED_VALUE"""),9057971)</f>
        <v>9057971</v>
      </c>
      <c r="I30" s="194"/>
      <c r="J30" s="311" t="str">
        <f aca="false">IFERROR(__xludf.dummyfunction("""COMPUTED_VALUE"""),"Bilal Coulibaly")</f>
        <v>Bilal Coulibaly</v>
      </c>
      <c r="K30" s="285" t="n">
        <f aca="false">IFERROR(__xludf.dummyfunction("""COMPUTED_VALUE"""),6945240)</f>
        <v>6945240</v>
      </c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</row>
    <row r="31" customFormat="false" ht="15.75" hidden="false" customHeight="false" outlineLevel="0" collapsed="false">
      <c r="A31" s="194"/>
      <c r="B31" s="194"/>
      <c r="C31" s="194"/>
      <c r="D31" s="194"/>
      <c r="E31" s="194"/>
      <c r="F31" s="194"/>
      <c r="G31" s="311" t="str">
        <f aca="false">IFERROR(__xludf.dummyfunction("""COMPUTED_VALUE"""),"Garrison Mathews")</f>
        <v>Garrison Mathews</v>
      </c>
      <c r="H31" s="285" t="n">
        <f aca="false">IFERROR(__xludf.dummyfunction("""COMPUTED_VALUE"""),2230253)</f>
        <v>2230253</v>
      </c>
      <c r="I31" s="194"/>
      <c r="J31" s="311" t="str">
        <f aca="false">IFERROR(__xludf.dummyfunction("""COMPUTED_VALUE"""),"Bub Carrington")</f>
        <v>Bub Carrington</v>
      </c>
      <c r="K31" s="285" t="n">
        <f aca="false">IFERROR(__xludf.dummyfunction("""COMPUTED_VALUE"""),4454880)</f>
        <v>4454880</v>
      </c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</row>
    <row r="32" customFormat="false" ht="15.75" hidden="false" customHeight="false" outlineLevel="0" collapsed="false">
      <c r="A32" s="194"/>
      <c r="B32" s="194"/>
      <c r="C32" s="194"/>
      <c r="D32" s="194"/>
      <c r="E32" s="194"/>
      <c r="F32" s="194"/>
      <c r="G32" s="311" t="str">
        <f aca="false">IFERROR(__xludf.dummyfunction("""COMPUTED_VALUE"""),"Thomas Bryant")</f>
        <v>Thomas Bryant</v>
      </c>
      <c r="H32" s="285" t="n">
        <f aca="false">IFERROR(__xludf.dummyfunction("""COMPUTED_VALUE"""),2087519)</f>
        <v>2087519</v>
      </c>
      <c r="I32" s="194"/>
      <c r="J32" s="311" t="str">
        <f aca="false">IFERROR(__xludf.dummyfunction("""COMPUTED_VALUE"""),"AJ Johnson")</f>
        <v>AJ Johnson</v>
      </c>
      <c r="K32" s="285" t="n">
        <f aca="false">IFERROR(__xludf.dummyfunction("""COMPUTED_VALUE"""),2795294)</f>
        <v>2795294</v>
      </c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</row>
    <row r="33" customFormat="false" ht="15.75" hidden="false" customHeight="false" outlineLevel="0" collapsed="false">
      <c r="A33" s="194"/>
      <c r="B33" s="194"/>
      <c r="C33" s="194"/>
      <c r="D33" s="194"/>
      <c r="E33" s="194"/>
      <c r="F33" s="194"/>
      <c r="G33" s="311" t="str">
        <f aca="false">IFERROR(__xludf.dummyfunction("""COMPUTED_VALUE"""),"Ben Simmons")</f>
        <v>Ben Simmons</v>
      </c>
      <c r="H33" s="285" t="n">
        <f aca="false">IFERROR(__xludf.dummyfunction("""COMPUTED_VALUE"""),755826)</f>
        <v>755826</v>
      </c>
      <c r="I33" s="194"/>
      <c r="J33" s="311" t="str">
        <f aca="false">IFERROR(__xludf.dummyfunction("""COMPUTED_VALUE"""),"Kyshawn George")</f>
        <v>Kyshawn George</v>
      </c>
      <c r="K33" s="285" t="n">
        <f aca="false">IFERROR(__xludf.dummyfunction("""COMPUTED_VALUE"""),2825520)</f>
        <v>2825520</v>
      </c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</row>
    <row r="34" customFormat="false" ht="15.75" hidden="false" customHeight="false" outlineLevel="0" collapsed="false">
      <c r="A34" s="194"/>
      <c r="B34" s="194"/>
      <c r="C34" s="194"/>
      <c r="D34" s="194"/>
      <c r="E34" s="194"/>
      <c r="F34" s="194"/>
      <c r="G34" s="311" t="str">
        <f aca="false">IFERROR(__xludf.dummyfunction("""COMPUTED_VALUE"""),"D'Angelo Russell")</f>
        <v>D'Angelo Russell</v>
      </c>
      <c r="H34" s="285" t="n">
        <f aca="false">IFERROR(__xludf.dummyfunction("""COMPUTED_VALUE"""),18692307)</f>
        <v>18692307</v>
      </c>
      <c r="I34" s="194"/>
      <c r="J34" s="311" t="str">
        <f aca="false">IFERROR(__xludf.dummyfunction("""COMPUTED_VALUE"""),"Isaiah Collier")</f>
        <v>Isaiah Collier</v>
      </c>
      <c r="K34" s="285" t="n">
        <f aca="false">IFERROR(__xludf.dummyfunction("""COMPUTED_VALUE"""),2512680)</f>
        <v>2512680</v>
      </c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</row>
    <row r="35" customFormat="false" ht="15.75" hidden="false" customHeight="false" outlineLevel="0" collapsed="false">
      <c r="A35" s="194"/>
      <c r="B35" s="194"/>
      <c r="C35" s="194"/>
      <c r="D35" s="194"/>
      <c r="E35" s="194"/>
      <c r="F35" s="194"/>
      <c r="G35" s="311" t="str">
        <f aca="false">IFERROR(__xludf.dummyfunction("""COMPUTED_VALUE"""),"Trevelin Queen")</f>
        <v>Trevelin Queen</v>
      </c>
      <c r="H35" s="285" t="str">
        <f aca="false">IFERROR(__xludf.dummyfunction("""COMPUTED_VALUE"""),"Two-way")</f>
        <v>Two-way</v>
      </c>
      <c r="I35" s="194"/>
      <c r="J35" s="311" t="str">
        <f aca="false">IFERROR(__xludf.dummyfunction("""COMPUTED_VALUE"""),"Karlo Matkovic")</f>
        <v>Karlo Matkovic</v>
      </c>
      <c r="K35" s="285" t="n">
        <f aca="false">IFERROR(__xludf.dummyfunction("""COMPUTED_VALUE"""),1407153)</f>
        <v>1407153</v>
      </c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</row>
    <row r="36" customFormat="false" ht="15.75" hidden="false" customHeight="false" outlineLevel="0" collapsed="false">
      <c r="A36" s="194"/>
      <c r="B36" s="194"/>
      <c r="C36" s="194"/>
      <c r="D36" s="194"/>
      <c r="E36" s="194"/>
      <c r="F36" s="194"/>
      <c r="G36" s="311"/>
      <c r="H36" s="285"/>
      <c r="I36" s="194"/>
      <c r="J36" s="311" t="str">
        <f aca="false">IFERROR(__xludf.dummyfunction("""COMPUTED_VALUE"""),"Richaun Holmes")</f>
        <v>Richaun Holmes</v>
      </c>
      <c r="K36" s="285" t="n">
        <f aca="false">IFERROR(__xludf.dummyfunction("""COMPUTED_VALUE"""),12648321)</f>
        <v>12648321</v>
      </c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</row>
    <row r="37" customFormat="false" ht="15.75" hidden="false" customHeight="false" outlineLevel="0" collapsed="false">
      <c r="A37" s="194"/>
      <c r="B37" s="194"/>
      <c r="C37" s="194"/>
      <c r="D37" s="194"/>
      <c r="E37" s="194"/>
      <c r="F37" s="194"/>
      <c r="G37" s="311"/>
      <c r="H37" s="285"/>
      <c r="I37" s="194"/>
      <c r="J37" s="311" t="str">
        <f aca="false">IFERROR(__xludf.dummyfunction("""COMPUTED_VALUE"""),"Anthony Gill")</f>
        <v>Anthony Gill</v>
      </c>
      <c r="K37" s="285" t="n">
        <f aca="false">IFERROR(__xludf.dummyfunction("""COMPUTED_VALUE"""),2237691)</f>
        <v>2237691</v>
      </c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</row>
    <row r="38" customFormat="false" ht="15.75" hidden="false" customHeight="false" outlineLevel="0" collapsed="false">
      <c r="A38" s="194"/>
      <c r="B38" s="194"/>
      <c r="C38" s="194"/>
      <c r="D38" s="194"/>
      <c r="E38" s="194"/>
      <c r="F38" s="194"/>
      <c r="G38" s="311"/>
      <c r="H38" s="285"/>
      <c r="I38" s="194"/>
      <c r="J38" s="311" t="str">
        <f aca="false">IFERROR(__xludf.dummyfunction("""COMPUTED_VALUE"""),"Colby Jones")</f>
        <v>Colby Jones</v>
      </c>
      <c r="K38" s="285" t="n">
        <f aca="false">IFERROR(__xludf.dummyfunction("""COMPUTED_VALUE"""),2120693)</f>
        <v>2120693</v>
      </c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</row>
    <row r="39" customFormat="false" ht="15.75" hidden="false" customHeight="false" outlineLevel="0" collapsed="false">
      <c r="A39" s="194"/>
      <c r="B39" s="194"/>
      <c r="C39" s="194"/>
      <c r="D39" s="194"/>
      <c r="E39" s="194"/>
      <c r="F39" s="194"/>
      <c r="G39" s="311"/>
      <c r="H39" s="285"/>
      <c r="I39" s="194"/>
      <c r="J39" s="311"/>
      <c r="K39" s="285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</row>
    <row r="40" customFormat="false" ht="15.75" hidden="false" customHeight="false" outlineLevel="0" collapsed="false">
      <c r="A40" s="194"/>
      <c r="B40" s="194"/>
      <c r="C40" s="194"/>
      <c r="D40" s="194"/>
      <c r="E40" s="194"/>
      <c r="F40" s="194"/>
      <c r="G40" s="311"/>
      <c r="H40" s="285"/>
      <c r="I40" s="194"/>
      <c r="J40" s="311"/>
      <c r="K40" s="285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</row>
    <row r="41" customFormat="false" ht="15.75" hidden="false" customHeight="false" outlineLevel="0" collapsed="false">
      <c r="A41" s="194"/>
      <c r="B41" s="194"/>
      <c r="C41" s="194"/>
      <c r="D41" s="194"/>
      <c r="E41" s="194"/>
      <c r="F41" s="194"/>
      <c r="G41" s="296"/>
      <c r="H41" s="297"/>
      <c r="I41" s="194"/>
      <c r="J41" s="311"/>
      <c r="K41" s="285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</row>
    <row r="42" customFormat="false" ht="15.75" hidden="false" customHeight="false" outlineLevel="0" collapsed="false">
      <c r="A42" s="194"/>
      <c r="B42" s="194"/>
      <c r="C42" s="194"/>
      <c r="D42" s="194"/>
      <c r="E42" s="194"/>
      <c r="F42" s="194"/>
      <c r="G42" s="276" t="s">
        <v>194</v>
      </c>
      <c r="H42" s="310" t="s">
        <v>162</v>
      </c>
      <c r="I42" s="194"/>
      <c r="J42" s="276" t="s">
        <v>194</v>
      </c>
      <c r="K42" s="310" t="s">
        <v>162</v>
      </c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</row>
    <row r="43" customFormat="false" ht="15.75" hidden="false" customHeight="false" outlineLevel="0" collapsed="false">
      <c r="A43" s="194"/>
      <c r="B43" s="194"/>
      <c r="C43" s="194"/>
      <c r="D43" s="194"/>
      <c r="E43" s="194"/>
      <c r="F43" s="194"/>
      <c r="G43" s="311" t="str">
        <f aca="false">IFERROR(__xludf.dummyfunction("IFERROR(IF(C3=2024,CHOOSECOLS(FILTER('All Contracts'!A:C,('All Contracts'!B:B=H2)*('All Contracts'!D:D=""Dead Cap"")),1,3),CHOOSECOLS(FILTER('All Contracts'!A:E,('All Contracts'!B:B=H2)*('All Contracts'!D:D=""Dead Cap"")),1,5)),"""")"),"")</f>
        <v/>
      </c>
      <c r="H43" s="285"/>
      <c r="I43" s="194"/>
      <c r="J43" s="311" t="str">
        <f aca="false">IFERROR(__xludf.dummyfunction("IFERROR(IF(C3=2024,CHOOSECOLS(FILTER('All Contracts'!A:C,('All Contracts'!B:B=K2)*('All Contracts'!D:D=""Dead Cap"")),1,3),CHOOSECOLS(FILTER('All Contracts'!A:E,('All Contracts'!B:B=K2)*('All Contracts'!D:D=""Dead Cap"")),1,5)),"""")"),"Kevin Love")</f>
        <v>Kevin Love</v>
      </c>
      <c r="K43" s="285" t="n">
        <f aca="false">IFERROR(__xludf.dummyfunction("""COMPUTED_VALUE"""),3850000)</f>
        <v>3850000</v>
      </c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</row>
    <row r="44" customFormat="false" ht="15.75" hidden="false" customHeight="false" outlineLevel="0" collapsed="false">
      <c r="A44" s="194"/>
      <c r="B44" s="194"/>
      <c r="C44" s="194"/>
      <c r="D44" s="194"/>
      <c r="E44" s="194"/>
      <c r="F44" s="194"/>
      <c r="G44" s="311"/>
      <c r="H44" s="285"/>
      <c r="I44" s="194"/>
      <c r="J44" s="311" t="str">
        <f aca="false">IFERROR(__xludf.dummyfunction("""COMPUTED_VALUE"""),"Richaun Holmes")</f>
        <v>Richaun Holmes</v>
      </c>
      <c r="K44" s="285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</row>
    <row r="45" customFormat="false" ht="15.75" hidden="false" customHeight="false" outlineLevel="0" collapsed="false">
      <c r="A45" s="194"/>
      <c r="B45" s="194"/>
      <c r="C45" s="194"/>
      <c r="D45" s="194"/>
      <c r="E45" s="194"/>
      <c r="F45" s="194"/>
      <c r="G45" s="311"/>
      <c r="H45" s="285"/>
      <c r="I45" s="194"/>
      <c r="J45" s="311"/>
      <c r="K45" s="285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</row>
    <row r="46" customFormat="false" ht="15.75" hidden="false" customHeight="false" outlineLevel="0" collapsed="false">
      <c r="A46" s="194"/>
      <c r="B46" s="194"/>
      <c r="C46" s="194"/>
      <c r="D46" s="194"/>
      <c r="E46" s="194"/>
      <c r="F46" s="194"/>
      <c r="G46" s="312"/>
      <c r="H46" s="197"/>
      <c r="I46" s="194"/>
      <c r="J46" s="312"/>
      <c r="K46" s="197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</row>
    <row r="47" customFormat="false" ht="15.75" hidden="false" customHeight="false" outlineLevel="0" collapsed="false">
      <c r="A47" s="194"/>
      <c r="B47" s="194"/>
      <c r="C47" s="194"/>
      <c r="D47" s="194"/>
      <c r="E47" s="194"/>
      <c r="F47" s="194"/>
      <c r="G47" s="312"/>
      <c r="H47" s="197"/>
      <c r="I47" s="194"/>
      <c r="J47" s="312"/>
      <c r="K47" s="197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</row>
    <row r="48" customFormat="false" ht="15.75" hidden="false" customHeight="false" outlineLevel="0" collapsed="false">
      <c r="A48" s="194"/>
      <c r="B48" s="194"/>
      <c r="C48" s="194"/>
      <c r="D48" s="194"/>
      <c r="E48" s="194"/>
      <c r="F48" s="194"/>
      <c r="G48" s="312"/>
      <c r="H48" s="197"/>
      <c r="I48" s="194"/>
      <c r="J48" s="312"/>
      <c r="K48" s="197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</row>
    <row r="49" customFormat="false" ht="15.75" hidden="false" customHeight="false" outlineLevel="0" collapsed="false">
      <c r="A49" s="194"/>
      <c r="B49" s="194"/>
      <c r="C49" s="194"/>
      <c r="D49" s="194"/>
      <c r="E49" s="194"/>
      <c r="F49" s="194"/>
      <c r="G49" s="312"/>
      <c r="H49" s="197"/>
      <c r="I49" s="194"/>
      <c r="J49" s="312"/>
      <c r="K49" s="197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</row>
    <row r="50" customFormat="false" ht="15.75" hidden="false" customHeight="false" outlineLevel="0" collapsed="false">
      <c r="A50" s="194"/>
      <c r="B50" s="194"/>
      <c r="C50" s="194"/>
      <c r="D50" s="194"/>
      <c r="E50" s="194"/>
      <c r="F50" s="194"/>
      <c r="G50" s="312"/>
      <c r="H50" s="197"/>
      <c r="I50" s="194"/>
      <c r="J50" s="312"/>
      <c r="K50" s="197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</row>
    <row r="51" customFormat="false" ht="15.75" hidden="false" customHeight="false" outlineLevel="0" collapsed="false">
      <c r="A51" s="194"/>
      <c r="B51" s="194"/>
      <c r="C51" s="194"/>
      <c r="D51" s="194"/>
      <c r="E51" s="194"/>
      <c r="F51" s="194"/>
      <c r="G51" s="312"/>
      <c r="H51" s="197"/>
      <c r="I51" s="194"/>
      <c r="J51" s="312"/>
      <c r="K51" s="197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</row>
    <row r="52" customFormat="false" ht="15.75" hidden="false" customHeight="false" outlineLevel="0" collapsed="false">
      <c r="A52" s="194"/>
      <c r="B52" s="194"/>
      <c r="C52" s="194"/>
      <c r="D52" s="194"/>
      <c r="E52" s="194"/>
      <c r="F52" s="194"/>
      <c r="G52" s="313"/>
      <c r="H52" s="190"/>
      <c r="I52" s="194"/>
      <c r="J52" s="313"/>
      <c r="K52" s="190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</row>
    <row r="53" customFormat="false" ht="15.75" hidden="false" customHeight="false" outlineLevel="0" collapsed="false">
      <c r="A53" s="194"/>
      <c r="B53" s="194"/>
      <c r="C53" s="194"/>
      <c r="D53" s="194"/>
      <c r="E53" s="194"/>
      <c r="F53" s="194"/>
      <c r="G53" s="276" t="s">
        <v>195</v>
      </c>
      <c r="H53" s="310" t="s">
        <v>162</v>
      </c>
      <c r="I53" s="194"/>
      <c r="J53" s="276" t="s">
        <v>195</v>
      </c>
      <c r="K53" s="310" t="s">
        <v>162</v>
      </c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</row>
    <row r="54" customFormat="false" ht="15.75" hidden="false" customHeight="false" outlineLevel="0" collapsed="false">
      <c r="A54" s="194"/>
      <c r="B54" s="194"/>
      <c r="C54" s="194"/>
      <c r="D54" s="194"/>
      <c r="E54" s="194"/>
      <c r="F54" s="194"/>
      <c r="G54" s="311" t="str">
        <f aca="false">IFERROR(__xludf.dummyfunction("CHOOSECOLS(FILTER('All Contracts'!A:F,(ISNUMBER(SEARCH(""UFA"",'All Contracts'!F:F,1)))*('All Contracts'!B:B=H2)),1,5)"),"Mac McClung")</f>
        <v>Mac McClung</v>
      </c>
      <c r="H54" s="285" t="n">
        <f aca="false">IFERROR(__xludf.dummyfunction("""COMPUTED_VALUE"""),2048491)</f>
        <v>2048491</v>
      </c>
      <c r="I54" s="194"/>
      <c r="J54" s="311" t="str">
        <f aca="false">IFERROR(__xludf.dummyfunction("CHOOSECOLS(FILTER('All Contracts'!A:F,(ISNUMBER(SEARCH(""UFA"",'All Contracts'!F:F,1)))*('All Contracts'!B:B=K2)),1,5)"),"Tristan Vukcevic")</f>
        <v>Tristan Vukcevic</v>
      </c>
      <c r="K54" s="285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</row>
    <row r="55" customFormat="false" ht="15.75" hidden="false" customHeight="false" outlineLevel="0" collapsed="false">
      <c r="A55" s="194"/>
      <c r="B55" s="194"/>
      <c r="C55" s="194"/>
      <c r="D55" s="194"/>
      <c r="E55" s="194"/>
      <c r="F55" s="194"/>
      <c r="G55" s="311" t="str">
        <f aca="false">IFERROR(__xludf.dummyfunction("""COMPUTED_VALUE"""),"Trevelin Queen")</f>
        <v>Trevelin Queen</v>
      </c>
      <c r="H55" s="285" t="n">
        <f aca="false">IFERROR(__xludf.dummyfunction("""COMPUTED_VALUE"""),2048491)</f>
        <v>2048491</v>
      </c>
      <c r="I55" s="194"/>
      <c r="J55" s="311" t="str">
        <f aca="false">IFERROR(__xludf.dummyfunction("""COMPUTED_VALUE"""),"Richaun Holmes")</f>
        <v>Richaun Holmes</v>
      </c>
      <c r="K55" s="285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</row>
    <row r="56" customFormat="false" ht="15.75" hidden="false" customHeight="false" outlineLevel="0" collapsed="false">
      <c r="A56" s="194"/>
      <c r="B56" s="194"/>
      <c r="C56" s="194"/>
      <c r="D56" s="194"/>
      <c r="E56" s="194"/>
      <c r="F56" s="194"/>
      <c r="G56" s="311"/>
      <c r="H56" s="285"/>
      <c r="I56" s="194"/>
      <c r="J56" s="311" t="str">
        <f aca="false">IFERROR(__xludf.dummyfunction("""COMPUTED_VALUE"""),"Ian Mahinmi")</f>
        <v>Ian Mahinmi</v>
      </c>
      <c r="K56" s="285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</row>
    <row r="57" customFormat="false" ht="15.75" hidden="false" customHeight="false" outlineLevel="0" collapsed="false">
      <c r="A57" s="194"/>
      <c r="B57" s="194"/>
      <c r="C57" s="194"/>
      <c r="D57" s="194"/>
      <c r="E57" s="194"/>
      <c r="F57" s="194"/>
      <c r="G57" s="311"/>
      <c r="H57" s="285"/>
      <c r="I57" s="194"/>
      <c r="J57" s="311" t="str">
        <f aca="false">IFERROR(__xludf.dummyfunction("""COMPUTED_VALUE"""),"Kendrick Nunn")</f>
        <v>Kendrick Nunn</v>
      </c>
      <c r="K57" s="285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</row>
    <row r="58" customFormat="false" ht="15.75" hidden="false" customHeight="false" outlineLevel="0" collapsed="false">
      <c r="A58" s="194"/>
      <c r="B58" s="194"/>
      <c r="C58" s="194"/>
      <c r="D58" s="194"/>
      <c r="E58" s="194"/>
      <c r="F58" s="194"/>
      <c r="G58" s="311"/>
      <c r="H58" s="285"/>
      <c r="I58" s="194"/>
      <c r="J58" s="311" t="str">
        <f aca="false">IFERROR(__xludf.dummyfunction("""COMPUTED_VALUE"""),"Tomas Satoransky")</f>
        <v>Tomas Satoransky</v>
      </c>
      <c r="K58" s="285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</row>
    <row r="59" customFormat="false" ht="15.75" hidden="false" customHeight="false" outlineLevel="0" collapsed="false">
      <c r="A59" s="194"/>
      <c r="B59" s="194"/>
      <c r="C59" s="194"/>
      <c r="D59" s="194"/>
      <c r="E59" s="194"/>
      <c r="F59" s="194"/>
      <c r="G59" s="311"/>
      <c r="H59" s="285"/>
      <c r="I59" s="194"/>
      <c r="J59" s="311" t="str">
        <f aca="false">IFERROR(__xludf.dummyfunction("""COMPUTED_VALUE"""),"Cassius Winston")</f>
        <v>Cassius Winston</v>
      </c>
      <c r="K59" s="285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</row>
    <row r="60" customFormat="false" ht="15.75" hidden="false" customHeight="false" outlineLevel="0" collapsed="false">
      <c r="A60" s="194"/>
      <c r="B60" s="194"/>
      <c r="C60" s="194"/>
      <c r="D60" s="194"/>
      <c r="E60" s="194"/>
      <c r="F60" s="194"/>
      <c r="G60" s="311"/>
      <c r="H60" s="285"/>
      <c r="I60" s="194"/>
      <c r="J60" s="311" t="str">
        <f aca="false">IFERROR(__xludf.dummyfunction("""COMPUTED_VALUE"""),"Johnathan Williams")</f>
        <v>Johnathan Williams</v>
      </c>
      <c r="K60" s="285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</row>
    <row r="61" customFormat="false" ht="15.75" hidden="false" customHeight="false" outlineLevel="0" collapsed="false">
      <c r="A61" s="194"/>
      <c r="B61" s="194"/>
      <c r="C61" s="194"/>
      <c r="D61" s="194"/>
      <c r="E61" s="194"/>
      <c r="F61" s="194"/>
      <c r="G61" s="311"/>
      <c r="H61" s="285"/>
      <c r="I61" s="194"/>
      <c r="J61" s="311" t="str">
        <f aca="false">IFERROR(__xludf.dummyfunction("""COMPUTED_VALUE"""),"JT Thor")</f>
        <v>JT Thor</v>
      </c>
      <c r="K61" s="285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</row>
    <row r="62" customFormat="false" ht="15.75" hidden="false" customHeight="false" outlineLevel="0" collapsed="false">
      <c r="A62" s="194"/>
      <c r="B62" s="194"/>
      <c r="C62" s="194"/>
      <c r="D62" s="194"/>
      <c r="E62" s="194"/>
      <c r="F62" s="194"/>
      <c r="G62" s="311"/>
      <c r="H62" s="285"/>
      <c r="I62" s="194"/>
      <c r="J62" s="311" t="str">
        <f aca="false">IFERROR(__xludf.dummyfunction("""COMPUTED_VALUE"""),"Anthony Gill")</f>
        <v>Anthony Gill</v>
      </c>
      <c r="K62" s="285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</row>
    <row r="63" customFormat="false" ht="15.75" hidden="false" customHeight="false" outlineLevel="0" collapsed="false">
      <c r="A63" s="194"/>
      <c r="B63" s="194"/>
      <c r="C63" s="194"/>
      <c r="D63" s="194"/>
      <c r="E63" s="194"/>
      <c r="F63" s="194"/>
      <c r="G63" s="296"/>
      <c r="H63" s="297"/>
      <c r="I63" s="194"/>
      <c r="J63" s="296" t="str">
        <f aca="false">IFERROR(__xludf.dummyfunction("""COMPUTED_VALUE"""),"Colby Jones")</f>
        <v>Colby Jones</v>
      </c>
      <c r="K63" s="297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</row>
    <row r="64" customFormat="false" ht="15.75" hidden="false" customHeight="false" outlineLevel="0" collapsed="false">
      <c r="A64" s="194"/>
      <c r="B64" s="194"/>
      <c r="C64" s="194"/>
      <c r="D64" s="194"/>
      <c r="E64" s="194"/>
      <c r="F64" s="194"/>
      <c r="G64" s="194"/>
      <c r="H64" s="194"/>
      <c r="I64" s="194"/>
      <c r="J64" s="194" t="str">
        <f aca="false">IFERROR(__xludf.dummyfunction("""COMPUTED_VALUE"""),"Jaylen Martin")</f>
        <v>Jaylen Martin</v>
      </c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</row>
    <row r="65" customFormat="false" ht="15.75" hidden="false" customHeight="false" outlineLevel="0" collapsed="false">
      <c r="A65" s="194"/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</row>
    <row r="66" customFormat="false" ht="15.75" hidden="false" customHeight="false" outlineLevel="0" collapsed="false">
      <c r="A66" s="194"/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</row>
    <row r="67" customFormat="false" ht="15.75" hidden="false" customHeight="false" outlineLevel="0" collapsed="false">
      <c r="A67" s="194"/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</row>
    <row r="68" customFormat="false" ht="15.75" hidden="false" customHeight="false" outlineLevel="0" collapsed="false">
      <c r="A68" s="194"/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</row>
    <row r="69" customFormat="false" ht="15.75" hidden="false" customHeight="false" outlineLevel="0" collapsed="false">
      <c r="A69" s="194"/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</row>
    <row r="70" customFormat="false" ht="15.75" hidden="false" customHeight="false" outlineLevel="0" collapsed="false">
      <c r="A70" s="194"/>
      <c r="B70" s="194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</row>
    <row r="71" customFormat="false" ht="15.75" hidden="false" customHeight="false" outlineLevel="0" collapsed="false">
      <c r="A71" s="194"/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</row>
    <row r="72" customFormat="false" ht="15.75" hidden="false" customHeight="false" outlineLevel="0" collapsed="false">
      <c r="A72" s="194"/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</row>
    <row r="73" customFormat="false" ht="15.75" hidden="false" customHeight="false" outlineLevel="0" collapsed="false">
      <c r="A73" s="194"/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</row>
    <row r="74" customFormat="false" ht="15.75" hidden="false" customHeight="false" outlineLevel="0" collapsed="false">
      <c r="A74" s="194"/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</row>
    <row r="75" customFormat="false" ht="15.75" hidden="false" customHeight="false" outlineLevel="0" collapsed="false">
      <c r="A75" s="194"/>
      <c r="B75" s="194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</row>
    <row r="76" customFormat="false" ht="15.75" hidden="false" customHeight="false" outlineLevel="0" collapsed="false">
      <c r="A76" s="194"/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</row>
    <row r="77" customFormat="false" ht="15.75" hidden="false" customHeight="false" outlineLevel="0" collapsed="false">
      <c r="A77" s="194"/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</row>
    <row r="78" customFormat="false" ht="15.75" hidden="false" customHeight="false" outlineLevel="0" collapsed="false">
      <c r="A78" s="194"/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</row>
    <row r="79" customFormat="false" ht="15.75" hidden="false" customHeight="false" outlineLevel="0" collapsed="false">
      <c r="A79" s="194"/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</row>
    <row r="80" customFormat="false" ht="15.75" hidden="false" customHeight="false" outlineLevel="0" collapsed="false">
      <c r="A80" s="194"/>
      <c r="B80" s="194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</row>
    <row r="81" customFormat="false" ht="15.75" hidden="false" customHeight="false" outlineLevel="0" collapsed="false">
      <c r="A81" s="194"/>
      <c r="B81" s="194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</row>
    <row r="82" customFormat="false" ht="15.75" hidden="false" customHeight="false" outlineLevel="0" collapsed="false">
      <c r="A82" s="194"/>
      <c r="B82" s="194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</row>
    <row r="83" customFormat="false" ht="15.75" hidden="false" customHeight="false" outlineLevel="0" collapsed="false">
      <c r="A83" s="194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</row>
    <row r="84" customFormat="false" ht="15.75" hidden="false" customHeight="false" outlineLevel="0" collapsed="false">
      <c r="A84" s="194"/>
      <c r="B84" s="194"/>
      <c r="C84" s="194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</row>
    <row r="85" customFormat="false" ht="15.75" hidden="false" customHeight="false" outlineLevel="0" collapsed="false">
      <c r="A85" s="194"/>
      <c r="B85" s="194"/>
      <c r="C85" s="194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</row>
    <row r="86" customFormat="false" ht="15.75" hidden="false" customHeight="false" outlineLevel="0" collapsed="false">
      <c r="A86" s="194"/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</row>
    <row r="87" customFormat="false" ht="15.75" hidden="false" customHeight="false" outlineLevel="0" collapsed="false">
      <c r="A87" s="194"/>
      <c r="B87" s="194"/>
      <c r="C87" s="194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  <c r="AA87" s="194"/>
      <c r="AB87" s="194"/>
      <c r="AC87" s="194"/>
      <c r="AD87" s="194"/>
    </row>
    <row r="88" customFormat="false" ht="15.75" hidden="false" customHeight="false" outlineLevel="0" collapsed="false">
      <c r="A88" s="194"/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  <c r="AC88" s="194"/>
      <c r="AD88" s="194"/>
    </row>
    <row r="89" customFormat="false" ht="15.75" hidden="false" customHeight="false" outlineLevel="0" collapsed="false">
      <c r="A89" s="194"/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94"/>
      <c r="AB89" s="194"/>
      <c r="AC89" s="194"/>
      <c r="AD89" s="194"/>
    </row>
    <row r="90" customFormat="false" ht="15.75" hidden="false" customHeight="false" outlineLevel="0" collapsed="false">
      <c r="A90" s="194"/>
      <c r="B90" s="194"/>
      <c r="C90" s="194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</row>
    <row r="91" customFormat="false" ht="15.75" hidden="false" customHeight="false" outlineLevel="0" collapsed="false">
      <c r="A91" s="194"/>
      <c r="B91" s="194"/>
      <c r="C91" s="194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</row>
    <row r="92" customFormat="false" ht="15.75" hidden="false" customHeight="false" outlineLevel="0" collapsed="false">
      <c r="A92" s="194"/>
      <c r="B92" s="194"/>
      <c r="C92" s="194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</row>
    <row r="93" customFormat="false" ht="15.75" hidden="false" customHeight="false" outlineLevel="0" collapsed="false">
      <c r="A93" s="194"/>
      <c r="B93" s="194"/>
      <c r="C93" s="194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</row>
    <row r="94" customFormat="false" ht="15.75" hidden="false" customHeight="false" outlineLevel="0" collapsed="false">
      <c r="A94" s="194"/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</row>
    <row r="95" customFormat="false" ht="15.75" hidden="false" customHeight="false" outlineLevel="0" collapsed="false">
      <c r="A95" s="194"/>
      <c r="B95" s="194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</row>
    <row r="96" customFormat="false" ht="15.75" hidden="false" customHeight="false" outlineLevel="0" collapsed="false">
      <c r="A96" s="194"/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</row>
    <row r="97" customFormat="false" ht="15.75" hidden="false" customHeight="false" outlineLevel="0" collapsed="false">
      <c r="A97" s="194"/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  <c r="AD97" s="194"/>
    </row>
    <row r="98" customFormat="false" ht="15.75" hidden="false" customHeight="false" outlineLevel="0" collapsed="false">
      <c r="A98" s="194"/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</row>
    <row r="99" customFormat="false" ht="15.75" hidden="false" customHeight="false" outlineLevel="0" collapsed="false">
      <c r="A99" s="194"/>
      <c r="B99" s="194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  <c r="AD99" s="194"/>
    </row>
    <row r="100" customFormat="false" ht="15.75" hidden="false" customHeight="false" outlineLevel="0" collapsed="false">
      <c r="A100" s="194"/>
      <c r="B100" s="194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</row>
    <row r="101" customFormat="false" ht="15.75" hidden="false" customHeight="false" outlineLevel="0" collapsed="false">
      <c r="A101" s="194"/>
      <c r="B101" s="194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</row>
    <row r="102" customFormat="false" ht="15.75" hidden="false" customHeight="false" outlineLevel="0" collapsed="false">
      <c r="A102" s="194"/>
      <c r="B102" s="194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</row>
    <row r="103" customFormat="false" ht="15.75" hidden="false" customHeight="false" outlineLevel="0" collapsed="false">
      <c r="A103" s="194"/>
      <c r="B103" s="194"/>
      <c r="C103" s="194"/>
      <c r="D103" s="194"/>
      <c r="E103" s="194"/>
      <c r="F103" s="194"/>
      <c r="G103" s="194"/>
      <c r="H103" s="194"/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</row>
    <row r="104" customFormat="false" ht="15.75" hidden="false" customHeight="false" outlineLevel="0" collapsed="false">
      <c r="A104" s="194"/>
      <c r="B104" s="194"/>
      <c r="C104" s="194"/>
      <c r="D104" s="194"/>
      <c r="E104" s="194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</row>
    <row r="105" customFormat="false" ht="15.75" hidden="false" customHeight="false" outlineLevel="0" collapsed="false">
      <c r="A105" s="194"/>
      <c r="B105" s="194"/>
      <c r="C105" s="194"/>
      <c r="D105" s="194"/>
      <c r="E105" s="194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  <c r="AA105" s="194"/>
      <c r="AB105" s="194"/>
      <c r="AC105" s="194"/>
      <c r="AD105" s="194"/>
    </row>
    <row r="106" customFormat="false" ht="15.75" hidden="false" customHeight="false" outlineLevel="0" collapsed="false">
      <c r="A106" s="194"/>
      <c r="B106" s="194"/>
      <c r="C106" s="194"/>
      <c r="D106" s="194"/>
      <c r="E106" s="194"/>
      <c r="F106" s="194"/>
      <c r="G106" s="194"/>
      <c r="H106" s="194"/>
      <c r="I106" s="194"/>
      <c r="J106" s="194"/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</row>
    <row r="107" customFormat="false" ht="15.75" hidden="false" customHeight="false" outlineLevel="0" collapsed="false">
      <c r="A107" s="194"/>
      <c r="B107" s="194"/>
      <c r="C107" s="194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</row>
    <row r="108" customFormat="false" ht="15.75" hidden="false" customHeight="false" outlineLevel="0" collapsed="false">
      <c r="A108" s="194"/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  <c r="AA108" s="194"/>
      <c r="AB108" s="194"/>
      <c r="AC108" s="194"/>
      <c r="AD108" s="194"/>
    </row>
    <row r="109" customFormat="false" ht="15.75" hidden="false" customHeight="false" outlineLevel="0" collapsed="false">
      <c r="A109" s="194"/>
      <c r="B109" s="194"/>
      <c r="C109" s="194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4"/>
      <c r="Z109" s="194"/>
      <c r="AA109" s="194"/>
      <c r="AB109" s="194"/>
      <c r="AC109" s="194"/>
      <c r="AD109" s="194"/>
    </row>
    <row r="110" customFormat="false" ht="15.75" hidden="false" customHeight="false" outlineLevel="0" collapsed="false">
      <c r="A110" s="194"/>
      <c r="B110" s="194"/>
      <c r="C110" s="194"/>
      <c r="D110" s="194"/>
      <c r="E110" s="194"/>
      <c r="F110" s="194"/>
      <c r="G110" s="194"/>
      <c r="H110" s="194"/>
      <c r="I110" s="194"/>
      <c r="J110" s="194"/>
      <c r="K110" s="194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  <c r="Z110" s="194"/>
      <c r="AA110" s="194"/>
      <c r="AB110" s="194"/>
      <c r="AC110" s="194"/>
      <c r="AD110" s="194"/>
    </row>
    <row r="111" customFormat="false" ht="15.75" hidden="false" customHeight="false" outlineLevel="0" collapsed="false">
      <c r="A111" s="194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  <c r="Z111" s="194"/>
      <c r="AA111" s="194"/>
      <c r="AB111" s="194"/>
      <c r="AC111" s="194"/>
      <c r="AD111" s="194"/>
    </row>
    <row r="112" customFormat="false" ht="15.75" hidden="false" customHeight="false" outlineLevel="0" collapsed="false">
      <c r="A112" s="194"/>
      <c r="B112" s="194"/>
      <c r="C112" s="194"/>
      <c r="D112" s="194"/>
      <c r="E112" s="194"/>
      <c r="F112" s="194"/>
      <c r="G112" s="194"/>
      <c r="H112" s="194"/>
      <c r="I112" s="194"/>
      <c r="J112" s="194"/>
      <c r="K112" s="194"/>
      <c r="L112" s="194"/>
      <c r="M112" s="194"/>
      <c r="N112" s="194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4"/>
      <c r="Z112" s="194"/>
      <c r="AA112" s="194"/>
      <c r="AB112" s="194"/>
      <c r="AC112" s="194"/>
      <c r="AD112" s="194"/>
    </row>
    <row r="113" customFormat="false" ht="15.75" hidden="false" customHeight="false" outlineLevel="0" collapsed="false">
      <c r="A113" s="194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</row>
    <row r="114" customFormat="false" ht="15.75" hidden="false" customHeight="false" outlineLevel="0" collapsed="false">
      <c r="A114" s="194"/>
      <c r="B114" s="194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4"/>
      <c r="AD114" s="194"/>
    </row>
    <row r="115" customFormat="false" ht="15.75" hidden="false" customHeight="false" outlineLevel="0" collapsed="false">
      <c r="A115" s="194"/>
      <c r="B115" s="194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4"/>
      <c r="AD115" s="194"/>
    </row>
    <row r="116" customFormat="false" ht="15.75" hidden="false" customHeight="false" outlineLevel="0" collapsed="false">
      <c r="A116" s="194"/>
      <c r="B116" s="194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4"/>
      <c r="AD116" s="194"/>
    </row>
    <row r="117" customFormat="false" ht="15.75" hidden="false" customHeight="false" outlineLevel="0" collapsed="false">
      <c r="A117" s="194"/>
      <c r="B117" s="194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4"/>
      <c r="AD117" s="194"/>
    </row>
    <row r="118" customFormat="false" ht="15.75" hidden="false" customHeight="false" outlineLevel="0" collapsed="false">
      <c r="A118" s="194"/>
      <c r="B118" s="194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4"/>
      <c r="AD118" s="194"/>
    </row>
    <row r="119" customFormat="false" ht="15.75" hidden="false" customHeight="false" outlineLevel="0" collapsed="false">
      <c r="A119" s="194"/>
      <c r="B119" s="194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</row>
    <row r="120" customFormat="false" ht="15.75" hidden="false" customHeight="false" outlineLevel="0" collapsed="false">
      <c r="A120" s="194"/>
      <c r="B120" s="194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</row>
    <row r="121" customFormat="false" ht="15.75" hidden="false" customHeight="false" outlineLevel="0" collapsed="false">
      <c r="A121" s="194"/>
      <c r="B121" s="194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4"/>
      <c r="AD121" s="194"/>
    </row>
    <row r="122" customFormat="false" ht="15.75" hidden="false" customHeight="false" outlineLevel="0" collapsed="false">
      <c r="A122" s="194"/>
      <c r="B122" s="194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4"/>
      <c r="AD122" s="194"/>
    </row>
    <row r="123" customFormat="false" ht="15.75" hidden="false" customHeight="false" outlineLevel="0" collapsed="false">
      <c r="A123" s="194"/>
      <c r="B123" s="194"/>
      <c r="C123" s="194"/>
      <c r="D123" s="194"/>
      <c r="E123" s="194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  <c r="Z123" s="194"/>
      <c r="AA123" s="194"/>
      <c r="AB123" s="194"/>
      <c r="AC123" s="194"/>
      <c r="AD123" s="194"/>
    </row>
    <row r="124" customFormat="false" ht="15.75" hidden="false" customHeight="false" outlineLevel="0" collapsed="false">
      <c r="A124" s="194"/>
      <c r="B124" s="194"/>
      <c r="C124" s="194"/>
      <c r="D124" s="194"/>
      <c r="E124" s="194"/>
      <c r="F124" s="194"/>
      <c r="G124" s="194"/>
      <c r="H124" s="194"/>
      <c r="I124" s="194"/>
      <c r="J124" s="194"/>
      <c r="K124" s="194"/>
      <c r="L124" s="194"/>
      <c r="M124" s="194"/>
      <c r="N124" s="194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4"/>
      <c r="Z124" s="194"/>
      <c r="AA124" s="194"/>
      <c r="AB124" s="194"/>
      <c r="AC124" s="194"/>
      <c r="AD124" s="194"/>
    </row>
    <row r="125" customFormat="false" ht="15.75" hidden="false" customHeight="false" outlineLevel="0" collapsed="false">
      <c r="A125" s="194"/>
      <c r="B125" s="194"/>
      <c r="C125" s="194"/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4"/>
      <c r="Z125" s="194"/>
      <c r="AA125" s="194"/>
      <c r="AB125" s="194"/>
      <c r="AC125" s="194"/>
      <c r="AD125" s="194"/>
    </row>
    <row r="126" customFormat="false" ht="15.75" hidden="false" customHeight="false" outlineLevel="0" collapsed="false">
      <c r="A126" s="194"/>
      <c r="B126" s="194"/>
      <c r="C126" s="194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4"/>
      <c r="Z126" s="194"/>
      <c r="AA126" s="194"/>
      <c r="AB126" s="194"/>
      <c r="AC126" s="194"/>
      <c r="AD126" s="194"/>
    </row>
    <row r="127" customFormat="false" ht="15.75" hidden="false" customHeight="false" outlineLevel="0" collapsed="false">
      <c r="A127" s="194"/>
      <c r="B127" s="194"/>
      <c r="C127" s="194"/>
      <c r="D127" s="194"/>
      <c r="E127" s="194"/>
      <c r="F127" s="194"/>
      <c r="G127" s="194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  <c r="Z127" s="194"/>
      <c r="AA127" s="194"/>
      <c r="AB127" s="194"/>
      <c r="AC127" s="194"/>
      <c r="AD127" s="194"/>
    </row>
    <row r="128" customFormat="false" ht="15.75" hidden="false" customHeight="false" outlineLevel="0" collapsed="false">
      <c r="A128" s="194"/>
      <c r="B128" s="194"/>
      <c r="C128" s="194"/>
      <c r="D128" s="194"/>
      <c r="E128" s="194"/>
      <c r="F128" s="194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4"/>
      <c r="Z128" s="194"/>
      <c r="AA128" s="194"/>
      <c r="AB128" s="194"/>
      <c r="AC128" s="194"/>
      <c r="AD128" s="194"/>
    </row>
    <row r="129" customFormat="false" ht="15.75" hidden="false" customHeight="false" outlineLevel="0" collapsed="false">
      <c r="A129" s="194"/>
      <c r="B129" s="194"/>
      <c r="C129" s="194"/>
      <c r="D129" s="194"/>
      <c r="E129" s="194"/>
      <c r="F129" s="194"/>
      <c r="G129" s="194"/>
      <c r="H129" s="194"/>
      <c r="I129" s="194"/>
      <c r="J129" s="194"/>
      <c r="K129" s="194"/>
      <c r="L129" s="194"/>
      <c r="M129" s="194"/>
      <c r="N129" s="194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4"/>
      <c r="Z129" s="194"/>
      <c r="AA129" s="194"/>
      <c r="AB129" s="194"/>
      <c r="AC129" s="194"/>
      <c r="AD129" s="194"/>
    </row>
    <row r="130" customFormat="false" ht="15.75" hidden="false" customHeight="false" outlineLevel="0" collapsed="false">
      <c r="A130" s="194"/>
      <c r="B130" s="194"/>
      <c r="C130" s="194"/>
      <c r="D130" s="194"/>
      <c r="E130" s="194"/>
      <c r="F130" s="194"/>
      <c r="G130" s="194"/>
      <c r="H130" s="194"/>
      <c r="I130" s="194"/>
      <c r="J130" s="194"/>
      <c r="K130" s="194"/>
      <c r="L130" s="194"/>
      <c r="M130" s="194"/>
      <c r="N130" s="194"/>
      <c r="O130" s="194"/>
      <c r="P130" s="194"/>
      <c r="Q130" s="194"/>
      <c r="R130" s="194"/>
      <c r="S130" s="194"/>
      <c r="T130" s="194"/>
      <c r="U130" s="194"/>
      <c r="V130" s="194"/>
      <c r="W130" s="194"/>
      <c r="X130" s="194"/>
      <c r="Y130" s="194"/>
      <c r="Z130" s="194"/>
      <c r="AA130" s="194"/>
      <c r="AB130" s="194"/>
      <c r="AC130" s="194"/>
      <c r="AD130" s="194"/>
    </row>
    <row r="131" customFormat="false" ht="15.75" hidden="false" customHeight="false" outlineLevel="0" collapsed="false">
      <c r="A131" s="194"/>
      <c r="B131" s="194"/>
      <c r="C131" s="194"/>
      <c r="D131" s="194"/>
      <c r="E131" s="194"/>
      <c r="F131" s="194"/>
      <c r="G131" s="194"/>
      <c r="H131" s="194"/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4"/>
      <c r="AA131" s="194"/>
      <c r="AB131" s="194"/>
      <c r="AC131" s="194"/>
      <c r="AD131" s="194"/>
    </row>
    <row r="132" customFormat="false" ht="15.75" hidden="false" customHeight="false" outlineLevel="0" collapsed="false">
      <c r="A132" s="194"/>
      <c r="B132" s="194"/>
      <c r="C132" s="194"/>
      <c r="D132" s="194"/>
      <c r="E132" s="194"/>
      <c r="F132" s="194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4"/>
      <c r="AA132" s="194"/>
      <c r="AB132" s="194"/>
      <c r="AC132" s="194"/>
      <c r="AD132" s="194"/>
    </row>
    <row r="133" customFormat="false" ht="15.75" hidden="false" customHeight="false" outlineLevel="0" collapsed="false">
      <c r="A133" s="194"/>
      <c r="B133" s="19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  <c r="AA133" s="194"/>
      <c r="AB133" s="194"/>
      <c r="AC133" s="194"/>
      <c r="AD133" s="194"/>
    </row>
    <row r="134" customFormat="false" ht="15.75" hidden="false" customHeight="false" outlineLevel="0" collapsed="false">
      <c r="A134" s="194"/>
      <c r="B134" s="194"/>
      <c r="C134" s="194"/>
      <c r="D134" s="194"/>
      <c r="E134" s="194"/>
      <c r="F134" s="194"/>
      <c r="G134" s="194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94"/>
      <c r="AB134" s="194"/>
      <c r="AC134" s="194"/>
      <c r="AD134" s="194"/>
    </row>
    <row r="135" customFormat="false" ht="15.75" hidden="false" customHeight="false" outlineLevel="0" collapsed="false">
      <c r="A135" s="194"/>
      <c r="B135" s="194"/>
      <c r="C135" s="194"/>
      <c r="D135" s="194"/>
      <c r="E135" s="194"/>
      <c r="F135" s="194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4"/>
      <c r="AA135" s="194"/>
      <c r="AB135" s="194"/>
      <c r="AC135" s="194"/>
      <c r="AD135" s="194"/>
    </row>
    <row r="136" customFormat="false" ht="15.75" hidden="false" customHeight="false" outlineLevel="0" collapsed="false">
      <c r="A136" s="194"/>
      <c r="B136" s="194"/>
      <c r="C136" s="194"/>
      <c r="D136" s="194"/>
      <c r="E136" s="194"/>
      <c r="F136" s="194"/>
      <c r="G136" s="194"/>
      <c r="H136" s="194"/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4"/>
      <c r="AA136" s="194"/>
      <c r="AB136" s="194"/>
      <c r="AC136" s="194"/>
      <c r="AD136" s="194"/>
    </row>
    <row r="137" customFormat="false" ht="15.75" hidden="false" customHeight="false" outlineLevel="0" collapsed="false">
      <c r="A137" s="194"/>
      <c r="B137" s="194"/>
      <c r="C137" s="194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4"/>
      <c r="AA137" s="194"/>
      <c r="AB137" s="194"/>
      <c r="AC137" s="194"/>
      <c r="AD137" s="194"/>
    </row>
    <row r="138" customFormat="false" ht="15.75" hidden="false" customHeight="false" outlineLevel="0" collapsed="false">
      <c r="A138" s="194"/>
      <c r="B138" s="194"/>
      <c r="C138" s="194"/>
      <c r="D138" s="194"/>
      <c r="E138" s="194"/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4"/>
      <c r="AA138" s="194"/>
      <c r="AB138" s="194"/>
      <c r="AC138" s="194"/>
      <c r="AD138" s="194"/>
    </row>
    <row r="139" customFormat="false" ht="15.75" hidden="false" customHeight="false" outlineLevel="0" collapsed="false">
      <c r="A139" s="194"/>
      <c r="B139" s="194"/>
      <c r="C139" s="194"/>
      <c r="D139" s="194"/>
      <c r="E139" s="194"/>
      <c r="F139" s="194"/>
      <c r="G139" s="194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4"/>
      <c r="AA139" s="194"/>
      <c r="AB139" s="194"/>
      <c r="AC139" s="194"/>
      <c r="AD139" s="194"/>
    </row>
    <row r="140" customFormat="false" ht="15.75" hidden="false" customHeight="false" outlineLevel="0" collapsed="false">
      <c r="A140" s="194"/>
      <c r="B140" s="194"/>
      <c r="C140" s="194"/>
      <c r="D140" s="194"/>
      <c r="E140" s="194"/>
      <c r="F140" s="194"/>
      <c r="G140" s="194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4"/>
      <c r="AA140" s="194"/>
      <c r="AB140" s="194"/>
      <c r="AC140" s="194"/>
      <c r="AD140" s="194"/>
    </row>
    <row r="141" customFormat="false" ht="15.75" hidden="false" customHeight="false" outlineLevel="0" collapsed="false">
      <c r="A141" s="194"/>
      <c r="B141" s="194"/>
      <c r="C141" s="194"/>
      <c r="D141" s="194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4"/>
      <c r="AA141" s="194"/>
      <c r="AB141" s="194"/>
      <c r="AC141" s="194"/>
      <c r="AD141" s="194"/>
    </row>
    <row r="142" customFormat="false" ht="15.75" hidden="false" customHeight="false" outlineLevel="0" collapsed="false">
      <c r="A142" s="194"/>
      <c r="B142" s="194"/>
      <c r="C142" s="194"/>
      <c r="D142" s="194"/>
      <c r="E142" s="194"/>
      <c r="F142" s="194"/>
      <c r="G142" s="194"/>
      <c r="H142" s="194"/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4"/>
      <c r="AA142" s="194"/>
      <c r="AB142" s="194"/>
      <c r="AC142" s="194"/>
      <c r="AD142" s="194"/>
    </row>
    <row r="143" customFormat="false" ht="15.75" hidden="false" customHeight="false" outlineLevel="0" collapsed="false">
      <c r="A143" s="194"/>
      <c r="B143" s="194"/>
      <c r="C143" s="194"/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  <c r="AA143" s="194"/>
      <c r="AB143" s="194"/>
      <c r="AC143" s="194"/>
      <c r="AD143" s="194"/>
    </row>
    <row r="144" customFormat="false" ht="15.75" hidden="false" customHeight="false" outlineLevel="0" collapsed="false">
      <c r="A144" s="194"/>
      <c r="B144" s="194"/>
      <c r="C144" s="194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  <c r="AA144" s="194"/>
      <c r="AB144" s="194"/>
      <c r="AC144" s="194"/>
      <c r="AD144" s="194"/>
    </row>
    <row r="145" customFormat="false" ht="15.75" hidden="false" customHeight="false" outlineLevel="0" collapsed="false">
      <c r="A145" s="194"/>
      <c r="B145" s="194"/>
      <c r="C145" s="194"/>
      <c r="D145" s="194"/>
      <c r="E145" s="194"/>
      <c r="F145" s="194"/>
      <c r="G145" s="194"/>
      <c r="H145" s="194"/>
      <c r="I145" s="194"/>
      <c r="J145" s="194"/>
      <c r="K145" s="194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4"/>
      <c r="AA145" s="194"/>
      <c r="AB145" s="194"/>
      <c r="AC145" s="194"/>
      <c r="AD145" s="194"/>
    </row>
    <row r="146" customFormat="false" ht="15.75" hidden="false" customHeight="false" outlineLevel="0" collapsed="false">
      <c r="A146" s="194"/>
      <c r="B146" s="194"/>
      <c r="C146" s="194"/>
      <c r="D146" s="194"/>
      <c r="E146" s="194"/>
      <c r="F146" s="194"/>
      <c r="G146" s="194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4"/>
      <c r="AA146" s="194"/>
      <c r="AB146" s="194"/>
      <c r="AC146" s="194"/>
      <c r="AD146" s="194"/>
    </row>
    <row r="147" customFormat="false" ht="15.75" hidden="false" customHeight="false" outlineLevel="0" collapsed="false">
      <c r="A147" s="194"/>
      <c r="B147" s="194"/>
      <c r="C147" s="194"/>
      <c r="D147" s="194"/>
      <c r="E147" s="194"/>
      <c r="F147" s="194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4"/>
      <c r="AA147" s="194"/>
      <c r="AB147" s="194"/>
      <c r="AC147" s="194"/>
      <c r="AD147" s="194"/>
    </row>
    <row r="148" customFormat="false" ht="15.75" hidden="false" customHeight="false" outlineLevel="0" collapsed="false">
      <c r="A148" s="194"/>
      <c r="B148" s="194"/>
      <c r="C148" s="194"/>
      <c r="D148" s="194"/>
      <c r="E148" s="194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  <c r="AA148" s="194"/>
      <c r="AB148" s="194"/>
      <c r="AC148" s="194"/>
      <c r="AD148" s="194"/>
    </row>
    <row r="149" customFormat="false" ht="15.75" hidden="false" customHeight="false" outlineLevel="0" collapsed="false">
      <c r="A149" s="194"/>
      <c r="B149" s="194"/>
      <c r="C149" s="194"/>
      <c r="D149" s="194"/>
      <c r="E149" s="194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  <c r="AA149" s="194"/>
      <c r="AB149" s="194"/>
      <c r="AC149" s="194"/>
      <c r="AD149" s="194"/>
    </row>
    <row r="150" customFormat="false" ht="15.75" hidden="false" customHeight="false" outlineLevel="0" collapsed="false">
      <c r="A150" s="194"/>
      <c r="B150" s="194"/>
      <c r="C150" s="194"/>
      <c r="D150" s="194"/>
      <c r="E150" s="194"/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4"/>
      <c r="AA150" s="194"/>
      <c r="AB150" s="194"/>
      <c r="AC150" s="194"/>
      <c r="AD150" s="194"/>
    </row>
    <row r="151" customFormat="false" ht="15.75" hidden="false" customHeight="false" outlineLevel="0" collapsed="false">
      <c r="A151" s="194"/>
      <c r="B151" s="194"/>
      <c r="C151" s="194"/>
      <c r="D151" s="194"/>
      <c r="E151" s="194"/>
      <c r="F151" s="194"/>
      <c r="G151" s="194"/>
      <c r="H151" s="194"/>
      <c r="I151" s="194"/>
      <c r="J151" s="194"/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4"/>
      <c r="AA151" s="194"/>
      <c r="AB151" s="194"/>
      <c r="AC151" s="194"/>
      <c r="AD151" s="194"/>
    </row>
    <row r="152" customFormat="false" ht="15.75" hidden="false" customHeight="false" outlineLevel="0" collapsed="false">
      <c r="A152" s="194"/>
      <c r="B152" s="194"/>
      <c r="C152" s="194"/>
      <c r="D152" s="194"/>
      <c r="E152" s="194"/>
      <c r="F152" s="194"/>
      <c r="G152" s="194"/>
      <c r="H152" s="194"/>
      <c r="I152" s="194"/>
      <c r="J152" s="194"/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4"/>
      <c r="AA152" s="194"/>
      <c r="AB152" s="194"/>
      <c r="AC152" s="194"/>
      <c r="AD152" s="194"/>
    </row>
    <row r="153" customFormat="false" ht="15.75" hidden="false" customHeight="false" outlineLevel="0" collapsed="false">
      <c r="A153" s="194"/>
      <c r="B153" s="194"/>
      <c r="C153" s="194"/>
      <c r="D153" s="194"/>
      <c r="E153" s="194"/>
      <c r="F153" s="194"/>
      <c r="G153" s="194"/>
      <c r="H153" s="194"/>
      <c r="I153" s="194"/>
      <c r="J153" s="194"/>
      <c r="K153" s="194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4"/>
      <c r="AA153" s="194"/>
      <c r="AB153" s="194"/>
      <c r="AC153" s="194"/>
      <c r="AD153" s="194"/>
    </row>
    <row r="154" customFormat="false" ht="15.75" hidden="false" customHeight="false" outlineLevel="0" collapsed="false">
      <c r="A154" s="194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4"/>
      <c r="AA154" s="194"/>
      <c r="AB154" s="194"/>
      <c r="AC154" s="194"/>
      <c r="AD154" s="194"/>
    </row>
    <row r="155" customFormat="false" ht="15.75" hidden="false" customHeight="false" outlineLevel="0" collapsed="false">
      <c r="A155" s="194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4"/>
      <c r="AA155" s="194"/>
      <c r="AB155" s="194"/>
      <c r="AC155" s="194"/>
      <c r="AD155" s="194"/>
    </row>
    <row r="156" customFormat="false" ht="15.75" hidden="false" customHeight="false" outlineLevel="0" collapsed="false">
      <c r="A156" s="194"/>
      <c r="B156" s="194"/>
      <c r="C156" s="194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  <c r="AA156" s="194"/>
      <c r="AB156" s="194"/>
      <c r="AC156" s="194"/>
      <c r="AD156" s="194"/>
    </row>
    <row r="157" customFormat="false" ht="15.75" hidden="false" customHeight="false" outlineLevel="0" collapsed="false">
      <c r="A157" s="194"/>
      <c r="B157" s="194"/>
      <c r="C157" s="194"/>
      <c r="D157" s="194"/>
      <c r="E157" s="194"/>
      <c r="F157" s="194"/>
      <c r="G157" s="194"/>
      <c r="H157" s="194"/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4"/>
      <c r="AA157" s="194"/>
      <c r="AB157" s="194"/>
      <c r="AC157" s="194"/>
      <c r="AD157" s="194"/>
    </row>
    <row r="158" customFormat="false" ht="15.75" hidden="false" customHeight="false" outlineLevel="0" collapsed="false">
      <c r="A158" s="194"/>
      <c r="B158" s="194"/>
      <c r="C158" s="194"/>
      <c r="D158" s="194"/>
      <c r="E158" s="194"/>
      <c r="F158" s="194"/>
      <c r="G158" s="194"/>
      <c r="H158" s="194"/>
      <c r="I158" s="194"/>
      <c r="J158" s="194"/>
      <c r="K158" s="194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4"/>
      <c r="AA158" s="194"/>
      <c r="AB158" s="194"/>
      <c r="AC158" s="194"/>
      <c r="AD158" s="194"/>
    </row>
    <row r="159" customFormat="false" ht="15.75" hidden="false" customHeight="false" outlineLevel="0" collapsed="false">
      <c r="A159" s="194"/>
      <c r="B159" s="194"/>
      <c r="C159" s="194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4"/>
      <c r="AA159" s="194"/>
      <c r="AB159" s="194"/>
      <c r="AC159" s="194"/>
      <c r="AD159" s="194"/>
    </row>
    <row r="160" customFormat="false" ht="15.75" hidden="false" customHeight="false" outlineLevel="0" collapsed="false">
      <c r="A160" s="194"/>
      <c r="B160" s="194"/>
      <c r="C160" s="194"/>
      <c r="D160" s="194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4"/>
      <c r="AA160" s="194"/>
      <c r="AB160" s="194"/>
      <c r="AC160" s="194"/>
      <c r="AD160" s="194"/>
    </row>
    <row r="161" customFormat="false" ht="15.75" hidden="false" customHeight="false" outlineLevel="0" collapsed="false">
      <c r="A161" s="194"/>
      <c r="B161" s="194"/>
      <c r="C161" s="194"/>
      <c r="D161" s="194"/>
      <c r="E161" s="194"/>
      <c r="F161" s="194"/>
      <c r="G161" s="194"/>
      <c r="H161" s="194"/>
      <c r="I161" s="194"/>
      <c r="J161" s="194"/>
      <c r="K161" s="194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4"/>
      <c r="AA161" s="194"/>
      <c r="AB161" s="194"/>
      <c r="AC161" s="194"/>
      <c r="AD161" s="194"/>
    </row>
    <row r="162" customFormat="false" ht="15.75" hidden="false" customHeight="false" outlineLevel="0" collapsed="false">
      <c r="A162" s="194"/>
      <c r="B162" s="194"/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  <c r="AA162" s="194"/>
      <c r="AB162" s="194"/>
      <c r="AC162" s="194"/>
      <c r="AD162" s="194"/>
    </row>
    <row r="163" customFormat="false" ht="15.75" hidden="false" customHeight="false" outlineLevel="0" collapsed="false">
      <c r="A163" s="194"/>
      <c r="B163" s="194"/>
      <c r="C163" s="194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  <c r="AA163" s="194"/>
      <c r="AB163" s="194"/>
      <c r="AC163" s="194"/>
      <c r="AD163" s="194"/>
    </row>
    <row r="164" customFormat="false" ht="15.75" hidden="false" customHeight="false" outlineLevel="0" collapsed="false">
      <c r="A164" s="194"/>
      <c r="B164" s="194"/>
      <c r="C164" s="194"/>
      <c r="D164" s="194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4"/>
      <c r="AA164" s="194"/>
      <c r="AB164" s="194"/>
      <c r="AC164" s="194"/>
      <c r="AD164" s="194"/>
    </row>
    <row r="165" customFormat="false" ht="15.75" hidden="false" customHeight="false" outlineLevel="0" collapsed="false">
      <c r="A165" s="194"/>
      <c r="B165" s="194"/>
      <c r="C165" s="194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4"/>
      <c r="AA165" s="194"/>
      <c r="AB165" s="194"/>
      <c r="AC165" s="194"/>
      <c r="AD165" s="194"/>
    </row>
    <row r="166" customFormat="false" ht="15.75" hidden="false" customHeight="false" outlineLevel="0" collapsed="false">
      <c r="A166" s="194"/>
      <c r="B166" s="194"/>
      <c r="C166" s="194"/>
      <c r="D166" s="194"/>
      <c r="E166" s="194"/>
      <c r="F166" s="194"/>
      <c r="G166" s="194"/>
      <c r="H166" s="194"/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4"/>
      <c r="AA166" s="194"/>
      <c r="AB166" s="194"/>
      <c r="AC166" s="194"/>
      <c r="AD166" s="194"/>
    </row>
    <row r="167" customFormat="false" ht="15.75" hidden="false" customHeight="false" outlineLevel="0" collapsed="false">
      <c r="A167" s="194"/>
      <c r="B167" s="194"/>
      <c r="C167" s="194"/>
      <c r="D167" s="194"/>
      <c r="E167" s="194"/>
      <c r="F167" s="194"/>
      <c r="G167" s="194"/>
      <c r="H167" s="194"/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4"/>
      <c r="AA167" s="194"/>
      <c r="AB167" s="194"/>
      <c r="AC167" s="194"/>
      <c r="AD167" s="194"/>
    </row>
    <row r="168" customFormat="false" ht="15.75" hidden="false" customHeight="false" outlineLevel="0" collapsed="false">
      <c r="A168" s="194"/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4"/>
      <c r="AA168" s="194"/>
      <c r="AB168" s="194"/>
      <c r="AC168" s="194"/>
      <c r="AD168" s="194"/>
    </row>
    <row r="169" customFormat="false" ht="15.75" hidden="false" customHeight="false" outlineLevel="0" collapsed="false">
      <c r="A169" s="194"/>
      <c r="B169" s="194"/>
      <c r="C169" s="194"/>
      <c r="D169" s="194"/>
      <c r="E169" s="194"/>
      <c r="F169" s="194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  <c r="AA169" s="194"/>
      <c r="AB169" s="194"/>
      <c r="AC169" s="194"/>
      <c r="AD169" s="194"/>
    </row>
    <row r="170" customFormat="false" ht="15.75" hidden="false" customHeight="false" outlineLevel="0" collapsed="false">
      <c r="A170" s="194"/>
      <c r="B170" s="194"/>
      <c r="C170" s="194"/>
      <c r="D170" s="194"/>
      <c r="E170" s="194"/>
      <c r="F170" s="194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4"/>
      <c r="AA170" s="194"/>
      <c r="AB170" s="194"/>
      <c r="AC170" s="194"/>
      <c r="AD170" s="194"/>
    </row>
    <row r="171" customFormat="false" ht="15.75" hidden="false" customHeight="false" outlineLevel="0" collapsed="false">
      <c r="A171" s="194"/>
      <c r="B171" s="194"/>
      <c r="C171" s="194"/>
      <c r="D171" s="194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4"/>
      <c r="AA171" s="194"/>
      <c r="AB171" s="194"/>
      <c r="AC171" s="194"/>
      <c r="AD171" s="194"/>
    </row>
    <row r="172" customFormat="false" ht="15.75" hidden="false" customHeight="false" outlineLevel="0" collapsed="false">
      <c r="A172" s="194"/>
      <c r="B172" s="194"/>
      <c r="C172" s="194"/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4"/>
      <c r="AA172" s="194"/>
      <c r="AB172" s="194"/>
      <c r="AC172" s="194"/>
      <c r="AD172" s="194"/>
    </row>
    <row r="173" customFormat="false" ht="15.75" hidden="false" customHeight="false" outlineLevel="0" collapsed="false">
      <c r="A173" s="194"/>
      <c r="B173" s="194"/>
      <c r="C173" s="194"/>
      <c r="D173" s="194"/>
      <c r="E173" s="194"/>
      <c r="F173" s="194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4"/>
      <c r="AA173" s="194"/>
      <c r="AB173" s="194"/>
      <c r="AC173" s="194"/>
      <c r="AD173" s="194"/>
    </row>
    <row r="174" customFormat="false" ht="15.75" hidden="false" customHeight="false" outlineLevel="0" collapsed="false">
      <c r="A174" s="194"/>
      <c r="B174" s="194"/>
      <c r="C174" s="194"/>
      <c r="D174" s="194"/>
      <c r="E174" s="194"/>
      <c r="F174" s="194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  <c r="AA174" s="194"/>
      <c r="AB174" s="194"/>
      <c r="AC174" s="194"/>
      <c r="AD174" s="194"/>
    </row>
    <row r="175" customFormat="false" ht="15.75" hidden="false" customHeight="false" outlineLevel="0" collapsed="false">
      <c r="A175" s="194"/>
      <c r="B175" s="19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4"/>
      <c r="AA175" s="194"/>
      <c r="AB175" s="194"/>
      <c r="AC175" s="194"/>
      <c r="AD175" s="194"/>
    </row>
    <row r="176" customFormat="false" ht="15.75" hidden="false" customHeight="false" outlineLevel="0" collapsed="false">
      <c r="A176" s="194"/>
      <c r="B176" s="194"/>
      <c r="C176" s="194"/>
      <c r="D176" s="194"/>
      <c r="E176" s="194"/>
      <c r="F176" s="194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4"/>
      <c r="AA176" s="194"/>
      <c r="AB176" s="194"/>
      <c r="AC176" s="194"/>
      <c r="AD176" s="194"/>
    </row>
    <row r="177" customFormat="false" ht="15.75" hidden="false" customHeight="false" outlineLevel="0" collapsed="false">
      <c r="A177" s="194"/>
      <c r="B177" s="194"/>
      <c r="C177" s="194"/>
      <c r="D177" s="194"/>
      <c r="E177" s="194"/>
      <c r="F177" s="194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4"/>
      <c r="AA177" s="194"/>
      <c r="AB177" s="194"/>
      <c r="AC177" s="194"/>
      <c r="AD177" s="194"/>
    </row>
    <row r="178" customFormat="false" ht="15.75" hidden="false" customHeight="false" outlineLevel="0" collapsed="false">
      <c r="A178" s="194"/>
      <c r="B178" s="194"/>
      <c r="C178" s="194"/>
      <c r="D178" s="194"/>
      <c r="E178" s="194"/>
      <c r="F178" s="194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4"/>
      <c r="AA178" s="194"/>
      <c r="AB178" s="194"/>
      <c r="AC178" s="194"/>
      <c r="AD178" s="194"/>
    </row>
    <row r="179" customFormat="false" ht="15.75" hidden="false" customHeight="false" outlineLevel="0" collapsed="false">
      <c r="A179" s="194"/>
      <c r="B179" s="194"/>
      <c r="C179" s="194"/>
      <c r="D179" s="194"/>
      <c r="E179" s="194"/>
      <c r="F179" s="194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4"/>
      <c r="AA179" s="194"/>
      <c r="AB179" s="194"/>
      <c r="AC179" s="194"/>
      <c r="AD179" s="194"/>
    </row>
    <row r="180" customFormat="false" ht="15.75" hidden="false" customHeight="false" outlineLevel="0" collapsed="false">
      <c r="A180" s="194"/>
      <c r="B180" s="194"/>
      <c r="C180" s="194"/>
      <c r="D180" s="194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4"/>
      <c r="AA180" s="194"/>
      <c r="AB180" s="194"/>
      <c r="AC180" s="194"/>
      <c r="AD180" s="194"/>
    </row>
    <row r="181" customFormat="false" ht="15.75" hidden="false" customHeight="false" outlineLevel="0" collapsed="false">
      <c r="A181" s="194"/>
      <c r="B181" s="194"/>
      <c r="C181" s="194"/>
      <c r="D181" s="194"/>
      <c r="E181" s="194"/>
      <c r="F181" s="194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4"/>
      <c r="AA181" s="194"/>
      <c r="AB181" s="194"/>
      <c r="AC181" s="194"/>
      <c r="AD181" s="194"/>
    </row>
    <row r="182" customFormat="false" ht="15.75" hidden="false" customHeight="false" outlineLevel="0" collapsed="false">
      <c r="A182" s="194"/>
      <c r="B182" s="194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4"/>
      <c r="AA182" s="194"/>
      <c r="AB182" s="194"/>
      <c r="AC182" s="194"/>
      <c r="AD182" s="194"/>
    </row>
    <row r="183" customFormat="false" ht="15.75" hidden="false" customHeight="false" outlineLevel="0" collapsed="false">
      <c r="A183" s="194"/>
      <c r="B183" s="194"/>
      <c r="C183" s="194"/>
      <c r="D183" s="194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4"/>
      <c r="AA183" s="194"/>
      <c r="AB183" s="194"/>
      <c r="AC183" s="194"/>
      <c r="AD183" s="194"/>
    </row>
    <row r="184" customFormat="false" ht="15.75" hidden="false" customHeight="false" outlineLevel="0" collapsed="false">
      <c r="A184" s="194"/>
      <c r="B184" s="194"/>
      <c r="C184" s="194"/>
      <c r="D184" s="194"/>
      <c r="E184" s="194"/>
      <c r="F184" s="194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4"/>
      <c r="AA184" s="194"/>
      <c r="AB184" s="194"/>
      <c r="AC184" s="194"/>
      <c r="AD184" s="194"/>
    </row>
    <row r="185" customFormat="false" ht="15.75" hidden="false" customHeight="false" outlineLevel="0" collapsed="false">
      <c r="A185" s="194"/>
      <c r="B185" s="194"/>
      <c r="C185" s="194"/>
      <c r="D185" s="194"/>
      <c r="E185" s="194"/>
      <c r="F185" s="194"/>
      <c r="G185" s="194"/>
      <c r="H185" s="194"/>
      <c r="I185" s="194"/>
      <c r="J185" s="194"/>
      <c r="K185" s="194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4"/>
      <c r="AA185" s="194"/>
      <c r="AB185" s="194"/>
      <c r="AC185" s="194"/>
      <c r="AD185" s="194"/>
    </row>
    <row r="186" customFormat="false" ht="15.75" hidden="false" customHeight="false" outlineLevel="0" collapsed="false">
      <c r="A186" s="194"/>
      <c r="B186" s="194"/>
      <c r="C186" s="194"/>
      <c r="D186" s="194"/>
      <c r="E186" s="194"/>
      <c r="F186" s="194"/>
      <c r="G186" s="194"/>
      <c r="H186" s="194"/>
      <c r="I186" s="194"/>
      <c r="J186" s="194"/>
      <c r="K186" s="194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4"/>
      <c r="AA186" s="194"/>
      <c r="AB186" s="194"/>
      <c r="AC186" s="194"/>
      <c r="AD186" s="194"/>
    </row>
    <row r="187" customFormat="false" ht="15.75" hidden="false" customHeight="false" outlineLevel="0" collapsed="false">
      <c r="A187" s="194"/>
      <c r="B187" s="194"/>
      <c r="C187" s="194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</row>
    <row r="188" customFormat="false" ht="15.75" hidden="false" customHeight="false" outlineLevel="0" collapsed="false">
      <c r="A188" s="194"/>
      <c r="B188" s="194"/>
      <c r="C188" s="194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</row>
    <row r="189" customFormat="false" ht="15.75" hidden="false" customHeight="false" outlineLevel="0" collapsed="false">
      <c r="A189" s="194"/>
      <c r="B189" s="194"/>
      <c r="C189" s="194"/>
      <c r="D189" s="194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4"/>
      <c r="AA189" s="194"/>
      <c r="AB189" s="194"/>
      <c r="AC189" s="194"/>
      <c r="AD189" s="194"/>
    </row>
    <row r="190" customFormat="false" ht="15.75" hidden="false" customHeight="false" outlineLevel="0" collapsed="false">
      <c r="A190" s="194"/>
      <c r="B190" s="194"/>
      <c r="C190" s="194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4"/>
      <c r="AA190" s="194"/>
      <c r="AB190" s="194"/>
      <c r="AC190" s="194"/>
      <c r="AD190" s="194"/>
    </row>
    <row r="191" customFormat="false" ht="15.75" hidden="false" customHeight="false" outlineLevel="0" collapsed="false">
      <c r="A191" s="194"/>
      <c r="B191" s="194"/>
      <c r="C191" s="194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  <c r="AA191" s="194"/>
      <c r="AB191" s="194"/>
      <c r="AC191" s="194"/>
      <c r="AD191" s="194"/>
    </row>
    <row r="192" customFormat="false" ht="15.75" hidden="false" customHeight="false" outlineLevel="0" collapsed="false">
      <c r="A192" s="194"/>
      <c r="B192" s="194"/>
      <c r="C192" s="194"/>
      <c r="D192" s="194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  <c r="AA192" s="194"/>
      <c r="AB192" s="194"/>
      <c r="AC192" s="194"/>
      <c r="AD192" s="194"/>
    </row>
    <row r="193" customFormat="false" ht="15.75" hidden="false" customHeight="false" outlineLevel="0" collapsed="false">
      <c r="A193" s="194"/>
      <c r="B193" s="194"/>
      <c r="C193" s="194"/>
      <c r="D193" s="194"/>
      <c r="E193" s="194"/>
      <c r="F193" s="194"/>
      <c r="G193" s="194"/>
      <c r="H193" s="194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4"/>
      <c r="AA193" s="194"/>
      <c r="AB193" s="194"/>
      <c r="AC193" s="194"/>
      <c r="AD193" s="194"/>
    </row>
    <row r="194" customFormat="false" ht="15.75" hidden="false" customHeight="false" outlineLevel="0" collapsed="false">
      <c r="A194" s="194"/>
      <c r="B194" s="194"/>
      <c r="C194" s="194"/>
      <c r="D194" s="194"/>
      <c r="E194" s="194"/>
      <c r="F194" s="194"/>
      <c r="G194" s="194"/>
      <c r="H194" s="194"/>
      <c r="I194" s="194"/>
      <c r="J194" s="194"/>
      <c r="K194" s="194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4"/>
      <c r="AA194" s="194"/>
      <c r="AB194" s="194"/>
      <c r="AC194" s="194"/>
      <c r="AD194" s="194"/>
    </row>
    <row r="195" customFormat="false" ht="15.75" hidden="false" customHeight="false" outlineLevel="0" collapsed="false">
      <c r="A195" s="194"/>
      <c r="B195" s="194"/>
      <c r="C195" s="194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</row>
    <row r="196" customFormat="false" ht="15.75" hidden="false" customHeight="false" outlineLevel="0" collapsed="false">
      <c r="A196" s="194"/>
      <c r="B196" s="194"/>
      <c r="C196" s="194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</row>
    <row r="197" customFormat="false" ht="15.75" hidden="false" customHeight="false" outlineLevel="0" collapsed="false">
      <c r="A197" s="194"/>
      <c r="B197" s="194"/>
      <c r="C197" s="194"/>
      <c r="D197" s="194"/>
      <c r="E197" s="194"/>
      <c r="F197" s="194"/>
      <c r="G197" s="194"/>
      <c r="H197" s="194"/>
      <c r="I197" s="194"/>
      <c r="J197" s="194"/>
      <c r="K197" s="194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4"/>
      <c r="AA197" s="194"/>
      <c r="AB197" s="194"/>
      <c r="AC197" s="194"/>
      <c r="AD197" s="194"/>
    </row>
    <row r="198" customFormat="false" ht="15.75" hidden="false" customHeight="false" outlineLevel="0" collapsed="false">
      <c r="A198" s="194"/>
      <c r="B198" s="194"/>
      <c r="C198" s="194"/>
      <c r="D198" s="194"/>
      <c r="E198" s="194"/>
      <c r="F198" s="194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4"/>
      <c r="AA198" s="194"/>
      <c r="AB198" s="194"/>
      <c r="AC198" s="194"/>
      <c r="AD198" s="194"/>
    </row>
    <row r="199" customFormat="false" ht="15.75" hidden="false" customHeight="false" outlineLevel="0" collapsed="false">
      <c r="A199" s="194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4"/>
      <c r="AA199" s="194"/>
      <c r="AB199" s="194"/>
      <c r="AC199" s="194"/>
      <c r="AD199" s="194"/>
    </row>
    <row r="200" customFormat="false" ht="15.75" hidden="false" customHeight="false" outlineLevel="0" collapsed="false">
      <c r="A200" s="194"/>
      <c r="B200" s="194"/>
      <c r="C200" s="194"/>
      <c r="D200" s="194"/>
      <c r="E200" s="194"/>
      <c r="F200" s="194"/>
      <c r="G200" s="194"/>
      <c r="H200" s="194"/>
      <c r="I200" s="194"/>
      <c r="J200" s="194"/>
      <c r="K200" s="194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4"/>
      <c r="AA200" s="194"/>
      <c r="AB200" s="194"/>
      <c r="AC200" s="194"/>
      <c r="AD200" s="194"/>
    </row>
    <row r="201" customFormat="false" ht="15.75" hidden="false" customHeight="false" outlineLevel="0" collapsed="false">
      <c r="A201" s="194"/>
      <c r="B201" s="194"/>
      <c r="C201" s="194"/>
      <c r="D201" s="194"/>
      <c r="E201" s="194"/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4"/>
      <c r="AA201" s="194"/>
      <c r="AB201" s="194"/>
      <c r="AC201" s="194"/>
      <c r="AD201" s="194"/>
    </row>
    <row r="202" customFormat="false" ht="15.75" hidden="false" customHeight="false" outlineLevel="0" collapsed="false">
      <c r="A202" s="194"/>
      <c r="B202" s="194"/>
      <c r="C202" s="194"/>
      <c r="D202" s="194"/>
      <c r="E202" s="194"/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  <c r="AA202" s="194"/>
      <c r="AB202" s="194"/>
      <c r="AC202" s="194"/>
      <c r="AD202" s="194"/>
    </row>
    <row r="203" customFormat="false" ht="15.75" hidden="false" customHeight="false" outlineLevel="0" collapsed="false">
      <c r="A203" s="194"/>
      <c r="B203" s="194"/>
      <c r="C203" s="194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</row>
    <row r="204" customFormat="false" ht="15.75" hidden="false" customHeight="false" outlineLevel="0" collapsed="false">
      <c r="A204" s="194"/>
      <c r="B204" s="194"/>
      <c r="C204" s="194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</row>
    <row r="205" customFormat="false" ht="15.75" hidden="false" customHeight="false" outlineLevel="0" collapsed="false">
      <c r="A205" s="194"/>
      <c r="B205" s="194"/>
      <c r="C205" s="194"/>
      <c r="D205" s="194"/>
      <c r="E205" s="194"/>
      <c r="F205" s="194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4"/>
      <c r="AA205" s="194"/>
      <c r="AB205" s="194"/>
      <c r="AC205" s="194"/>
      <c r="AD205" s="194"/>
    </row>
    <row r="206" customFormat="false" ht="15.75" hidden="false" customHeight="false" outlineLevel="0" collapsed="false">
      <c r="A206" s="194"/>
      <c r="B206" s="194"/>
      <c r="C206" s="194"/>
      <c r="D206" s="194"/>
      <c r="E206" s="194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  <c r="AA206" s="194"/>
      <c r="AB206" s="194"/>
      <c r="AC206" s="194"/>
      <c r="AD206" s="194"/>
    </row>
    <row r="207" customFormat="false" ht="15.75" hidden="false" customHeight="false" outlineLevel="0" collapsed="false">
      <c r="A207" s="194"/>
      <c r="B207" s="194"/>
      <c r="C207" s="194"/>
      <c r="D207" s="194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4"/>
      <c r="AA207" s="194"/>
      <c r="AB207" s="194"/>
      <c r="AC207" s="194"/>
      <c r="AD207" s="194"/>
    </row>
    <row r="208" customFormat="false" ht="15.75" hidden="false" customHeight="false" outlineLevel="0" collapsed="false">
      <c r="A208" s="194"/>
      <c r="B208" s="194"/>
      <c r="C208" s="194"/>
      <c r="D208" s="194"/>
      <c r="E208" s="194"/>
      <c r="F208" s="194"/>
      <c r="G208" s="194"/>
      <c r="H208" s="194"/>
      <c r="I208" s="194"/>
      <c r="J208" s="194"/>
      <c r="K208" s="194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4"/>
      <c r="AA208" s="194"/>
      <c r="AB208" s="194"/>
      <c r="AC208" s="194"/>
      <c r="AD208" s="194"/>
    </row>
    <row r="209" customFormat="false" ht="15.75" hidden="false" customHeight="false" outlineLevel="0" collapsed="false">
      <c r="A209" s="194"/>
      <c r="B209" s="194"/>
      <c r="C209" s="194"/>
      <c r="D209" s="194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4"/>
      <c r="AA209" s="194"/>
      <c r="AB209" s="194"/>
      <c r="AC209" s="194"/>
      <c r="AD209" s="194"/>
    </row>
    <row r="210" customFormat="false" ht="15.75" hidden="false" customHeight="false" outlineLevel="0" collapsed="false">
      <c r="A210" s="194"/>
      <c r="B210" s="194"/>
      <c r="C210" s="194"/>
      <c r="D210" s="194"/>
      <c r="E210" s="194"/>
      <c r="F210" s="194"/>
      <c r="G210" s="194"/>
      <c r="H210" s="194"/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4"/>
      <c r="AA210" s="194"/>
      <c r="AB210" s="194"/>
      <c r="AC210" s="194"/>
      <c r="AD210" s="194"/>
    </row>
    <row r="211" customFormat="false" ht="15.75" hidden="false" customHeight="false" outlineLevel="0" collapsed="false">
      <c r="A211" s="194"/>
      <c r="B211" s="194"/>
      <c r="C211" s="194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</row>
    <row r="212" customFormat="false" ht="15.75" hidden="false" customHeight="false" outlineLevel="0" collapsed="false">
      <c r="A212" s="194"/>
      <c r="B212" s="194"/>
      <c r="C212" s="194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</row>
    <row r="213" customFormat="false" ht="15.75" hidden="false" customHeight="false" outlineLevel="0" collapsed="false">
      <c r="A213" s="194"/>
      <c r="B213" s="194"/>
      <c r="C213" s="194"/>
      <c r="D213" s="194"/>
      <c r="E213" s="194"/>
      <c r="F213" s="194"/>
      <c r="G213" s="194"/>
      <c r="H213" s="194"/>
      <c r="I213" s="194"/>
      <c r="J213" s="194"/>
      <c r="K213" s="194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4"/>
      <c r="AA213" s="194"/>
      <c r="AB213" s="194"/>
      <c r="AC213" s="194"/>
      <c r="AD213" s="194"/>
    </row>
    <row r="214" customFormat="false" ht="15.75" hidden="false" customHeight="false" outlineLevel="0" collapsed="false">
      <c r="A214" s="194"/>
      <c r="B214" s="194"/>
      <c r="C214" s="194"/>
      <c r="D214" s="194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  <c r="AA214" s="194"/>
      <c r="AB214" s="194"/>
      <c r="AC214" s="194"/>
      <c r="AD214" s="194"/>
    </row>
    <row r="215" customFormat="false" ht="15.75" hidden="false" customHeight="false" outlineLevel="0" collapsed="false">
      <c r="A215" s="194"/>
      <c r="B215" s="194"/>
      <c r="C215" s="194"/>
      <c r="D215" s="194"/>
      <c r="E215" s="194"/>
      <c r="F215" s="194"/>
      <c r="G215" s="194"/>
      <c r="H215" s="194"/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4"/>
      <c r="AA215" s="194"/>
      <c r="AB215" s="194"/>
      <c r="AC215" s="194"/>
      <c r="AD215" s="194"/>
    </row>
    <row r="216" customFormat="false" ht="15.75" hidden="false" customHeight="false" outlineLevel="0" collapsed="false">
      <c r="A216" s="194"/>
      <c r="B216" s="194"/>
      <c r="C216" s="194"/>
      <c r="D216" s="194"/>
      <c r="E216" s="194"/>
      <c r="F216" s="194"/>
      <c r="G216" s="194"/>
      <c r="H216" s="194"/>
      <c r="I216" s="194"/>
      <c r="J216" s="194"/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4"/>
      <c r="AA216" s="194"/>
      <c r="AB216" s="194"/>
      <c r="AC216" s="194"/>
      <c r="AD216" s="194"/>
    </row>
    <row r="217" customFormat="false" ht="15.75" hidden="false" customHeight="false" outlineLevel="0" collapsed="false">
      <c r="A217" s="194"/>
      <c r="B217" s="19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4"/>
      <c r="AA217" s="194"/>
      <c r="AB217" s="194"/>
      <c r="AC217" s="194"/>
      <c r="AD217" s="194"/>
    </row>
    <row r="218" customFormat="false" ht="15.75" hidden="false" customHeight="false" outlineLevel="0" collapsed="false">
      <c r="A218" s="194"/>
      <c r="B218" s="194"/>
      <c r="C218" s="194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4"/>
      <c r="AA218" s="194"/>
      <c r="AB218" s="194"/>
      <c r="AC218" s="194"/>
      <c r="AD218" s="194"/>
    </row>
    <row r="219" customFormat="false" ht="15.75" hidden="false" customHeight="false" outlineLevel="0" collapsed="false">
      <c r="A219" s="194"/>
      <c r="B219" s="194"/>
      <c r="C219" s="194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4"/>
      <c r="AA219" s="194"/>
      <c r="AB219" s="194"/>
      <c r="AC219" s="194"/>
      <c r="AD219" s="194"/>
    </row>
    <row r="220" customFormat="false" ht="15.75" hidden="false" customHeight="false" outlineLevel="0" collapsed="false">
      <c r="A220" s="194"/>
      <c r="B220" s="194"/>
      <c r="C220" s="194"/>
      <c r="D220" s="194"/>
      <c r="E220" s="194"/>
      <c r="F220" s="194"/>
      <c r="G220" s="194"/>
      <c r="H220" s="194"/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4"/>
      <c r="AA220" s="194"/>
      <c r="AB220" s="194"/>
      <c r="AC220" s="194"/>
      <c r="AD220" s="194"/>
    </row>
    <row r="221" customFormat="false" ht="15.75" hidden="false" customHeight="false" outlineLevel="0" collapsed="false">
      <c r="A221" s="194"/>
      <c r="B221" s="194"/>
      <c r="C221" s="194"/>
      <c r="D221" s="194"/>
      <c r="E221" s="194"/>
      <c r="F221" s="194"/>
      <c r="G221" s="194"/>
      <c r="H221" s="194"/>
      <c r="I221" s="194"/>
      <c r="J221" s="194"/>
      <c r="K221" s="194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4"/>
      <c r="AA221" s="194"/>
      <c r="AB221" s="194"/>
      <c r="AC221" s="194"/>
      <c r="AD221" s="194"/>
    </row>
    <row r="222" customFormat="false" ht="15.75" hidden="false" customHeight="false" outlineLevel="0" collapsed="false">
      <c r="A222" s="194"/>
      <c r="B222" s="194"/>
      <c r="C222" s="194"/>
      <c r="D222" s="194"/>
      <c r="E222" s="194"/>
      <c r="F222" s="194"/>
      <c r="G222" s="194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4"/>
      <c r="AA222" s="194"/>
      <c r="AB222" s="194"/>
      <c r="AC222" s="194"/>
      <c r="AD222" s="194"/>
    </row>
    <row r="223" customFormat="false" ht="15.75" hidden="false" customHeight="false" outlineLevel="0" collapsed="false">
      <c r="A223" s="194"/>
      <c r="B223" s="194"/>
      <c r="C223" s="194"/>
      <c r="D223" s="194"/>
      <c r="E223" s="194"/>
      <c r="F223" s="194"/>
      <c r="G223" s="194"/>
      <c r="H223" s="194"/>
      <c r="I223" s="194"/>
      <c r="J223" s="194"/>
      <c r="K223" s="194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4"/>
      <c r="AA223" s="194"/>
      <c r="AB223" s="194"/>
      <c r="AC223" s="194"/>
      <c r="AD223" s="194"/>
    </row>
    <row r="224" customFormat="false" ht="15.75" hidden="false" customHeight="false" outlineLevel="0" collapsed="false">
      <c r="A224" s="194"/>
      <c r="B224" s="194"/>
      <c r="C224" s="194"/>
      <c r="D224" s="194"/>
      <c r="E224" s="194"/>
      <c r="F224" s="194"/>
      <c r="G224" s="194"/>
      <c r="H224" s="194"/>
      <c r="I224" s="194"/>
      <c r="J224" s="194"/>
      <c r="K224" s="194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4"/>
      <c r="AA224" s="194"/>
      <c r="AB224" s="194"/>
      <c r="AC224" s="194"/>
      <c r="AD224" s="194"/>
    </row>
    <row r="225" customFormat="false" ht="15.75" hidden="false" customHeight="false" outlineLevel="0" collapsed="false">
      <c r="A225" s="194"/>
      <c r="B225" s="194"/>
      <c r="C225" s="194"/>
      <c r="D225" s="194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4"/>
      <c r="AA225" s="194"/>
      <c r="AB225" s="194"/>
      <c r="AC225" s="194"/>
      <c r="AD225" s="194"/>
    </row>
    <row r="226" customFormat="false" ht="15.75" hidden="false" customHeight="false" outlineLevel="0" collapsed="false">
      <c r="A226" s="194"/>
      <c r="B226" s="194"/>
      <c r="C226" s="194"/>
      <c r="D226" s="194"/>
      <c r="E226" s="194"/>
      <c r="F226" s="194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  <c r="AA226" s="194"/>
      <c r="AB226" s="194"/>
      <c r="AC226" s="194"/>
      <c r="AD226" s="194"/>
    </row>
    <row r="227" customFormat="false" ht="15.75" hidden="false" customHeight="false" outlineLevel="0" collapsed="false">
      <c r="A227" s="194"/>
      <c r="B227" s="194"/>
      <c r="C227" s="194"/>
      <c r="D227" s="194"/>
      <c r="E227" s="194"/>
      <c r="F227" s="194"/>
      <c r="G227" s="194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4"/>
      <c r="AA227" s="194"/>
      <c r="AB227" s="194"/>
      <c r="AC227" s="194"/>
      <c r="AD227" s="194"/>
    </row>
    <row r="228" customFormat="false" ht="15.75" hidden="false" customHeight="false" outlineLevel="0" collapsed="false">
      <c r="A228" s="194"/>
      <c r="B228" s="194"/>
      <c r="C228" s="194"/>
      <c r="D228" s="194"/>
      <c r="E228" s="194"/>
      <c r="F228" s="194"/>
      <c r="G228" s="194"/>
      <c r="H228" s="194"/>
      <c r="I228" s="194"/>
      <c r="J228" s="194"/>
      <c r="K228" s="194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4"/>
      <c r="AA228" s="194"/>
      <c r="AB228" s="194"/>
      <c r="AC228" s="194"/>
      <c r="AD228" s="194"/>
    </row>
    <row r="229" customFormat="false" ht="15.75" hidden="false" customHeight="false" outlineLevel="0" collapsed="false">
      <c r="A229" s="194"/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4"/>
      <c r="AA229" s="194"/>
      <c r="AB229" s="194"/>
      <c r="AC229" s="194"/>
      <c r="AD229" s="194"/>
    </row>
    <row r="230" customFormat="false" ht="15.75" hidden="false" customHeight="false" outlineLevel="0" collapsed="false">
      <c r="A230" s="194"/>
      <c r="B230" s="194"/>
      <c r="C230" s="194"/>
      <c r="D230" s="194"/>
      <c r="E230" s="194"/>
      <c r="F230" s="194"/>
      <c r="G230" s="194"/>
      <c r="H230" s="194"/>
      <c r="I230" s="194"/>
      <c r="J230" s="194"/>
      <c r="K230" s="194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4"/>
      <c r="AA230" s="194"/>
      <c r="AB230" s="194"/>
      <c r="AC230" s="194"/>
      <c r="AD230" s="194"/>
    </row>
    <row r="231" customFormat="false" ht="15.75" hidden="false" customHeight="false" outlineLevel="0" collapsed="false">
      <c r="A231" s="194"/>
      <c r="B231" s="194"/>
      <c r="C231" s="194"/>
      <c r="D231" s="194"/>
      <c r="E231" s="194"/>
      <c r="F231" s="194"/>
      <c r="G231" s="194"/>
      <c r="H231" s="194"/>
      <c r="I231" s="194"/>
      <c r="J231" s="194"/>
      <c r="K231" s="194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4"/>
      <c r="AA231" s="194"/>
      <c r="AB231" s="194"/>
      <c r="AC231" s="194"/>
      <c r="AD231" s="194"/>
    </row>
    <row r="232" customFormat="false" ht="15.75" hidden="false" customHeight="false" outlineLevel="0" collapsed="false">
      <c r="A232" s="194"/>
      <c r="B232" s="194"/>
      <c r="C232" s="194"/>
      <c r="D232" s="194"/>
      <c r="E232" s="194"/>
      <c r="F232" s="194"/>
      <c r="G232" s="194"/>
      <c r="H232" s="194"/>
      <c r="I232" s="194"/>
      <c r="J232" s="194"/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4"/>
      <c r="AA232" s="194"/>
      <c r="AB232" s="194"/>
      <c r="AC232" s="194"/>
      <c r="AD232" s="194"/>
    </row>
    <row r="233" customFormat="false" ht="15.75" hidden="false" customHeight="false" outlineLevel="0" collapsed="false">
      <c r="A233" s="194"/>
      <c r="B233" s="194"/>
      <c r="C233" s="194"/>
      <c r="D233" s="194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4"/>
      <c r="AA233" s="194"/>
      <c r="AB233" s="194"/>
      <c r="AC233" s="194"/>
      <c r="AD233" s="194"/>
    </row>
    <row r="234" customFormat="false" ht="15.75" hidden="false" customHeight="false" outlineLevel="0" collapsed="false">
      <c r="A234" s="194"/>
      <c r="B234" s="194"/>
      <c r="C234" s="194"/>
      <c r="D234" s="194"/>
      <c r="E234" s="194"/>
      <c r="F234" s="194"/>
      <c r="G234" s="194"/>
      <c r="H234" s="194"/>
      <c r="I234" s="194"/>
      <c r="J234" s="194"/>
      <c r="K234" s="194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4"/>
      <c r="AA234" s="194"/>
      <c r="AB234" s="194"/>
      <c r="AC234" s="194"/>
      <c r="AD234" s="194"/>
    </row>
    <row r="235" customFormat="false" ht="15.75" hidden="false" customHeight="false" outlineLevel="0" collapsed="false">
      <c r="A235" s="194"/>
      <c r="B235" s="194"/>
      <c r="C235" s="194"/>
      <c r="D235" s="194"/>
      <c r="E235" s="194"/>
      <c r="F235" s="194"/>
      <c r="G235" s="194"/>
      <c r="H235" s="194"/>
      <c r="I235" s="194"/>
      <c r="J235" s="194"/>
      <c r="K235" s="194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4"/>
      <c r="AA235" s="194"/>
      <c r="AB235" s="194"/>
      <c r="AC235" s="194"/>
      <c r="AD235" s="194"/>
    </row>
    <row r="236" customFormat="false" ht="15.75" hidden="false" customHeight="false" outlineLevel="0" collapsed="false">
      <c r="A236" s="194"/>
      <c r="B236" s="194"/>
      <c r="C236" s="194"/>
      <c r="D236" s="194"/>
      <c r="E236" s="194"/>
      <c r="F236" s="194"/>
      <c r="G236" s="194"/>
      <c r="H236" s="194"/>
      <c r="I236" s="194"/>
      <c r="J236" s="194"/>
      <c r="K236" s="194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4"/>
      <c r="AA236" s="194"/>
      <c r="AB236" s="194"/>
      <c r="AC236" s="194"/>
      <c r="AD236" s="194"/>
    </row>
    <row r="237" customFormat="false" ht="15.75" hidden="false" customHeight="false" outlineLevel="0" collapsed="false">
      <c r="A237" s="194"/>
      <c r="B237" s="194"/>
      <c r="C237" s="194"/>
      <c r="D237" s="194"/>
      <c r="E237" s="194"/>
      <c r="F237" s="194"/>
      <c r="G237" s="194"/>
      <c r="H237" s="194"/>
      <c r="I237" s="194"/>
      <c r="J237" s="194"/>
      <c r="K237" s="194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4"/>
      <c r="AA237" s="194"/>
      <c r="AB237" s="194"/>
      <c r="AC237" s="194"/>
      <c r="AD237" s="194"/>
    </row>
    <row r="238" customFormat="false" ht="15.75" hidden="false" customHeight="false" outlineLevel="0" collapsed="false">
      <c r="A238" s="194"/>
      <c r="B238" s="194"/>
      <c r="C238" s="194"/>
      <c r="D238" s="194"/>
      <c r="E238" s="194"/>
      <c r="F238" s="194"/>
      <c r="G238" s="194"/>
      <c r="H238" s="194"/>
      <c r="I238" s="194"/>
      <c r="J238" s="194"/>
      <c r="K238" s="194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4"/>
      <c r="AA238" s="194"/>
      <c r="AB238" s="194"/>
      <c r="AC238" s="194"/>
      <c r="AD238" s="194"/>
    </row>
    <row r="239" customFormat="false" ht="15.75" hidden="false" customHeight="false" outlineLevel="0" collapsed="false">
      <c r="A239" s="194"/>
      <c r="B239" s="194"/>
      <c r="C239" s="194"/>
      <c r="D239" s="194"/>
      <c r="E239" s="194"/>
      <c r="F239" s="194"/>
      <c r="G239" s="194"/>
      <c r="H239" s="194"/>
      <c r="I239" s="194"/>
      <c r="J239" s="194"/>
      <c r="K239" s="194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4"/>
      <c r="AA239" s="194"/>
      <c r="AB239" s="194"/>
      <c r="AC239" s="194"/>
      <c r="AD239" s="194"/>
    </row>
    <row r="240" customFormat="false" ht="15.75" hidden="false" customHeight="false" outlineLevel="0" collapsed="false">
      <c r="A240" s="194"/>
      <c r="B240" s="194"/>
      <c r="C240" s="194"/>
      <c r="D240" s="194"/>
      <c r="E240" s="194"/>
      <c r="F240" s="194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4"/>
      <c r="AA240" s="194"/>
      <c r="AB240" s="194"/>
      <c r="AC240" s="194"/>
      <c r="AD240" s="194"/>
    </row>
    <row r="241" customFormat="false" ht="15.75" hidden="false" customHeight="false" outlineLevel="0" collapsed="false">
      <c r="A241" s="194"/>
      <c r="B241" s="194"/>
      <c r="C241" s="194"/>
      <c r="D241" s="194"/>
      <c r="E241" s="194"/>
      <c r="F241" s="194"/>
      <c r="G241" s="194"/>
      <c r="H241" s="194"/>
      <c r="I241" s="194"/>
      <c r="J241" s="194"/>
      <c r="K241" s="194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4"/>
      <c r="AA241" s="194"/>
      <c r="AB241" s="194"/>
      <c r="AC241" s="194"/>
      <c r="AD241" s="194"/>
    </row>
    <row r="242" customFormat="false" ht="15.75" hidden="false" customHeight="false" outlineLevel="0" collapsed="false">
      <c r="A242" s="194"/>
      <c r="B242" s="194"/>
      <c r="C242" s="194"/>
      <c r="D242" s="194"/>
      <c r="E242" s="194"/>
      <c r="F242" s="194"/>
      <c r="G242" s="194"/>
      <c r="H242" s="194"/>
      <c r="I242" s="194"/>
      <c r="J242" s="194"/>
      <c r="K242" s="194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4"/>
      <c r="AA242" s="194"/>
      <c r="AB242" s="194"/>
      <c r="AC242" s="194"/>
      <c r="AD242" s="194"/>
    </row>
    <row r="243" customFormat="false" ht="15.75" hidden="false" customHeight="false" outlineLevel="0" collapsed="false">
      <c r="A243" s="194"/>
      <c r="B243" s="194"/>
      <c r="C243" s="194"/>
      <c r="D243" s="194"/>
      <c r="E243" s="194"/>
      <c r="F243" s="194"/>
      <c r="G243" s="194"/>
      <c r="H243" s="194"/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4"/>
      <c r="AA243" s="194"/>
      <c r="AB243" s="194"/>
      <c r="AC243" s="194"/>
      <c r="AD243" s="194"/>
    </row>
    <row r="244" customFormat="false" ht="15.75" hidden="false" customHeight="false" outlineLevel="0" collapsed="false">
      <c r="A244" s="194"/>
      <c r="B244" s="194"/>
      <c r="C244" s="194"/>
      <c r="D244" s="194"/>
      <c r="E244" s="194"/>
      <c r="F244" s="194"/>
      <c r="G244" s="194"/>
      <c r="H244" s="194"/>
      <c r="I244" s="194"/>
      <c r="J244" s="194"/>
      <c r="K244" s="194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4"/>
      <c r="AA244" s="194"/>
      <c r="AB244" s="194"/>
      <c r="AC244" s="194"/>
      <c r="AD244" s="194"/>
    </row>
    <row r="245" customFormat="false" ht="15.75" hidden="false" customHeight="false" outlineLevel="0" collapsed="false">
      <c r="A245" s="194"/>
      <c r="B245" s="194"/>
      <c r="C245" s="194"/>
      <c r="D245" s="194"/>
      <c r="E245" s="194"/>
      <c r="F245" s="194"/>
      <c r="G245" s="194"/>
      <c r="H245" s="194"/>
      <c r="I245" s="194"/>
      <c r="J245" s="194"/>
      <c r="K245" s="194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4"/>
      <c r="AA245" s="194"/>
      <c r="AB245" s="194"/>
      <c r="AC245" s="194"/>
      <c r="AD245" s="194"/>
    </row>
    <row r="246" customFormat="false" ht="15.75" hidden="false" customHeight="false" outlineLevel="0" collapsed="false">
      <c r="A246" s="194"/>
      <c r="B246" s="194"/>
      <c r="C246" s="194"/>
      <c r="D246" s="194"/>
      <c r="E246" s="194"/>
      <c r="F246" s="194"/>
      <c r="G246" s="194"/>
      <c r="H246" s="194"/>
      <c r="I246" s="194"/>
      <c r="J246" s="194"/>
      <c r="K246" s="194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4"/>
      <c r="AA246" s="194"/>
      <c r="AB246" s="194"/>
      <c r="AC246" s="194"/>
      <c r="AD246" s="194"/>
    </row>
    <row r="247" customFormat="false" ht="15.75" hidden="false" customHeight="false" outlineLevel="0" collapsed="false">
      <c r="A247" s="194"/>
      <c r="B247" s="194"/>
      <c r="C247" s="194"/>
      <c r="D247" s="194"/>
      <c r="E247" s="194"/>
      <c r="F247" s="194"/>
      <c r="G247" s="194"/>
      <c r="H247" s="194"/>
      <c r="I247" s="194"/>
      <c r="J247" s="194"/>
      <c r="K247" s="194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4"/>
      <c r="AA247" s="194"/>
      <c r="AB247" s="194"/>
      <c r="AC247" s="194"/>
      <c r="AD247" s="194"/>
    </row>
    <row r="248" customFormat="false" ht="15.75" hidden="false" customHeight="false" outlineLevel="0" collapsed="false">
      <c r="A248" s="194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4"/>
      <c r="AA248" s="194"/>
      <c r="AB248" s="194"/>
      <c r="AC248" s="194"/>
      <c r="AD248" s="194"/>
    </row>
    <row r="249" customFormat="false" ht="15.75" hidden="false" customHeight="false" outlineLevel="0" collapsed="false">
      <c r="A249" s="194"/>
      <c r="B249" s="194"/>
      <c r="C249" s="194"/>
      <c r="D249" s="194"/>
      <c r="E249" s="194"/>
      <c r="F249" s="194"/>
      <c r="G249" s="194"/>
      <c r="H249" s="194"/>
      <c r="I249" s="194"/>
      <c r="J249" s="194"/>
      <c r="K249" s="194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4"/>
      <c r="AA249" s="194"/>
      <c r="AB249" s="194"/>
      <c r="AC249" s="194"/>
      <c r="AD249" s="194"/>
    </row>
    <row r="250" customFormat="false" ht="15.75" hidden="false" customHeight="false" outlineLevel="0" collapsed="false">
      <c r="A250" s="194"/>
      <c r="B250" s="194"/>
      <c r="C250" s="194"/>
      <c r="D250" s="194"/>
      <c r="E250" s="194"/>
      <c r="F250" s="194"/>
      <c r="G250" s="194"/>
      <c r="H250" s="194"/>
      <c r="I250" s="194"/>
      <c r="J250" s="194"/>
      <c r="K250" s="194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4"/>
      <c r="AA250" s="194"/>
      <c r="AB250" s="194"/>
      <c r="AC250" s="194"/>
      <c r="AD250" s="194"/>
    </row>
    <row r="251" customFormat="false" ht="15.75" hidden="false" customHeight="false" outlineLevel="0" collapsed="false">
      <c r="A251" s="194"/>
      <c r="B251" s="194"/>
      <c r="C251" s="194"/>
      <c r="D251" s="194"/>
      <c r="E251" s="194"/>
      <c r="F251" s="194"/>
      <c r="G251" s="194"/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4"/>
      <c r="AA251" s="194"/>
      <c r="AB251" s="194"/>
      <c r="AC251" s="194"/>
      <c r="AD251" s="194"/>
    </row>
    <row r="252" customFormat="false" ht="15.75" hidden="false" customHeight="false" outlineLevel="0" collapsed="false">
      <c r="A252" s="194"/>
      <c r="B252" s="194"/>
      <c r="C252" s="194"/>
      <c r="D252" s="194"/>
      <c r="E252" s="194"/>
      <c r="F252" s="194"/>
      <c r="G252" s="194"/>
      <c r="H252" s="194"/>
      <c r="I252" s="194"/>
      <c r="J252" s="194"/>
      <c r="K252" s="194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</row>
    <row r="253" customFormat="false" ht="15.75" hidden="false" customHeight="false" outlineLevel="0" collapsed="false">
      <c r="A253" s="194"/>
      <c r="B253" s="194"/>
      <c r="C253" s="194"/>
      <c r="D253" s="194"/>
      <c r="E253" s="194"/>
      <c r="F253" s="194"/>
      <c r="G253" s="194"/>
      <c r="H253" s="194"/>
      <c r="I253" s="194"/>
      <c r="J253" s="194"/>
      <c r="K253" s="194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4"/>
      <c r="AA253" s="194"/>
      <c r="AB253" s="194"/>
      <c r="AC253" s="194"/>
      <c r="AD253" s="194"/>
    </row>
    <row r="254" customFormat="false" ht="15.75" hidden="false" customHeight="false" outlineLevel="0" collapsed="false">
      <c r="A254" s="194"/>
      <c r="B254" s="194"/>
      <c r="C254" s="194"/>
      <c r="D254" s="194"/>
      <c r="E254" s="194"/>
      <c r="F254" s="194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4"/>
      <c r="AA254" s="194"/>
      <c r="AB254" s="194"/>
      <c r="AC254" s="194"/>
      <c r="AD254" s="194"/>
    </row>
    <row r="255" customFormat="false" ht="15.75" hidden="false" customHeight="false" outlineLevel="0" collapsed="false">
      <c r="A255" s="194"/>
      <c r="B255" s="194"/>
      <c r="C255" s="194"/>
      <c r="D255" s="194"/>
      <c r="E255" s="194"/>
      <c r="F255" s="194"/>
      <c r="G255" s="194"/>
      <c r="H255" s="194"/>
      <c r="I255" s="194"/>
      <c r="J255" s="194"/>
      <c r="K255" s="194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4"/>
      <c r="AA255" s="194"/>
      <c r="AB255" s="194"/>
      <c r="AC255" s="194"/>
      <c r="AD255" s="194"/>
    </row>
    <row r="256" customFormat="false" ht="15.75" hidden="false" customHeight="false" outlineLevel="0" collapsed="false">
      <c r="A256" s="194"/>
      <c r="B256" s="194"/>
      <c r="C256" s="194"/>
      <c r="D256" s="194"/>
      <c r="E256" s="194"/>
      <c r="F256" s="194"/>
      <c r="G256" s="194"/>
      <c r="H256" s="194"/>
      <c r="I256" s="194"/>
      <c r="J256" s="194"/>
      <c r="K256" s="194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4"/>
      <c r="AA256" s="194"/>
      <c r="AB256" s="194"/>
      <c r="AC256" s="194"/>
      <c r="AD256" s="194"/>
    </row>
    <row r="257" customFormat="false" ht="15.75" hidden="false" customHeight="false" outlineLevel="0" collapsed="false">
      <c r="A257" s="194"/>
      <c r="B257" s="194"/>
      <c r="C257" s="194"/>
      <c r="D257" s="194"/>
      <c r="E257" s="194"/>
      <c r="F257" s="194"/>
      <c r="G257" s="194"/>
      <c r="H257" s="194"/>
      <c r="I257" s="194"/>
      <c r="J257" s="194"/>
      <c r="K257" s="194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4"/>
      <c r="AA257" s="194"/>
      <c r="AB257" s="194"/>
      <c r="AC257" s="194"/>
      <c r="AD257" s="194"/>
    </row>
    <row r="258" customFormat="false" ht="15.75" hidden="false" customHeight="false" outlineLevel="0" collapsed="false">
      <c r="A258" s="194"/>
      <c r="B258" s="194"/>
      <c r="C258" s="194"/>
      <c r="D258" s="194"/>
      <c r="E258" s="194"/>
      <c r="F258" s="194"/>
      <c r="G258" s="194"/>
      <c r="H258" s="194"/>
      <c r="I258" s="194"/>
      <c r="J258" s="194"/>
      <c r="K258" s="194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4"/>
      <c r="AA258" s="194"/>
      <c r="AB258" s="194"/>
      <c r="AC258" s="194"/>
      <c r="AD258" s="194"/>
    </row>
    <row r="259" customFormat="false" ht="15.75" hidden="false" customHeight="false" outlineLevel="0" collapsed="false">
      <c r="A259" s="194"/>
      <c r="B259" s="194"/>
      <c r="C259" s="194"/>
      <c r="D259" s="194"/>
      <c r="E259" s="194"/>
      <c r="F259" s="194"/>
      <c r="G259" s="194"/>
      <c r="H259" s="194"/>
      <c r="I259" s="194"/>
      <c r="J259" s="194"/>
      <c r="K259" s="194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4"/>
      <c r="AA259" s="194"/>
      <c r="AB259" s="194"/>
      <c r="AC259" s="194"/>
      <c r="AD259" s="194"/>
    </row>
    <row r="260" customFormat="false" ht="15.75" hidden="false" customHeight="false" outlineLevel="0" collapsed="false">
      <c r="A260" s="194"/>
      <c r="B260" s="194"/>
      <c r="C260" s="194"/>
      <c r="D260" s="194"/>
      <c r="E260" s="194"/>
      <c r="F260" s="194"/>
      <c r="G260" s="194"/>
      <c r="H260" s="194"/>
      <c r="I260" s="194"/>
      <c r="J260" s="194"/>
      <c r="K260" s="194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4"/>
      <c r="AA260" s="194"/>
      <c r="AB260" s="194"/>
      <c r="AC260" s="194"/>
      <c r="AD260" s="194"/>
    </row>
    <row r="261" customFormat="false" ht="15.75" hidden="false" customHeight="false" outlineLevel="0" collapsed="false">
      <c r="A261" s="194"/>
      <c r="B261" s="194"/>
      <c r="C261" s="194"/>
      <c r="D261" s="194"/>
      <c r="E261" s="194"/>
      <c r="F261" s="194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4"/>
      <c r="AA261" s="194"/>
      <c r="AB261" s="194"/>
      <c r="AC261" s="194"/>
      <c r="AD261" s="194"/>
    </row>
    <row r="262" customFormat="false" ht="15.75" hidden="false" customHeight="false" outlineLevel="0" collapsed="false">
      <c r="A262" s="194"/>
      <c r="B262" s="194"/>
      <c r="C262" s="194"/>
      <c r="D262" s="194"/>
      <c r="E262" s="194"/>
      <c r="F262" s="194"/>
      <c r="G262" s="194"/>
      <c r="H262" s="194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4"/>
      <c r="AA262" s="194"/>
      <c r="AB262" s="194"/>
      <c r="AC262" s="194"/>
      <c r="AD262" s="194"/>
    </row>
    <row r="263" customFormat="false" ht="15.75" hidden="false" customHeight="false" outlineLevel="0" collapsed="false">
      <c r="A263" s="194"/>
      <c r="B263" s="194"/>
      <c r="C263" s="194"/>
      <c r="D263" s="194"/>
      <c r="E263" s="194"/>
      <c r="F263" s="194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4"/>
      <c r="AA263" s="194"/>
      <c r="AB263" s="194"/>
      <c r="AC263" s="194"/>
      <c r="AD263" s="194"/>
    </row>
    <row r="264" customFormat="false" ht="15.75" hidden="false" customHeight="false" outlineLevel="0" collapsed="false">
      <c r="A264" s="194"/>
      <c r="B264" s="194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4"/>
      <c r="AA264" s="194"/>
      <c r="AB264" s="194"/>
      <c r="AC264" s="194"/>
      <c r="AD264" s="194"/>
    </row>
    <row r="265" customFormat="false" ht="15.75" hidden="false" customHeight="false" outlineLevel="0" collapsed="false">
      <c r="A265" s="194"/>
      <c r="B265" s="194"/>
      <c r="C265" s="194"/>
      <c r="D265" s="194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  <c r="AA265" s="194"/>
      <c r="AB265" s="194"/>
      <c r="AC265" s="194"/>
      <c r="AD265" s="194"/>
    </row>
    <row r="266" customFormat="false" ht="15.75" hidden="false" customHeight="false" outlineLevel="0" collapsed="false">
      <c r="A266" s="194"/>
      <c r="B266" s="194"/>
      <c r="C266" s="194"/>
      <c r="D266" s="194"/>
      <c r="E266" s="194"/>
      <c r="F266" s="194"/>
      <c r="G266" s="194"/>
      <c r="H266" s="194"/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4"/>
      <c r="AA266" s="194"/>
      <c r="AB266" s="194"/>
      <c r="AC266" s="194"/>
      <c r="AD266" s="194"/>
    </row>
    <row r="267" customFormat="false" ht="15.75" hidden="false" customHeight="false" outlineLevel="0" collapsed="false">
      <c r="A267" s="194"/>
      <c r="B267" s="194"/>
      <c r="C267" s="194"/>
      <c r="D267" s="194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  <c r="AA267" s="194"/>
      <c r="AB267" s="194"/>
      <c r="AC267" s="194"/>
      <c r="AD267" s="194"/>
    </row>
    <row r="268" customFormat="false" ht="15.75" hidden="false" customHeight="false" outlineLevel="0" collapsed="false">
      <c r="A268" s="194"/>
      <c r="B268" s="194"/>
      <c r="C268" s="194"/>
      <c r="D268" s="194"/>
      <c r="E268" s="194"/>
      <c r="F268" s="194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4"/>
      <c r="AA268" s="194"/>
      <c r="AB268" s="194"/>
      <c r="AC268" s="194"/>
      <c r="AD268" s="194"/>
    </row>
    <row r="269" customFormat="false" ht="15.75" hidden="false" customHeight="false" outlineLevel="0" collapsed="false">
      <c r="A269" s="194"/>
      <c r="B269" s="194"/>
      <c r="C269" s="194"/>
      <c r="D269" s="194"/>
      <c r="E269" s="194"/>
      <c r="F269" s="194"/>
      <c r="G269" s="194"/>
      <c r="H269" s="194"/>
      <c r="I269" s="194"/>
      <c r="J269" s="194"/>
      <c r="K269" s="194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4"/>
      <c r="AA269" s="194"/>
      <c r="AB269" s="194"/>
      <c r="AC269" s="194"/>
      <c r="AD269" s="194"/>
    </row>
    <row r="270" customFormat="false" ht="15.75" hidden="false" customHeight="false" outlineLevel="0" collapsed="false">
      <c r="A270" s="194"/>
      <c r="B270" s="194"/>
      <c r="C270" s="194"/>
      <c r="D270" s="194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  <c r="AA270" s="194"/>
      <c r="AB270" s="194"/>
      <c r="AC270" s="194"/>
      <c r="AD270" s="194"/>
    </row>
    <row r="271" customFormat="false" ht="15.75" hidden="false" customHeight="false" outlineLevel="0" collapsed="false">
      <c r="A271" s="194"/>
      <c r="B271" s="194"/>
      <c r="C271" s="194"/>
      <c r="D271" s="194"/>
      <c r="E271" s="194"/>
      <c r="F271" s="194"/>
      <c r="G271" s="194"/>
      <c r="H271" s="194"/>
      <c r="I271" s="194"/>
      <c r="J271" s="194"/>
      <c r="K271" s="194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4"/>
      <c r="AA271" s="194"/>
      <c r="AB271" s="194"/>
      <c r="AC271" s="194"/>
      <c r="AD271" s="194"/>
    </row>
    <row r="272" customFormat="false" ht="15.75" hidden="false" customHeight="false" outlineLevel="0" collapsed="false">
      <c r="A272" s="194"/>
      <c r="B272" s="194"/>
      <c r="C272" s="194"/>
      <c r="D272" s="194"/>
      <c r="E272" s="194"/>
      <c r="F272" s="194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4"/>
      <c r="AA272" s="194"/>
      <c r="AB272" s="194"/>
      <c r="AC272" s="194"/>
      <c r="AD272" s="194"/>
    </row>
    <row r="273" customFormat="false" ht="15.75" hidden="false" customHeight="false" outlineLevel="0" collapsed="false">
      <c r="A273" s="194"/>
      <c r="B273" s="194"/>
      <c r="C273" s="194"/>
      <c r="D273" s="194"/>
      <c r="E273" s="194"/>
      <c r="F273" s="194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4"/>
      <c r="AA273" s="194"/>
      <c r="AB273" s="194"/>
      <c r="AC273" s="194"/>
      <c r="AD273" s="194"/>
    </row>
    <row r="274" customFormat="false" ht="15.75" hidden="false" customHeight="false" outlineLevel="0" collapsed="false">
      <c r="A274" s="194"/>
      <c r="B274" s="194"/>
      <c r="C274" s="194"/>
      <c r="D274" s="194"/>
      <c r="E274" s="194"/>
      <c r="F274" s="194"/>
      <c r="G274" s="194"/>
      <c r="H274" s="194"/>
      <c r="I274" s="194"/>
      <c r="J274" s="194"/>
      <c r="K274" s="194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4"/>
      <c r="AA274" s="194"/>
      <c r="AB274" s="194"/>
      <c r="AC274" s="194"/>
      <c r="AD274" s="194"/>
    </row>
    <row r="275" customFormat="false" ht="15.75" hidden="false" customHeight="false" outlineLevel="0" collapsed="false">
      <c r="A275" s="194"/>
      <c r="B275" s="194"/>
      <c r="C275" s="194"/>
      <c r="D275" s="194"/>
      <c r="E275" s="194"/>
      <c r="F275" s="194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4"/>
      <c r="AA275" s="194"/>
      <c r="AB275" s="194"/>
      <c r="AC275" s="194"/>
      <c r="AD275" s="194"/>
    </row>
    <row r="276" customFormat="false" ht="15.75" hidden="false" customHeight="false" outlineLevel="0" collapsed="false">
      <c r="A276" s="194"/>
      <c r="B276" s="194"/>
      <c r="C276" s="194"/>
      <c r="D276" s="194"/>
      <c r="E276" s="194"/>
      <c r="F276" s="194"/>
      <c r="G276" s="194"/>
      <c r="H276" s="194"/>
      <c r="I276" s="194"/>
      <c r="J276" s="194"/>
      <c r="K276" s="194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4"/>
      <c r="AA276" s="194"/>
      <c r="AB276" s="194"/>
      <c r="AC276" s="194"/>
      <c r="AD276" s="194"/>
    </row>
    <row r="277" customFormat="false" ht="15.75" hidden="false" customHeight="false" outlineLevel="0" collapsed="false">
      <c r="A277" s="194"/>
      <c r="B277" s="194"/>
      <c r="C277" s="194"/>
      <c r="D277" s="194"/>
      <c r="E277" s="194"/>
      <c r="F277" s="194"/>
      <c r="G277" s="194"/>
      <c r="H277" s="194"/>
      <c r="I277" s="194"/>
      <c r="J277" s="194"/>
      <c r="K277" s="194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4"/>
      <c r="AA277" s="194"/>
      <c r="AB277" s="194"/>
      <c r="AC277" s="194"/>
      <c r="AD277" s="194"/>
    </row>
    <row r="278" customFormat="false" ht="15.75" hidden="false" customHeight="false" outlineLevel="0" collapsed="false">
      <c r="A278" s="194"/>
      <c r="B278" s="194"/>
      <c r="C278" s="194"/>
      <c r="D278" s="194"/>
      <c r="E278" s="194"/>
      <c r="F278" s="194"/>
      <c r="G278" s="194"/>
      <c r="H278" s="194"/>
      <c r="I278" s="194"/>
      <c r="J278" s="194"/>
      <c r="K278" s="194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4"/>
      <c r="AA278" s="194"/>
      <c r="AB278" s="194"/>
      <c r="AC278" s="194"/>
      <c r="AD278" s="194"/>
    </row>
    <row r="279" customFormat="false" ht="15.75" hidden="false" customHeight="false" outlineLevel="0" collapsed="false">
      <c r="A279" s="194"/>
      <c r="B279" s="194"/>
      <c r="C279" s="194"/>
      <c r="D279" s="194"/>
      <c r="E279" s="194"/>
      <c r="F279" s="194"/>
      <c r="G279" s="194"/>
      <c r="H279" s="194"/>
      <c r="I279" s="194"/>
      <c r="J279" s="194"/>
      <c r="K279" s="194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4"/>
      <c r="AA279" s="194"/>
      <c r="AB279" s="194"/>
      <c r="AC279" s="194"/>
      <c r="AD279" s="194"/>
    </row>
    <row r="280" customFormat="false" ht="15.75" hidden="false" customHeight="false" outlineLevel="0" collapsed="false">
      <c r="A280" s="194"/>
      <c r="B280" s="194"/>
      <c r="C280" s="194"/>
      <c r="D280" s="194"/>
      <c r="E280" s="194"/>
      <c r="F280" s="194"/>
      <c r="G280" s="194"/>
      <c r="H280" s="194"/>
      <c r="I280" s="194"/>
      <c r="J280" s="194"/>
      <c r="K280" s="194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4"/>
      <c r="AA280" s="194"/>
      <c r="AB280" s="194"/>
      <c r="AC280" s="194"/>
      <c r="AD280" s="194"/>
    </row>
    <row r="281" customFormat="false" ht="15.75" hidden="false" customHeight="false" outlineLevel="0" collapsed="false">
      <c r="A281" s="194"/>
      <c r="B281" s="194"/>
      <c r="C281" s="194"/>
      <c r="D281" s="194"/>
      <c r="E281" s="194"/>
      <c r="F281" s="194"/>
      <c r="G281" s="194"/>
      <c r="H281" s="194"/>
      <c r="I281" s="194"/>
      <c r="J281" s="194"/>
      <c r="K281" s="194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4"/>
      <c r="AA281" s="194"/>
      <c r="AB281" s="194"/>
      <c r="AC281" s="194"/>
      <c r="AD281" s="194"/>
    </row>
    <row r="282" customFormat="false" ht="15.75" hidden="false" customHeight="false" outlineLevel="0" collapsed="false">
      <c r="A282" s="194"/>
      <c r="B282" s="194"/>
      <c r="C282" s="194"/>
      <c r="D282" s="194"/>
      <c r="E282" s="194"/>
      <c r="F282" s="194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4"/>
      <c r="AA282" s="194"/>
      <c r="AB282" s="194"/>
      <c r="AC282" s="194"/>
      <c r="AD282" s="194"/>
    </row>
    <row r="283" customFormat="false" ht="15.75" hidden="false" customHeight="false" outlineLevel="0" collapsed="false">
      <c r="A283" s="194"/>
      <c r="B283" s="194"/>
      <c r="C283" s="194"/>
      <c r="D283" s="194"/>
      <c r="E283" s="194"/>
      <c r="F283" s="194"/>
      <c r="G283" s="194"/>
      <c r="H283" s="194"/>
      <c r="I283" s="194"/>
      <c r="J283" s="194"/>
      <c r="K283" s="194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4"/>
      <c r="AA283" s="194"/>
      <c r="AB283" s="194"/>
      <c r="AC283" s="194"/>
      <c r="AD283" s="194"/>
    </row>
    <row r="284" customFormat="false" ht="15.75" hidden="false" customHeight="false" outlineLevel="0" collapsed="false">
      <c r="A284" s="194"/>
      <c r="B284" s="194"/>
      <c r="C284" s="194"/>
      <c r="D284" s="194"/>
      <c r="E284" s="194"/>
      <c r="F284" s="194"/>
      <c r="G284" s="194"/>
      <c r="H284" s="194"/>
      <c r="I284" s="194"/>
      <c r="J284" s="194"/>
      <c r="K284" s="194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4"/>
      <c r="AA284" s="194"/>
      <c r="AB284" s="194"/>
      <c r="AC284" s="194"/>
      <c r="AD284" s="194"/>
    </row>
    <row r="285" customFormat="false" ht="15.75" hidden="false" customHeight="false" outlineLevel="0" collapsed="false">
      <c r="A285" s="194"/>
      <c r="B285" s="194"/>
      <c r="C285" s="194"/>
      <c r="D285" s="194"/>
      <c r="E285" s="194"/>
      <c r="F285" s="194"/>
      <c r="G285" s="194"/>
      <c r="H285" s="194"/>
      <c r="I285" s="194"/>
      <c r="J285" s="194"/>
      <c r="K285" s="194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4"/>
      <c r="AA285" s="194"/>
      <c r="AB285" s="194"/>
      <c r="AC285" s="194"/>
      <c r="AD285" s="194"/>
    </row>
    <row r="286" customFormat="false" ht="15.75" hidden="false" customHeight="false" outlineLevel="0" collapsed="false">
      <c r="A286" s="194"/>
      <c r="B286" s="194"/>
      <c r="C286" s="194"/>
      <c r="D286" s="194"/>
      <c r="E286" s="194"/>
      <c r="F286" s="194"/>
      <c r="G286" s="194"/>
      <c r="H286" s="194"/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4"/>
      <c r="AA286" s="194"/>
      <c r="AB286" s="194"/>
      <c r="AC286" s="194"/>
      <c r="AD286" s="194"/>
    </row>
    <row r="287" customFormat="false" ht="15.75" hidden="false" customHeight="false" outlineLevel="0" collapsed="false">
      <c r="A287" s="194"/>
      <c r="B287" s="194"/>
      <c r="C287" s="194"/>
      <c r="D287" s="194"/>
      <c r="E287" s="194"/>
      <c r="F287" s="194"/>
      <c r="G287" s="194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4"/>
      <c r="AA287" s="194"/>
      <c r="AB287" s="194"/>
      <c r="AC287" s="194"/>
      <c r="AD287" s="194"/>
    </row>
    <row r="288" customFormat="false" ht="15.75" hidden="false" customHeight="false" outlineLevel="0" collapsed="false">
      <c r="A288" s="194"/>
      <c r="B288" s="194"/>
      <c r="C288" s="194"/>
      <c r="D288" s="194"/>
      <c r="E288" s="194"/>
      <c r="F288" s="194"/>
      <c r="G288" s="194"/>
      <c r="H288" s="194"/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4"/>
      <c r="AA288" s="194"/>
      <c r="AB288" s="194"/>
      <c r="AC288" s="194"/>
      <c r="AD288" s="194"/>
    </row>
    <row r="289" customFormat="false" ht="15.75" hidden="false" customHeight="false" outlineLevel="0" collapsed="false">
      <c r="A289" s="194"/>
      <c r="B289" s="194"/>
      <c r="C289" s="194"/>
      <c r="D289" s="194"/>
      <c r="E289" s="194"/>
      <c r="F289" s="194"/>
      <c r="G289" s="194"/>
      <c r="H289" s="194"/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4"/>
      <c r="AA289" s="194"/>
      <c r="AB289" s="194"/>
      <c r="AC289" s="194"/>
      <c r="AD289" s="194"/>
    </row>
    <row r="290" customFormat="false" ht="15.75" hidden="false" customHeight="false" outlineLevel="0" collapsed="false">
      <c r="A290" s="194"/>
      <c r="B290" s="194"/>
      <c r="C290" s="194"/>
      <c r="D290" s="194"/>
      <c r="E290" s="194"/>
      <c r="F290" s="194"/>
      <c r="G290" s="194"/>
      <c r="H290" s="194"/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4"/>
      <c r="AA290" s="194"/>
      <c r="AB290" s="194"/>
      <c r="AC290" s="194"/>
      <c r="AD290" s="194"/>
    </row>
    <row r="291" customFormat="false" ht="15.75" hidden="false" customHeight="false" outlineLevel="0" collapsed="false">
      <c r="A291" s="194"/>
      <c r="B291" s="194"/>
      <c r="C291" s="194"/>
      <c r="D291" s="194"/>
      <c r="E291" s="194"/>
      <c r="F291" s="194"/>
      <c r="G291" s="194"/>
      <c r="H291" s="194"/>
      <c r="I291" s="194"/>
      <c r="J291" s="194"/>
      <c r="K291" s="194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4"/>
      <c r="AA291" s="194"/>
      <c r="AB291" s="194"/>
      <c r="AC291" s="194"/>
      <c r="AD291" s="194"/>
    </row>
    <row r="292" customFormat="false" ht="15.75" hidden="false" customHeight="false" outlineLevel="0" collapsed="false">
      <c r="A292" s="194"/>
      <c r="B292" s="194"/>
      <c r="C292" s="194"/>
      <c r="D292" s="194"/>
      <c r="E292" s="194"/>
      <c r="F292" s="194"/>
      <c r="G292" s="194"/>
      <c r="H292" s="194"/>
      <c r="I292" s="194"/>
      <c r="J292" s="194"/>
      <c r="K292" s="194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4"/>
      <c r="AA292" s="194"/>
      <c r="AB292" s="194"/>
      <c r="AC292" s="194"/>
      <c r="AD292" s="194"/>
    </row>
    <row r="293" customFormat="false" ht="15.75" hidden="false" customHeight="false" outlineLevel="0" collapsed="false">
      <c r="A293" s="194"/>
      <c r="B293" s="194"/>
      <c r="C293" s="194"/>
      <c r="D293" s="194"/>
      <c r="E293" s="194"/>
      <c r="F293" s="194"/>
      <c r="G293" s="194"/>
      <c r="H293" s="194"/>
      <c r="I293" s="194"/>
      <c r="J293" s="194"/>
      <c r="K293" s="194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4"/>
      <c r="AA293" s="194"/>
      <c r="AB293" s="194"/>
      <c r="AC293" s="194"/>
      <c r="AD293" s="194"/>
    </row>
    <row r="294" customFormat="false" ht="15.75" hidden="false" customHeight="false" outlineLevel="0" collapsed="false">
      <c r="A294" s="194"/>
      <c r="B294" s="194"/>
      <c r="C294" s="194"/>
      <c r="D294" s="194"/>
      <c r="E294" s="194"/>
      <c r="F294" s="194"/>
      <c r="G294" s="194"/>
      <c r="H294" s="194"/>
      <c r="I294" s="194"/>
      <c r="J294" s="194"/>
      <c r="K294" s="194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4"/>
      <c r="AA294" s="194"/>
      <c r="AB294" s="194"/>
      <c r="AC294" s="194"/>
      <c r="AD294" s="194"/>
    </row>
    <row r="295" customFormat="false" ht="15.75" hidden="false" customHeight="false" outlineLevel="0" collapsed="false">
      <c r="A295" s="194"/>
      <c r="B295" s="194"/>
      <c r="C295" s="194"/>
      <c r="D295" s="194"/>
      <c r="E295" s="194"/>
      <c r="F295" s="194"/>
      <c r="G295" s="194"/>
      <c r="H295" s="194"/>
      <c r="I295" s="194"/>
      <c r="J295" s="194"/>
      <c r="K295" s="194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4"/>
      <c r="AA295" s="194"/>
      <c r="AB295" s="194"/>
      <c r="AC295" s="194"/>
      <c r="AD295" s="194"/>
    </row>
    <row r="296" customFormat="false" ht="15.75" hidden="false" customHeight="false" outlineLevel="0" collapsed="false">
      <c r="A296" s="194"/>
      <c r="B296" s="194"/>
      <c r="C296" s="194"/>
      <c r="D296" s="194"/>
      <c r="E296" s="194"/>
      <c r="F296" s="194"/>
      <c r="G296" s="194"/>
      <c r="H296" s="194"/>
      <c r="I296" s="194"/>
      <c r="J296" s="194"/>
      <c r="K296" s="194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4"/>
      <c r="AA296" s="194"/>
      <c r="AB296" s="194"/>
      <c r="AC296" s="194"/>
      <c r="AD296" s="194"/>
    </row>
    <row r="297" customFormat="false" ht="15.75" hidden="false" customHeight="false" outlineLevel="0" collapsed="false">
      <c r="A297" s="194"/>
      <c r="B297" s="194"/>
      <c r="C297" s="194"/>
      <c r="D297" s="194"/>
      <c r="E297" s="194"/>
      <c r="F297" s="194"/>
      <c r="G297" s="194"/>
      <c r="H297" s="194"/>
      <c r="I297" s="194"/>
      <c r="J297" s="194"/>
      <c r="K297" s="194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4"/>
      <c r="AA297" s="194"/>
      <c r="AB297" s="194"/>
      <c r="AC297" s="194"/>
      <c r="AD297" s="194"/>
    </row>
    <row r="298" customFormat="false" ht="15.75" hidden="false" customHeight="false" outlineLevel="0" collapsed="false">
      <c r="A298" s="194"/>
      <c r="B298" s="194"/>
      <c r="C298" s="194"/>
      <c r="D298" s="194"/>
      <c r="E298" s="194"/>
      <c r="F298" s="194"/>
      <c r="G298" s="194"/>
      <c r="H298" s="194"/>
      <c r="I298" s="194"/>
      <c r="J298" s="194"/>
      <c r="K298" s="194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4"/>
      <c r="AA298" s="194"/>
      <c r="AB298" s="194"/>
      <c r="AC298" s="194"/>
      <c r="AD298" s="194"/>
    </row>
    <row r="299" customFormat="false" ht="15.75" hidden="false" customHeight="false" outlineLevel="0" collapsed="false">
      <c r="A299" s="194"/>
      <c r="B299" s="194"/>
      <c r="C299" s="194"/>
      <c r="D299" s="194"/>
      <c r="E299" s="194"/>
      <c r="F299" s="194"/>
      <c r="G299" s="194"/>
      <c r="H299" s="194"/>
      <c r="I299" s="194"/>
      <c r="J299" s="194"/>
      <c r="K299" s="194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4"/>
      <c r="AA299" s="194"/>
      <c r="AB299" s="194"/>
      <c r="AC299" s="194"/>
      <c r="AD299" s="194"/>
    </row>
    <row r="300" customFormat="false" ht="15.75" hidden="false" customHeight="false" outlineLevel="0" collapsed="false">
      <c r="A300" s="194"/>
      <c r="B300" s="194"/>
      <c r="C300" s="194"/>
      <c r="D300" s="194"/>
      <c r="E300" s="194"/>
      <c r="F300" s="194"/>
      <c r="G300" s="194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4"/>
      <c r="AA300" s="194"/>
      <c r="AB300" s="194"/>
      <c r="AC300" s="194"/>
      <c r="AD300" s="194"/>
    </row>
    <row r="301" customFormat="false" ht="15.75" hidden="false" customHeight="false" outlineLevel="0" collapsed="false">
      <c r="A301" s="194"/>
      <c r="B301" s="194"/>
      <c r="C301" s="194"/>
      <c r="D301" s="194"/>
      <c r="E301" s="194"/>
      <c r="F301" s="194"/>
      <c r="G301" s="194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4"/>
      <c r="AA301" s="194"/>
      <c r="AB301" s="194"/>
      <c r="AC301" s="194"/>
      <c r="AD301" s="194"/>
    </row>
    <row r="302" customFormat="false" ht="15.75" hidden="false" customHeight="false" outlineLevel="0" collapsed="false">
      <c r="A302" s="194"/>
      <c r="B302" s="194"/>
      <c r="C302" s="194"/>
      <c r="D302" s="194"/>
      <c r="E302" s="194"/>
      <c r="F302" s="194"/>
      <c r="G302" s="194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4"/>
      <c r="AA302" s="194"/>
      <c r="AB302" s="194"/>
      <c r="AC302" s="194"/>
      <c r="AD302" s="194"/>
    </row>
    <row r="303" customFormat="false" ht="15.75" hidden="false" customHeight="false" outlineLevel="0" collapsed="false">
      <c r="A303" s="194"/>
      <c r="B303" s="194"/>
      <c r="C303" s="194"/>
      <c r="D303" s="194"/>
      <c r="E303" s="194"/>
      <c r="F303" s="194"/>
      <c r="G303" s="194"/>
      <c r="H303" s="194"/>
      <c r="I303" s="194"/>
      <c r="J303" s="194"/>
      <c r="K303" s="194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4"/>
      <c r="AA303" s="194"/>
      <c r="AB303" s="194"/>
      <c r="AC303" s="194"/>
      <c r="AD303" s="194"/>
    </row>
    <row r="304" customFormat="false" ht="15.75" hidden="false" customHeight="false" outlineLevel="0" collapsed="false">
      <c r="A304" s="194"/>
      <c r="B304" s="194"/>
      <c r="C304" s="194"/>
      <c r="D304" s="194"/>
      <c r="E304" s="194"/>
      <c r="F304" s="194"/>
      <c r="G304" s="194"/>
      <c r="H304" s="194"/>
      <c r="I304" s="194"/>
      <c r="J304" s="194"/>
      <c r="K304" s="194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4"/>
      <c r="AA304" s="194"/>
      <c r="AB304" s="194"/>
      <c r="AC304" s="194"/>
      <c r="AD304" s="194"/>
    </row>
    <row r="305" customFormat="false" ht="15.75" hidden="false" customHeight="false" outlineLevel="0" collapsed="false">
      <c r="A305" s="194"/>
      <c r="B305" s="194"/>
      <c r="C305" s="194"/>
      <c r="D305" s="194"/>
      <c r="E305" s="194"/>
      <c r="F305" s="194"/>
      <c r="G305" s="194"/>
      <c r="H305" s="194"/>
      <c r="I305" s="194"/>
      <c r="J305" s="194"/>
      <c r="K305" s="194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4"/>
      <c r="AA305" s="194"/>
      <c r="AB305" s="194"/>
      <c r="AC305" s="194"/>
      <c r="AD305" s="194"/>
    </row>
    <row r="306" customFormat="false" ht="15.75" hidden="false" customHeight="false" outlineLevel="0" collapsed="false">
      <c r="A306" s="194"/>
      <c r="B306" s="194"/>
      <c r="C306" s="194"/>
      <c r="D306" s="194"/>
      <c r="E306" s="194"/>
      <c r="F306" s="194"/>
      <c r="G306" s="194"/>
      <c r="H306" s="194"/>
      <c r="I306" s="194"/>
      <c r="J306" s="194"/>
      <c r="K306" s="194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4"/>
      <c r="AA306" s="194"/>
      <c r="AB306" s="194"/>
      <c r="AC306" s="194"/>
      <c r="AD306" s="194"/>
    </row>
    <row r="307" customFormat="false" ht="15.75" hidden="false" customHeight="false" outlineLevel="0" collapsed="false">
      <c r="A307" s="194"/>
      <c r="B307" s="194"/>
      <c r="C307" s="194"/>
      <c r="D307" s="194"/>
      <c r="E307" s="194"/>
      <c r="F307" s="194"/>
      <c r="G307" s="194"/>
      <c r="H307" s="194"/>
      <c r="I307" s="194"/>
      <c r="J307" s="194"/>
      <c r="K307" s="194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4"/>
      <c r="AA307" s="194"/>
      <c r="AB307" s="194"/>
      <c r="AC307" s="194"/>
      <c r="AD307" s="194"/>
    </row>
    <row r="308" customFormat="false" ht="15.75" hidden="false" customHeight="false" outlineLevel="0" collapsed="false">
      <c r="A308" s="194"/>
      <c r="B308" s="194"/>
      <c r="C308" s="194"/>
      <c r="D308" s="194"/>
      <c r="E308" s="194"/>
      <c r="F308" s="194"/>
      <c r="G308" s="194"/>
      <c r="H308" s="194"/>
      <c r="I308" s="194"/>
      <c r="J308" s="194"/>
      <c r="K308" s="194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4"/>
      <c r="AA308" s="194"/>
      <c r="AB308" s="194"/>
      <c r="AC308" s="194"/>
      <c r="AD308" s="194"/>
    </row>
    <row r="309" customFormat="false" ht="15.75" hidden="false" customHeight="false" outlineLevel="0" collapsed="false">
      <c r="A309" s="194"/>
      <c r="B309" s="194"/>
      <c r="C309" s="194"/>
      <c r="D309" s="194"/>
      <c r="E309" s="194"/>
      <c r="F309" s="194"/>
      <c r="G309" s="194"/>
      <c r="H309" s="194"/>
      <c r="I309" s="194"/>
      <c r="J309" s="194"/>
      <c r="K309" s="194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4"/>
      <c r="AA309" s="194"/>
      <c r="AB309" s="194"/>
      <c r="AC309" s="194"/>
      <c r="AD309" s="194"/>
    </row>
    <row r="310" customFormat="false" ht="15.75" hidden="false" customHeight="false" outlineLevel="0" collapsed="false">
      <c r="A310" s="194"/>
      <c r="B310" s="194"/>
      <c r="C310" s="194"/>
      <c r="D310" s="194"/>
      <c r="E310" s="194"/>
      <c r="F310" s="194"/>
      <c r="G310" s="194"/>
      <c r="H310" s="194"/>
      <c r="I310" s="194"/>
      <c r="J310" s="194"/>
      <c r="K310" s="194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4"/>
      <c r="AA310" s="194"/>
      <c r="AB310" s="194"/>
      <c r="AC310" s="194"/>
      <c r="AD310" s="194"/>
    </row>
    <row r="311" customFormat="false" ht="15.75" hidden="false" customHeight="false" outlineLevel="0" collapsed="false">
      <c r="A311" s="194"/>
      <c r="B311" s="194"/>
      <c r="C311" s="194"/>
      <c r="D311" s="194"/>
      <c r="E311" s="194"/>
      <c r="F311" s="194"/>
      <c r="G311" s="194"/>
      <c r="H311" s="194"/>
      <c r="I311" s="194"/>
      <c r="J311" s="194"/>
      <c r="K311" s="194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4"/>
      <c r="AA311" s="194"/>
      <c r="AB311" s="194"/>
      <c r="AC311" s="194"/>
      <c r="AD311" s="194"/>
    </row>
    <row r="312" customFormat="false" ht="15.75" hidden="false" customHeight="false" outlineLevel="0" collapsed="false">
      <c r="A312" s="194"/>
      <c r="B312" s="194"/>
      <c r="C312" s="194"/>
      <c r="D312" s="194"/>
      <c r="E312" s="194"/>
      <c r="F312" s="194"/>
      <c r="G312" s="194"/>
      <c r="H312" s="194"/>
      <c r="I312" s="194"/>
      <c r="J312" s="194"/>
      <c r="K312" s="194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4"/>
      <c r="AA312" s="194"/>
      <c r="AB312" s="194"/>
      <c r="AC312" s="194"/>
      <c r="AD312" s="194"/>
    </row>
    <row r="313" customFormat="false" ht="15.75" hidden="false" customHeight="false" outlineLevel="0" collapsed="false">
      <c r="A313" s="194"/>
      <c r="B313" s="194"/>
      <c r="C313" s="194"/>
      <c r="D313" s="194"/>
      <c r="E313" s="194"/>
      <c r="F313" s="194"/>
      <c r="G313" s="194"/>
      <c r="H313" s="194"/>
      <c r="I313" s="194"/>
      <c r="J313" s="194"/>
      <c r="K313" s="194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4"/>
      <c r="AA313" s="194"/>
      <c r="AB313" s="194"/>
      <c r="AC313" s="194"/>
      <c r="AD313" s="194"/>
    </row>
    <row r="314" customFormat="false" ht="15.75" hidden="false" customHeight="false" outlineLevel="0" collapsed="false">
      <c r="A314" s="194"/>
      <c r="B314" s="194"/>
      <c r="C314" s="194"/>
      <c r="D314" s="194"/>
      <c r="E314" s="194"/>
      <c r="F314" s="194"/>
      <c r="G314" s="194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4"/>
      <c r="AA314" s="194"/>
      <c r="AB314" s="194"/>
      <c r="AC314" s="194"/>
      <c r="AD314" s="194"/>
    </row>
    <row r="315" customFormat="false" ht="15.75" hidden="false" customHeight="false" outlineLevel="0" collapsed="false">
      <c r="A315" s="194"/>
      <c r="B315" s="194"/>
      <c r="C315" s="194"/>
      <c r="D315" s="194"/>
      <c r="E315" s="194"/>
      <c r="F315" s="194"/>
      <c r="G315" s="194"/>
      <c r="H315" s="194"/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4"/>
      <c r="AA315" s="194"/>
      <c r="AB315" s="194"/>
      <c r="AC315" s="194"/>
      <c r="AD315" s="194"/>
    </row>
    <row r="316" customFormat="false" ht="15.75" hidden="false" customHeight="false" outlineLevel="0" collapsed="false">
      <c r="A316" s="194"/>
      <c r="B316" s="194"/>
      <c r="C316" s="194"/>
      <c r="D316" s="194"/>
      <c r="E316" s="194"/>
      <c r="F316" s="194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  <c r="AA316" s="194"/>
      <c r="AB316" s="194"/>
      <c r="AC316" s="194"/>
      <c r="AD316" s="194"/>
    </row>
    <row r="317" customFormat="false" ht="15.75" hidden="false" customHeight="false" outlineLevel="0" collapsed="false">
      <c r="A317" s="194"/>
      <c r="B317" s="194"/>
      <c r="C317" s="194"/>
      <c r="D317" s="194"/>
      <c r="E317" s="194"/>
      <c r="F317" s="194"/>
      <c r="G317" s="194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  <c r="AA317" s="194"/>
      <c r="AB317" s="194"/>
      <c r="AC317" s="194"/>
      <c r="AD317" s="194"/>
    </row>
    <row r="318" customFormat="false" ht="15.75" hidden="false" customHeight="false" outlineLevel="0" collapsed="false">
      <c r="A318" s="194"/>
      <c r="B318" s="194"/>
      <c r="C318" s="194"/>
      <c r="D318" s="194"/>
      <c r="E318" s="194"/>
      <c r="F318" s="194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  <c r="AA318" s="194"/>
      <c r="AB318" s="194"/>
      <c r="AC318" s="194"/>
      <c r="AD318" s="194"/>
    </row>
    <row r="319" customFormat="false" ht="15.75" hidden="false" customHeight="false" outlineLevel="0" collapsed="false">
      <c r="A319" s="194"/>
      <c r="B319" s="194"/>
      <c r="C319" s="194"/>
      <c r="D319" s="194"/>
      <c r="E319" s="194"/>
      <c r="F319" s="194"/>
      <c r="G319" s="194"/>
      <c r="H319" s="194"/>
      <c r="I319" s="194"/>
      <c r="J319" s="194"/>
      <c r="K319" s="194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4"/>
      <c r="AA319" s="194"/>
      <c r="AB319" s="194"/>
      <c r="AC319" s="194"/>
      <c r="AD319" s="194"/>
    </row>
    <row r="320" customFormat="false" ht="15.75" hidden="false" customHeight="false" outlineLevel="0" collapsed="false">
      <c r="A320" s="194"/>
      <c r="B320" s="194"/>
      <c r="C320" s="194"/>
      <c r="D320" s="194"/>
      <c r="E320" s="194"/>
      <c r="F320" s="194"/>
      <c r="G320" s="194"/>
      <c r="H320" s="194"/>
      <c r="I320" s="194"/>
      <c r="J320" s="194"/>
      <c r="K320" s="194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4"/>
      <c r="AA320" s="194"/>
      <c r="AB320" s="194"/>
      <c r="AC320" s="194"/>
      <c r="AD320" s="194"/>
    </row>
    <row r="321" customFormat="false" ht="15.75" hidden="false" customHeight="false" outlineLevel="0" collapsed="false">
      <c r="A321" s="194"/>
      <c r="B321" s="194"/>
      <c r="C321" s="194"/>
      <c r="D321" s="194"/>
      <c r="E321" s="194"/>
      <c r="F321" s="194"/>
      <c r="G321" s="194"/>
      <c r="H321" s="194"/>
      <c r="I321" s="194"/>
      <c r="J321" s="194"/>
      <c r="K321" s="194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4"/>
      <c r="AA321" s="194"/>
      <c r="AB321" s="194"/>
      <c r="AC321" s="194"/>
      <c r="AD321" s="194"/>
    </row>
    <row r="322" customFormat="false" ht="15.75" hidden="false" customHeight="false" outlineLevel="0" collapsed="false">
      <c r="A322" s="194"/>
      <c r="B322" s="194"/>
      <c r="C322" s="194"/>
      <c r="D322" s="194"/>
      <c r="E322" s="194"/>
      <c r="F322" s="194"/>
      <c r="G322" s="194"/>
      <c r="H322" s="194"/>
      <c r="I322" s="194"/>
      <c r="J322" s="194"/>
      <c r="K322" s="194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4"/>
      <c r="AA322" s="194"/>
      <c r="AB322" s="194"/>
      <c r="AC322" s="194"/>
      <c r="AD322" s="194"/>
    </row>
    <row r="323" customFormat="false" ht="15.75" hidden="false" customHeight="false" outlineLevel="0" collapsed="false">
      <c r="A323" s="194"/>
      <c r="B323" s="194"/>
      <c r="C323" s="194"/>
      <c r="D323" s="194"/>
      <c r="E323" s="194"/>
      <c r="F323" s="194"/>
      <c r="G323" s="194"/>
      <c r="H323" s="194"/>
      <c r="I323" s="194"/>
      <c r="J323" s="194"/>
      <c r="K323" s="194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4"/>
      <c r="AA323" s="194"/>
      <c r="AB323" s="194"/>
      <c r="AC323" s="194"/>
      <c r="AD323" s="194"/>
    </row>
    <row r="324" customFormat="false" ht="15.75" hidden="false" customHeight="false" outlineLevel="0" collapsed="false">
      <c r="A324" s="194"/>
      <c r="B324" s="194"/>
      <c r="C324" s="194"/>
      <c r="D324" s="194"/>
      <c r="E324" s="194"/>
      <c r="F324" s="194"/>
      <c r="G324" s="194"/>
      <c r="H324" s="194"/>
      <c r="I324" s="194"/>
      <c r="J324" s="194"/>
      <c r="K324" s="194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4"/>
      <c r="AA324" s="194"/>
      <c r="AB324" s="194"/>
      <c r="AC324" s="194"/>
      <c r="AD324" s="194"/>
    </row>
    <row r="325" customFormat="false" ht="15.75" hidden="false" customHeight="false" outlineLevel="0" collapsed="false">
      <c r="A325" s="194"/>
      <c r="B325" s="194"/>
      <c r="C325" s="194"/>
      <c r="D325" s="194"/>
      <c r="E325" s="194"/>
      <c r="F325" s="194"/>
      <c r="G325" s="194"/>
      <c r="H325" s="194"/>
      <c r="I325" s="194"/>
      <c r="J325" s="194"/>
      <c r="K325" s="194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4"/>
      <c r="AA325" s="194"/>
      <c r="AB325" s="194"/>
      <c r="AC325" s="194"/>
      <c r="AD325" s="194"/>
    </row>
    <row r="326" customFormat="false" ht="15.75" hidden="false" customHeight="false" outlineLevel="0" collapsed="false">
      <c r="A326" s="194"/>
      <c r="B326" s="194"/>
      <c r="C326" s="194"/>
      <c r="D326" s="194"/>
      <c r="E326" s="194"/>
      <c r="F326" s="194"/>
      <c r="G326" s="194"/>
      <c r="H326" s="194"/>
      <c r="I326" s="194"/>
      <c r="J326" s="194"/>
      <c r="K326" s="194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4"/>
      <c r="AA326" s="194"/>
      <c r="AB326" s="194"/>
      <c r="AC326" s="194"/>
      <c r="AD326" s="194"/>
    </row>
    <row r="327" customFormat="false" ht="15.75" hidden="false" customHeight="false" outlineLevel="0" collapsed="false">
      <c r="A327" s="194"/>
      <c r="B327" s="194"/>
      <c r="C327" s="194"/>
      <c r="D327" s="194"/>
      <c r="E327" s="194"/>
      <c r="F327" s="194"/>
      <c r="G327" s="194"/>
      <c r="H327" s="194"/>
      <c r="I327" s="194"/>
      <c r="J327" s="194"/>
      <c r="K327" s="194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4"/>
      <c r="AA327" s="194"/>
      <c r="AB327" s="194"/>
      <c r="AC327" s="194"/>
      <c r="AD327" s="194"/>
    </row>
    <row r="328" customFormat="false" ht="15.75" hidden="false" customHeight="false" outlineLevel="0" collapsed="false">
      <c r="A328" s="194"/>
      <c r="B328" s="194"/>
      <c r="C328" s="194"/>
      <c r="D328" s="194"/>
      <c r="E328" s="194"/>
      <c r="F328" s="194"/>
      <c r="G328" s="194"/>
      <c r="H328" s="194"/>
      <c r="I328" s="194"/>
      <c r="J328" s="194"/>
      <c r="K328" s="194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4"/>
      <c r="AA328" s="194"/>
      <c r="AB328" s="194"/>
      <c r="AC328" s="194"/>
      <c r="AD328" s="194"/>
    </row>
    <row r="329" customFormat="false" ht="15.75" hidden="false" customHeight="false" outlineLevel="0" collapsed="false">
      <c r="A329" s="194"/>
      <c r="B329" s="194"/>
      <c r="C329" s="194"/>
      <c r="D329" s="194"/>
      <c r="E329" s="194"/>
      <c r="F329" s="194"/>
      <c r="G329" s="194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4"/>
      <c r="AA329" s="194"/>
      <c r="AB329" s="194"/>
      <c r="AC329" s="194"/>
      <c r="AD329" s="194"/>
    </row>
    <row r="330" customFormat="false" ht="15.75" hidden="false" customHeight="false" outlineLevel="0" collapsed="false">
      <c r="A330" s="194"/>
      <c r="B330" s="194"/>
      <c r="C330" s="194"/>
      <c r="D330" s="194"/>
      <c r="E330" s="194"/>
      <c r="F330" s="194"/>
      <c r="G330" s="194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4"/>
      <c r="AA330" s="194"/>
      <c r="AB330" s="194"/>
      <c r="AC330" s="194"/>
      <c r="AD330" s="194"/>
    </row>
    <row r="331" customFormat="false" ht="15.75" hidden="false" customHeight="false" outlineLevel="0" collapsed="false">
      <c r="A331" s="194"/>
      <c r="B331" s="194"/>
      <c r="C331" s="194"/>
      <c r="D331" s="194"/>
      <c r="E331" s="194"/>
      <c r="F331" s="194"/>
      <c r="G331" s="194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4"/>
      <c r="AA331" s="194"/>
      <c r="AB331" s="194"/>
      <c r="AC331" s="194"/>
      <c r="AD331" s="194"/>
    </row>
    <row r="332" customFormat="false" ht="15.75" hidden="false" customHeight="false" outlineLevel="0" collapsed="false">
      <c r="A332" s="194"/>
      <c r="B332" s="194"/>
      <c r="C332" s="194"/>
      <c r="D332" s="194"/>
      <c r="E332" s="194"/>
      <c r="F332" s="194"/>
      <c r="G332" s="194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4"/>
      <c r="AA332" s="194"/>
      <c r="AB332" s="194"/>
      <c r="AC332" s="194"/>
      <c r="AD332" s="194"/>
    </row>
    <row r="333" customFormat="false" ht="15.75" hidden="false" customHeight="false" outlineLevel="0" collapsed="false">
      <c r="A333" s="194"/>
      <c r="B333" s="194"/>
      <c r="C333" s="194"/>
      <c r="D333" s="194"/>
      <c r="E333" s="194"/>
      <c r="F333" s="194"/>
      <c r="G333" s="194"/>
      <c r="H333" s="194"/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4"/>
      <c r="AA333" s="194"/>
      <c r="AB333" s="194"/>
      <c r="AC333" s="194"/>
      <c r="AD333" s="194"/>
    </row>
    <row r="334" customFormat="false" ht="15.75" hidden="false" customHeight="false" outlineLevel="0" collapsed="false">
      <c r="A334" s="194"/>
      <c r="B334" s="194"/>
      <c r="C334" s="194"/>
      <c r="D334" s="194"/>
      <c r="E334" s="194"/>
      <c r="F334" s="194"/>
      <c r="G334" s="194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4"/>
      <c r="AA334" s="194"/>
      <c r="AB334" s="194"/>
      <c r="AC334" s="194"/>
      <c r="AD334" s="194"/>
    </row>
    <row r="335" customFormat="false" ht="15.75" hidden="false" customHeight="false" outlineLevel="0" collapsed="false">
      <c r="A335" s="194"/>
      <c r="B335" s="194"/>
      <c r="C335" s="194"/>
      <c r="D335" s="194"/>
      <c r="E335" s="194"/>
      <c r="F335" s="194"/>
      <c r="G335" s="194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4"/>
      <c r="AA335" s="194"/>
      <c r="AB335" s="194"/>
      <c r="AC335" s="194"/>
      <c r="AD335" s="194"/>
    </row>
    <row r="336" customFormat="false" ht="15.75" hidden="false" customHeight="false" outlineLevel="0" collapsed="false">
      <c r="A336" s="194"/>
      <c r="B336" s="194"/>
      <c r="C336" s="194"/>
      <c r="D336" s="194"/>
      <c r="E336" s="194"/>
      <c r="F336" s="194"/>
      <c r="G336" s="194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4"/>
      <c r="AA336" s="194"/>
      <c r="AB336" s="194"/>
      <c r="AC336" s="194"/>
      <c r="AD336" s="194"/>
    </row>
    <row r="337" customFormat="false" ht="15.75" hidden="false" customHeight="false" outlineLevel="0" collapsed="false">
      <c r="A337" s="194"/>
      <c r="B337" s="194"/>
      <c r="C337" s="194"/>
      <c r="D337" s="194"/>
      <c r="E337" s="194"/>
      <c r="F337" s="194"/>
      <c r="G337" s="194"/>
      <c r="H337" s="194"/>
      <c r="I337" s="194"/>
      <c r="J337" s="194"/>
      <c r="K337" s="194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4"/>
      <c r="AA337" s="194"/>
      <c r="AB337" s="194"/>
      <c r="AC337" s="194"/>
      <c r="AD337" s="194"/>
    </row>
    <row r="338" customFormat="false" ht="15.75" hidden="false" customHeight="false" outlineLevel="0" collapsed="false">
      <c r="A338" s="194"/>
      <c r="B338" s="194"/>
      <c r="C338" s="194"/>
      <c r="D338" s="194"/>
      <c r="E338" s="194"/>
      <c r="F338" s="194"/>
      <c r="G338" s="194"/>
      <c r="H338" s="194"/>
      <c r="I338" s="194"/>
      <c r="J338" s="194"/>
      <c r="K338" s="194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4"/>
      <c r="AA338" s="194"/>
      <c r="AB338" s="194"/>
      <c r="AC338" s="194"/>
      <c r="AD338" s="194"/>
    </row>
    <row r="339" customFormat="false" ht="15.75" hidden="false" customHeight="false" outlineLevel="0" collapsed="false">
      <c r="A339" s="194"/>
      <c r="B339" s="194"/>
      <c r="C339" s="194"/>
      <c r="D339" s="194"/>
      <c r="E339" s="194"/>
      <c r="F339" s="194"/>
      <c r="G339" s="194"/>
      <c r="H339" s="194"/>
      <c r="I339" s="194"/>
      <c r="J339" s="194"/>
      <c r="K339" s="194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4"/>
      <c r="AA339" s="194"/>
      <c r="AB339" s="194"/>
      <c r="AC339" s="194"/>
      <c r="AD339" s="194"/>
    </row>
    <row r="340" customFormat="false" ht="15.75" hidden="false" customHeight="false" outlineLevel="0" collapsed="false">
      <c r="A340" s="194"/>
      <c r="B340" s="194"/>
      <c r="C340" s="194"/>
      <c r="D340" s="194"/>
      <c r="E340" s="194"/>
      <c r="F340" s="194"/>
      <c r="G340" s="194"/>
      <c r="H340" s="194"/>
      <c r="I340" s="194"/>
      <c r="J340" s="194"/>
      <c r="K340" s="194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4"/>
      <c r="AA340" s="194"/>
      <c r="AB340" s="194"/>
      <c r="AC340" s="194"/>
      <c r="AD340" s="194"/>
    </row>
    <row r="341" customFormat="false" ht="15.75" hidden="false" customHeight="false" outlineLevel="0" collapsed="false">
      <c r="A341" s="194"/>
      <c r="B341" s="194"/>
      <c r="C341" s="194"/>
      <c r="D341" s="194"/>
      <c r="E341" s="194"/>
      <c r="F341" s="194"/>
      <c r="G341" s="194"/>
      <c r="H341" s="194"/>
      <c r="I341" s="194"/>
      <c r="J341" s="194"/>
      <c r="K341" s="194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4"/>
      <c r="AA341" s="194"/>
      <c r="AB341" s="194"/>
      <c r="AC341" s="194"/>
      <c r="AD341" s="194"/>
    </row>
    <row r="342" customFormat="false" ht="15.75" hidden="false" customHeight="false" outlineLevel="0" collapsed="false">
      <c r="A342" s="194"/>
      <c r="B342" s="194"/>
      <c r="C342" s="194"/>
      <c r="D342" s="194"/>
      <c r="E342" s="194"/>
      <c r="F342" s="194"/>
      <c r="G342" s="194"/>
      <c r="H342" s="194"/>
      <c r="I342" s="194"/>
      <c r="J342" s="194"/>
      <c r="K342" s="194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4"/>
      <c r="AA342" s="194"/>
      <c r="AB342" s="194"/>
      <c r="AC342" s="194"/>
      <c r="AD342" s="194"/>
    </row>
    <row r="343" customFormat="false" ht="15.75" hidden="false" customHeight="false" outlineLevel="0" collapsed="false">
      <c r="A343" s="194"/>
      <c r="B343" s="194"/>
      <c r="C343" s="194"/>
      <c r="D343" s="194"/>
      <c r="E343" s="194"/>
      <c r="F343" s="194"/>
      <c r="G343" s="194"/>
      <c r="H343" s="194"/>
      <c r="I343" s="194"/>
      <c r="J343" s="194"/>
      <c r="K343" s="194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4"/>
      <c r="AA343" s="194"/>
      <c r="AB343" s="194"/>
      <c r="AC343" s="194"/>
      <c r="AD343" s="194"/>
    </row>
    <row r="344" customFormat="false" ht="15.75" hidden="false" customHeight="false" outlineLevel="0" collapsed="false">
      <c r="A344" s="194"/>
      <c r="B344" s="194"/>
      <c r="C344" s="194"/>
      <c r="D344" s="194"/>
      <c r="E344" s="194"/>
      <c r="F344" s="194"/>
      <c r="G344" s="194"/>
      <c r="H344" s="194"/>
      <c r="I344" s="194"/>
      <c r="J344" s="194"/>
      <c r="K344" s="194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4"/>
      <c r="AA344" s="194"/>
      <c r="AB344" s="194"/>
      <c r="AC344" s="194"/>
      <c r="AD344" s="194"/>
    </row>
    <row r="345" customFormat="false" ht="15.75" hidden="false" customHeight="false" outlineLevel="0" collapsed="false">
      <c r="A345" s="194"/>
      <c r="B345" s="194"/>
      <c r="C345" s="194"/>
      <c r="D345" s="194"/>
      <c r="E345" s="194"/>
      <c r="F345" s="194"/>
      <c r="G345" s="194"/>
      <c r="H345" s="194"/>
      <c r="I345" s="194"/>
      <c r="J345" s="194"/>
      <c r="K345" s="194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4"/>
      <c r="AA345" s="194"/>
      <c r="AB345" s="194"/>
      <c r="AC345" s="194"/>
      <c r="AD345" s="194"/>
    </row>
    <row r="346" customFormat="false" ht="15.75" hidden="false" customHeight="false" outlineLevel="0" collapsed="false">
      <c r="A346" s="194"/>
      <c r="B346" s="194"/>
      <c r="C346" s="194"/>
      <c r="D346" s="194"/>
      <c r="E346" s="194"/>
      <c r="F346" s="194"/>
      <c r="G346" s="194"/>
      <c r="H346" s="194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4"/>
      <c r="AA346" s="194"/>
      <c r="AB346" s="194"/>
      <c r="AC346" s="194"/>
      <c r="AD346" s="194"/>
    </row>
    <row r="347" customFormat="false" ht="15.75" hidden="false" customHeight="false" outlineLevel="0" collapsed="false">
      <c r="A347" s="194"/>
      <c r="B347" s="194"/>
      <c r="C347" s="194"/>
      <c r="D347" s="194"/>
      <c r="E347" s="194"/>
      <c r="F347" s="194"/>
      <c r="G347" s="194"/>
      <c r="H347" s="194"/>
      <c r="I347" s="194"/>
      <c r="J347" s="194"/>
      <c r="K347" s="194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4"/>
      <c r="AA347" s="194"/>
      <c r="AB347" s="194"/>
      <c r="AC347" s="194"/>
      <c r="AD347" s="194"/>
    </row>
    <row r="348" customFormat="false" ht="15.75" hidden="false" customHeight="false" outlineLevel="0" collapsed="false">
      <c r="A348" s="194"/>
      <c r="B348" s="194"/>
      <c r="C348" s="194"/>
      <c r="D348" s="194"/>
      <c r="E348" s="194"/>
      <c r="F348" s="194"/>
      <c r="G348" s="194"/>
      <c r="H348" s="194"/>
      <c r="I348" s="194"/>
      <c r="J348" s="194"/>
      <c r="K348" s="194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4"/>
      <c r="AA348" s="194"/>
      <c r="AB348" s="194"/>
      <c r="AC348" s="194"/>
      <c r="AD348" s="194"/>
    </row>
    <row r="349" customFormat="false" ht="15.75" hidden="false" customHeight="false" outlineLevel="0" collapsed="false">
      <c r="A349" s="194"/>
      <c r="B349" s="194"/>
      <c r="C349" s="194"/>
      <c r="D349" s="194"/>
      <c r="E349" s="194"/>
      <c r="F349" s="194"/>
      <c r="G349" s="194"/>
      <c r="H349" s="194"/>
      <c r="I349" s="194"/>
      <c r="J349" s="194"/>
      <c r="K349" s="194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4"/>
      <c r="AA349" s="194"/>
      <c r="AB349" s="194"/>
      <c r="AC349" s="194"/>
      <c r="AD349" s="194"/>
    </row>
    <row r="350" customFormat="false" ht="15.75" hidden="false" customHeight="false" outlineLevel="0" collapsed="false">
      <c r="A350" s="194"/>
      <c r="B350" s="194"/>
      <c r="C350" s="194"/>
      <c r="D350" s="194"/>
      <c r="E350" s="194"/>
      <c r="F350" s="194"/>
      <c r="G350" s="194"/>
      <c r="H350" s="194"/>
      <c r="I350" s="194"/>
      <c r="J350" s="194"/>
      <c r="K350" s="194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4"/>
      <c r="AA350" s="194"/>
      <c r="AB350" s="194"/>
      <c r="AC350" s="194"/>
      <c r="AD350" s="194"/>
    </row>
    <row r="351" customFormat="false" ht="15.75" hidden="false" customHeight="false" outlineLevel="0" collapsed="false">
      <c r="A351" s="194"/>
      <c r="B351" s="194"/>
      <c r="C351" s="194"/>
      <c r="D351" s="194"/>
      <c r="E351" s="194"/>
      <c r="F351" s="194"/>
      <c r="G351" s="194"/>
      <c r="H351" s="194"/>
      <c r="I351" s="194"/>
      <c r="J351" s="194"/>
      <c r="K351" s="194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4"/>
      <c r="AA351" s="194"/>
      <c r="AB351" s="194"/>
      <c r="AC351" s="194"/>
      <c r="AD351" s="194"/>
    </row>
    <row r="352" customFormat="false" ht="15.75" hidden="false" customHeight="false" outlineLevel="0" collapsed="false">
      <c r="A352" s="194"/>
      <c r="B352" s="194"/>
      <c r="C352" s="194"/>
      <c r="D352" s="194"/>
      <c r="E352" s="194"/>
      <c r="F352" s="194"/>
      <c r="G352" s="194"/>
      <c r="H352" s="194"/>
      <c r="I352" s="194"/>
      <c r="J352" s="194"/>
      <c r="K352" s="194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4"/>
      <c r="AA352" s="194"/>
      <c r="AB352" s="194"/>
      <c r="AC352" s="194"/>
      <c r="AD352" s="194"/>
    </row>
    <row r="353" customFormat="false" ht="15.75" hidden="false" customHeight="false" outlineLevel="0" collapsed="false">
      <c r="A353" s="194"/>
      <c r="B353" s="194"/>
      <c r="C353" s="194"/>
      <c r="D353" s="194"/>
      <c r="E353" s="194"/>
      <c r="F353" s="194"/>
      <c r="G353" s="194"/>
      <c r="H353" s="194"/>
      <c r="I353" s="194"/>
      <c r="J353" s="194"/>
      <c r="K353" s="194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4"/>
      <c r="AA353" s="194"/>
      <c r="AB353" s="194"/>
      <c r="AC353" s="194"/>
      <c r="AD353" s="194"/>
    </row>
    <row r="354" customFormat="false" ht="15.75" hidden="false" customHeight="false" outlineLevel="0" collapsed="false">
      <c r="A354" s="194"/>
      <c r="B354" s="194"/>
      <c r="C354" s="194"/>
      <c r="D354" s="194"/>
      <c r="E354" s="194"/>
      <c r="F354" s="194"/>
      <c r="G354" s="194"/>
      <c r="H354" s="194"/>
      <c r="I354" s="194"/>
      <c r="J354" s="194"/>
      <c r="K354" s="194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4"/>
      <c r="AA354" s="194"/>
      <c r="AB354" s="194"/>
      <c r="AC354" s="194"/>
      <c r="AD354" s="194"/>
    </row>
    <row r="355" customFormat="false" ht="15.75" hidden="false" customHeight="false" outlineLevel="0" collapsed="false">
      <c r="A355" s="194"/>
      <c r="B355" s="194"/>
      <c r="C355" s="194"/>
      <c r="D355" s="194"/>
      <c r="E355" s="194"/>
      <c r="F355" s="194"/>
      <c r="G355" s="194"/>
      <c r="H355" s="194"/>
      <c r="I355" s="194"/>
      <c r="J355" s="194"/>
      <c r="K355" s="194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4"/>
      <c r="AA355" s="194"/>
      <c r="AB355" s="194"/>
      <c r="AC355" s="194"/>
      <c r="AD355" s="194"/>
    </row>
    <row r="356" customFormat="false" ht="15.75" hidden="false" customHeight="false" outlineLevel="0" collapsed="false">
      <c r="A356" s="194"/>
      <c r="B356" s="194"/>
      <c r="C356" s="194"/>
      <c r="D356" s="194"/>
      <c r="E356" s="194"/>
      <c r="F356" s="194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4"/>
      <c r="AA356" s="194"/>
      <c r="AB356" s="194"/>
      <c r="AC356" s="194"/>
      <c r="AD356" s="194"/>
    </row>
    <row r="357" customFormat="false" ht="15.75" hidden="false" customHeight="false" outlineLevel="0" collapsed="false">
      <c r="A357" s="194"/>
      <c r="B357" s="194"/>
      <c r="C357" s="194"/>
      <c r="D357" s="194"/>
      <c r="E357" s="194"/>
      <c r="F357" s="194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4"/>
      <c r="AA357" s="194"/>
      <c r="AB357" s="194"/>
      <c r="AC357" s="194"/>
      <c r="AD357" s="194"/>
    </row>
    <row r="358" customFormat="false" ht="15.75" hidden="false" customHeight="false" outlineLevel="0" collapsed="false">
      <c r="A358" s="194"/>
      <c r="B358" s="194"/>
      <c r="C358" s="194"/>
      <c r="D358" s="194"/>
      <c r="E358" s="194"/>
      <c r="F358" s="194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4"/>
      <c r="AA358" s="194"/>
      <c r="AB358" s="194"/>
      <c r="AC358" s="194"/>
      <c r="AD358" s="194"/>
    </row>
    <row r="359" customFormat="false" ht="15.75" hidden="false" customHeight="false" outlineLevel="0" collapsed="false">
      <c r="A359" s="194"/>
      <c r="B359" s="194"/>
      <c r="C359" s="194"/>
      <c r="D359" s="194"/>
      <c r="E359" s="194"/>
      <c r="F359" s="194"/>
      <c r="G359" s="194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4"/>
      <c r="AA359" s="194"/>
      <c r="AB359" s="194"/>
      <c r="AC359" s="194"/>
      <c r="AD359" s="194"/>
    </row>
    <row r="360" customFormat="false" ht="15.75" hidden="false" customHeight="false" outlineLevel="0" collapsed="false">
      <c r="A360" s="194"/>
      <c r="B360" s="194"/>
      <c r="C360" s="194"/>
      <c r="D360" s="194"/>
      <c r="E360" s="194"/>
      <c r="F360" s="194"/>
      <c r="G360" s="194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4"/>
      <c r="AA360" s="194"/>
      <c r="AB360" s="194"/>
      <c r="AC360" s="194"/>
      <c r="AD360" s="194"/>
    </row>
    <row r="361" customFormat="false" ht="15.75" hidden="false" customHeight="false" outlineLevel="0" collapsed="false">
      <c r="A361" s="194"/>
      <c r="B361" s="194"/>
      <c r="C361" s="194"/>
      <c r="D361" s="194"/>
      <c r="E361" s="194"/>
      <c r="F361" s="194"/>
      <c r="G361" s="194"/>
      <c r="H361" s="194"/>
      <c r="I361" s="194"/>
      <c r="J361" s="194"/>
      <c r="K361" s="194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4"/>
      <c r="AA361" s="194"/>
      <c r="AB361" s="194"/>
      <c r="AC361" s="194"/>
      <c r="AD361" s="194"/>
    </row>
    <row r="362" customFormat="false" ht="15.75" hidden="false" customHeight="false" outlineLevel="0" collapsed="false">
      <c r="A362" s="194"/>
      <c r="B362" s="194"/>
      <c r="C362" s="194"/>
      <c r="D362" s="194"/>
      <c r="E362" s="194"/>
      <c r="F362" s="194"/>
      <c r="G362" s="194"/>
      <c r="H362" s="194"/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4"/>
      <c r="AA362" s="194"/>
      <c r="AB362" s="194"/>
      <c r="AC362" s="194"/>
      <c r="AD362" s="194"/>
    </row>
    <row r="363" customFormat="false" ht="15.75" hidden="false" customHeight="false" outlineLevel="0" collapsed="false">
      <c r="A363" s="194"/>
      <c r="B363" s="194"/>
      <c r="C363" s="194"/>
      <c r="D363" s="194"/>
      <c r="E363" s="194"/>
      <c r="F363" s="194"/>
      <c r="G363" s="194"/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4"/>
      <c r="AA363" s="194"/>
      <c r="AB363" s="194"/>
      <c r="AC363" s="194"/>
      <c r="AD363" s="194"/>
    </row>
    <row r="364" customFormat="false" ht="15.75" hidden="false" customHeight="false" outlineLevel="0" collapsed="false">
      <c r="A364" s="194"/>
      <c r="B364" s="194"/>
      <c r="C364" s="194"/>
      <c r="D364" s="194"/>
      <c r="E364" s="194"/>
      <c r="F364" s="194"/>
      <c r="G364" s="194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4"/>
      <c r="AA364" s="194"/>
      <c r="AB364" s="194"/>
      <c r="AC364" s="194"/>
      <c r="AD364" s="194"/>
    </row>
    <row r="365" customFormat="false" ht="15.75" hidden="false" customHeight="false" outlineLevel="0" collapsed="false">
      <c r="A365" s="194"/>
      <c r="B365" s="194"/>
      <c r="C365" s="194"/>
      <c r="D365" s="194"/>
      <c r="E365" s="194"/>
      <c r="F365" s="194"/>
      <c r="G365" s="194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4"/>
      <c r="AA365" s="194"/>
      <c r="AB365" s="194"/>
      <c r="AC365" s="194"/>
      <c r="AD365" s="194"/>
    </row>
    <row r="366" customFormat="false" ht="15.75" hidden="false" customHeight="false" outlineLevel="0" collapsed="false">
      <c r="A366" s="194"/>
      <c r="B366" s="194"/>
      <c r="C366" s="194"/>
      <c r="D366" s="194"/>
      <c r="E366" s="194"/>
      <c r="F366" s="194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4"/>
      <c r="AA366" s="194"/>
      <c r="AB366" s="194"/>
      <c r="AC366" s="194"/>
      <c r="AD366" s="194"/>
    </row>
    <row r="367" customFormat="false" ht="15.75" hidden="false" customHeight="false" outlineLevel="0" collapsed="false">
      <c r="A367" s="194"/>
      <c r="B367" s="194"/>
      <c r="C367" s="194"/>
      <c r="D367" s="194"/>
      <c r="E367" s="194"/>
      <c r="F367" s="194"/>
      <c r="G367" s="194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4"/>
      <c r="AA367" s="194"/>
      <c r="AB367" s="194"/>
      <c r="AC367" s="194"/>
      <c r="AD367" s="194"/>
    </row>
    <row r="368" customFormat="false" ht="15.75" hidden="false" customHeight="false" outlineLevel="0" collapsed="false">
      <c r="A368" s="194"/>
      <c r="B368" s="194"/>
      <c r="C368" s="194"/>
      <c r="D368" s="194"/>
      <c r="E368" s="194"/>
      <c r="F368" s="194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  <c r="AA368" s="194"/>
      <c r="AB368" s="194"/>
      <c r="AC368" s="194"/>
      <c r="AD368" s="194"/>
    </row>
    <row r="369" customFormat="false" ht="15.75" hidden="false" customHeight="false" outlineLevel="0" collapsed="false">
      <c r="A369" s="194"/>
      <c r="B369" s="194"/>
      <c r="C369" s="194"/>
      <c r="D369" s="194"/>
      <c r="E369" s="194"/>
      <c r="F369" s="194"/>
      <c r="G369" s="194"/>
      <c r="H369" s="194"/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4"/>
      <c r="AA369" s="194"/>
      <c r="AB369" s="194"/>
      <c r="AC369" s="194"/>
      <c r="AD369" s="194"/>
    </row>
    <row r="370" customFormat="false" ht="15.75" hidden="false" customHeight="false" outlineLevel="0" collapsed="false">
      <c r="A370" s="194"/>
      <c r="B370" s="194"/>
      <c r="C370" s="194"/>
      <c r="D370" s="194"/>
      <c r="E370" s="194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</row>
    <row r="371" customFormat="false" ht="15.75" hidden="false" customHeight="false" outlineLevel="0" collapsed="false">
      <c r="A371" s="194"/>
      <c r="B371" s="194"/>
      <c r="C371" s="194"/>
      <c r="D371" s="194"/>
      <c r="E371" s="194"/>
      <c r="F371" s="194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  <c r="AA371" s="194"/>
      <c r="AB371" s="194"/>
      <c r="AC371" s="194"/>
      <c r="AD371" s="194"/>
    </row>
    <row r="372" customFormat="false" ht="15.75" hidden="false" customHeight="false" outlineLevel="0" collapsed="false">
      <c r="A372" s="194"/>
      <c r="B372" s="194"/>
      <c r="C372" s="194"/>
      <c r="D372" s="194"/>
      <c r="E372" s="194"/>
      <c r="F372" s="194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194"/>
      <c r="AB372" s="194"/>
      <c r="AC372" s="194"/>
      <c r="AD372" s="194"/>
    </row>
    <row r="373" customFormat="false" ht="15.75" hidden="false" customHeight="false" outlineLevel="0" collapsed="false">
      <c r="A373" s="194"/>
      <c r="B373" s="194"/>
      <c r="C373" s="194"/>
      <c r="D373" s="194"/>
      <c r="E373" s="194"/>
      <c r="F373" s="194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194"/>
      <c r="AB373" s="194"/>
      <c r="AC373" s="194"/>
      <c r="AD373" s="194"/>
    </row>
    <row r="374" customFormat="false" ht="15.75" hidden="false" customHeight="false" outlineLevel="0" collapsed="false">
      <c r="A374" s="194"/>
      <c r="B374" s="194"/>
      <c r="C374" s="194"/>
      <c r="D374" s="194"/>
      <c r="E374" s="194"/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194"/>
      <c r="AB374" s="194"/>
      <c r="AC374" s="194"/>
      <c r="AD374" s="194"/>
    </row>
    <row r="375" customFormat="false" ht="15.75" hidden="false" customHeight="false" outlineLevel="0" collapsed="false">
      <c r="A375" s="194"/>
      <c r="B375" s="194"/>
      <c r="C375" s="194"/>
      <c r="D375" s="194"/>
      <c r="E375" s="194"/>
      <c r="F375" s="194"/>
      <c r="G375" s="194"/>
      <c r="H375" s="194"/>
      <c r="I375" s="194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4"/>
      <c r="AA375" s="194"/>
      <c r="AB375" s="194"/>
      <c r="AC375" s="194"/>
      <c r="AD375" s="194"/>
    </row>
    <row r="376" customFormat="false" ht="15.75" hidden="false" customHeight="false" outlineLevel="0" collapsed="false">
      <c r="A376" s="194"/>
      <c r="B376" s="194"/>
      <c r="C376" s="194"/>
      <c r="D376" s="194"/>
      <c r="E376" s="194"/>
      <c r="F376" s="194"/>
      <c r="G376" s="194"/>
      <c r="H376" s="194"/>
      <c r="I376" s="194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4"/>
      <c r="AA376" s="194"/>
      <c r="AB376" s="194"/>
      <c r="AC376" s="194"/>
      <c r="AD376" s="194"/>
    </row>
    <row r="377" customFormat="false" ht="15.75" hidden="false" customHeight="false" outlineLevel="0" collapsed="false">
      <c r="A377" s="194"/>
      <c r="B377" s="194"/>
      <c r="C377" s="194"/>
      <c r="D377" s="194"/>
      <c r="E377" s="194"/>
      <c r="F377" s="194"/>
      <c r="G377" s="194"/>
      <c r="H377" s="194"/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4"/>
      <c r="AA377" s="194"/>
      <c r="AB377" s="194"/>
      <c r="AC377" s="194"/>
      <c r="AD377" s="194"/>
    </row>
    <row r="378" customFormat="false" ht="15.75" hidden="false" customHeight="false" outlineLevel="0" collapsed="false">
      <c r="A378" s="194"/>
      <c r="B378" s="194"/>
      <c r="C378" s="194"/>
      <c r="D378" s="194"/>
      <c r="E378" s="194"/>
      <c r="F378" s="194"/>
      <c r="G378" s="194"/>
      <c r="H378" s="194"/>
      <c r="I378" s="194"/>
      <c r="J378" s="194"/>
      <c r="K378" s="194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4"/>
      <c r="AA378" s="194"/>
      <c r="AB378" s="194"/>
      <c r="AC378" s="194"/>
      <c r="AD378" s="194"/>
    </row>
    <row r="379" customFormat="false" ht="15.75" hidden="false" customHeight="false" outlineLevel="0" collapsed="false">
      <c r="A379" s="194"/>
      <c r="B379" s="194"/>
      <c r="C379" s="194"/>
      <c r="D379" s="194"/>
      <c r="E379" s="194"/>
      <c r="F379" s="194"/>
      <c r="G379" s="194"/>
      <c r="H379" s="194"/>
      <c r="I379" s="194"/>
      <c r="J379" s="194"/>
      <c r="K379" s="194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4"/>
      <c r="AA379" s="194"/>
      <c r="AB379" s="194"/>
      <c r="AC379" s="194"/>
      <c r="AD379" s="194"/>
    </row>
    <row r="380" customFormat="false" ht="15.75" hidden="false" customHeight="false" outlineLevel="0" collapsed="false">
      <c r="A380" s="194"/>
      <c r="B380" s="194"/>
      <c r="C380" s="194"/>
      <c r="D380" s="194"/>
      <c r="E380" s="194"/>
      <c r="F380" s="194"/>
      <c r="G380" s="194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4"/>
      <c r="AA380" s="194"/>
      <c r="AB380" s="194"/>
      <c r="AC380" s="194"/>
      <c r="AD380" s="194"/>
    </row>
    <row r="381" customFormat="false" ht="15.75" hidden="false" customHeight="false" outlineLevel="0" collapsed="false">
      <c r="A381" s="194"/>
      <c r="B381" s="194"/>
      <c r="C381" s="194"/>
      <c r="D381" s="194"/>
      <c r="E381" s="194"/>
      <c r="F381" s="194"/>
      <c r="G381" s="194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4"/>
      <c r="AA381" s="194"/>
      <c r="AB381" s="194"/>
      <c r="AC381" s="194"/>
      <c r="AD381" s="194"/>
    </row>
    <row r="382" customFormat="false" ht="15.75" hidden="false" customHeight="false" outlineLevel="0" collapsed="false">
      <c r="A382" s="194"/>
      <c r="B382" s="194"/>
      <c r="C382" s="194"/>
      <c r="D382" s="194"/>
      <c r="E382" s="194"/>
      <c r="F382" s="194"/>
      <c r="G382" s="194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4"/>
      <c r="AA382" s="194"/>
      <c r="AB382" s="194"/>
      <c r="AC382" s="194"/>
      <c r="AD382" s="194"/>
    </row>
    <row r="383" customFormat="false" ht="15.75" hidden="false" customHeight="false" outlineLevel="0" collapsed="false">
      <c r="A383" s="194"/>
      <c r="B383" s="194"/>
      <c r="C383" s="194"/>
      <c r="D383" s="194"/>
      <c r="E383" s="194"/>
      <c r="F383" s="194"/>
      <c r="G383" s="194"/>
      <c r="H383" s="194"/>
      <c r="I383" s="194"/>
      <c r="J383" s="194"/>
      <c r="K383" s="194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4"/>
      <c r="AA383" s="194"/>
      <c r="AB383" s="194"/>
      <c r="AC383" s="194"/>
      <c r="AD383" s="194"/>
    </row>
    <row r="384" customFormat="false" ht="15.75" hidden="false" customHeight="false" outlineLevel="0" collapsed="false">
      <c r="A384" s="194"/>
      <c r="B384" s="194"/>
      <c r="C384" s="194"/>
      <c r="D384" s="194"/>
      <c r="E384" s="194"/>
      <c r="F384" s="194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4"/>
      <c r="AA384" s="194"/>
      <c r="AB384" s="194"/>
      <c r="AC384" s="194"/>
      <c r="AD384" s="194"/>
    </row>
    <row r="385" customFormat="false" ht="15.75" hidden="false" customHeight="false" outlineLevel="0" collapsed="false">
      <c r="A385" s="194"/>
      <c r="B385" s="194"/>
      <c r="C385" s="194"/>
      <c r="D385" s="194"/>
      <c r="E385" s="194"/>
      <c r="F385" s="194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4"/>
      <c r="AA385" s="194"/>
      <c r="AB385" s="194"/>
      <c r="AC385" s="194"/>
      <c r="AD385" s="194"/>
    </row>
    <row r="386" customFormat="false" ht="15.75" hidden="false" customHeight="false" outlineLevel="0" collapsed="false">
      <c r="A386" s="194"/>
      <c r="B386" s="194"/>
      <c r="C386" s="194"/>
      <c r="D386" s="194"/>
      <c r="E386" s="194"/>
      <c r="F386" s="194"/>
      <c r="G386" s="194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4"/>
      <c r="AA386" s="194"/>
      <c r="AB386" s="194"/>
      <c r="AC386" s="194"/>
      <c r="AD386" s="194"/>
    </row>
    <row r="387" customFormat="false" ht="15.75" hidden="false" customHeight="false" outlineLevel="0" collapsed="false">
      <c r="A387" s="194"/>
      <c r="B387" s="194"/>
      <c r="C387" s="194"/>
      <c r="D387" s="194"/>
      <c r="E387" s="194"/>
      <c r="F387" s="194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4"/>
      <c r="AA387" s="194"/>
      <c r="AB387" s="194"/>
      <c r="AC387" s="194"/>
      <c r="AD387" s="194"/>
    </row>
    <row r="388" customFormat="false" ht="15.75" hidden="false" customHeight="false" outlineLevel="0" collapsed="false">
      <c r="A388" s="194"/>
      <c r="B388" s="194"/>
      <c r="C388" s="194"/>
      <c r="D388" s="194"/>
      <c r="E388" s="194"/>
      <c r="F388" s="194"/>
      <c r="G388" s="194"/>
      <c r="H388" s="194"/>
      <c r="I388" s="194"/>
      <c r="J388" s="194"/>
      <c r="K388" s="194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4"/>
      <c r="AA388" s="194"/>
      <c r="AB388" s="194"/>
      <c r="AC388" s="194"/>
      <c r="AD388" s="194"/>
    </row>
    <row r="389" customFormat="false" ht="15.75" hidden="false" customHeight="false" outlineLevel="0" collapsed="false">
      <c r="A389" s="194"/>
      <c r="B389" s="194"/>
      <c r="C389" s="194"/>
      <c r="D389" s="194"/>
      <c r="E389" s="194"/>
      <c r="F389" s="194"/>
      <c r="G389" s="194"/>
      <c r="H389" s="194"/>
      <c r="I389" s="194"/>
      <c r="J389" s="194"/>
      <c r="K389" s="194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4"/>
      <c r="AA389" s="194"/>
      <c r="AB389" s="194"/>
      <c r="AC389" s="194"/>
      <c r="AD389" s="194"/>
    </row>
    <row r="390" customFormat="false" ht="15.75" hidden="false" customHeight="false" outlineLevel="0" collapsed="false">
      <c r="A390" s="194"/>
      <c r="B390" s="194"/>
      <c r="C390" s="194"/>
      <c r="D390" s="194"/>
      <c r="E390" s="194"/>
      <c r="F390" s="194"/>
      <c r="G390" s="194"/>
      <c r="H390" s="194"/>
      <c r="I390" s="194"/>
      <c r="J390" s="194"/>
      <c r="K390" s="194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4"/>
      <c r="AA390" s="194"/>
      <c r="AB390" s="194"/>
      <c r="AC390" s="194"/>
      <c r="AD390" s="194"/>
    </row>
    <row r="391" customFormat="false" ht="15.75" hidden="false" customHeight="false" outlineLevel="0" collapsed="false">
      <c r="A391" s="194"/>
      <c r="B391" s="194"/>
      <c r="C391" s="194"/>
      <c r="D391" s="194"/>
      <c r="E391" s="194"/>
      <c r="F391" s="194"/>
      <c r="G391" s="194"/>
      <c r="H391" s="194"/>
      <c r="I391" s="194"/>
      <c r="J391" s="194"/>
      <c r="K391" s="194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4"/>
      <c r="AA391" s="194"/>
      <c r="AB391" s="194"/>
      <c r="AC391" s="194"/>
      <c r="AD391" s="194"/>
    </row>
    <row r="392" customFormat="false" ht="15.75" hidden="false" customHeight="false" outlineLevel="0" collapsed="false">
      <c r="A392" s="194"/>
      <c r="B392" s="194"/>
      <c r="C392" s="194"/>
      <c r="D392" s="194"/>
      <c r="E392" s="194"/>
      <c r="F392" s="194"/>
      <c r="G392" s="194"/>
      <c r="H392" s="194"/>
      <c r="I392" s="194"/>
      <c r="J392" s="194"/>
      <c r="K392" s="194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4"/>
      <c r="AA392" s="194"/>
      <c r="AB392" s="194"/>
      <c r="AC392" s="194"/>
      <c r="AD392" s="194"/>
    </row>
    <row r="393" customFormat="false" ht="15.75" hidden="false" customHeight="false" outlineLevel="0" collapsed="false">
      <c r="A393" s="194"/>
      <c r="B393" s="194"/>
      <c r="C393" s="194"/>
      <c r="D393" s="194"/>
      <c r="E393" s="194"/>
      <c r="F393" s="194"/>
      <c r="G393" s="194"/>
      <c r="H393" s="194"/>
      <c r="I393" s="194"/>
      <c r="J393" s="194"/>
      <c r="K393" s="194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4"/>
      <c r="AA393" s="194"/>
      <c r="AB393" s="194"/>
      <c r="AC393" s="194"/>
      <c r="AD393" s="194"/>
    </row>
    <row r="394" customFormat="false" ht="15.75" hidden="false" customHeight="false" outlineLevel="0" collapsed="false">
      <c r="A394" s="194"/>
      <c r="B394" s="194"/>
      <c r="C394" s="194"/>
      <c r="D394" s="194"/>
      <c r="E394" s="194"/>
      <c r="F394" s="194"/>
      <c r="G394" s="194"/>
      <c r="H394" s="194"/>
      <c r="I394" s="194"/>
      <c r="J394" s="194"/>
      <c r="K394" s="194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4"/>
      <c r="AA394" s="194"/>
      <c r="AB394" s="194"/>
      <c r="AC394" s="194"/>
      <c r="AD394" s="194"/>
    </row>
    <row r="395" customFormat="false" ht="15.75" hidden="false" customHeight="false" outlineLevel="0" collapsed="false">
      <c r="A395" s="194"/>
      <c r="B395" s="194"/>
      <c r="C395" s="194"/>
      <c r="D395" s="194"/>
      <c r="E395" s="194"/>
      <c r="F395" s="194"/>
      <c r="G395" s="194"/>
      <c r="H395" s="194"/>
      <c r="I395" s="194"/>
      <c r="J395" s="194"/>
      <c r="K395" s="194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4"/>
      <c r="AA395" s="194"/>
      <c r="AB395" s="194"/>
      <c r="AC395" s="194"/>
      <c r="AD395" s="194"/>
    </row>
    <row r="396" customFormat="false" ht="15.75" hidden="false" customHeight="false" outlineLevel="0" collapsed="false">
      <c r="A396" s="194"/>
      <c r="B396" s="194"/>
      <c r="C396" s="194"/>
      <c r="D396" s="194"/>
      <c r="E396" s="194"/>
      <c r="F396" s="194"/>
      <c r="G396" s="194"/>
      <c r="H396" s="194"/>
      <c r="I396" s="194"/>
      <c r="J396" s="194"/>
      <c r="K396" s="194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4"/>
      <c r="AA396" s="194"/>
      <c r="AB396" s="194"/>
      <c r="AC396" s="194"/>
      <c r="AD396" s="194"/>
    </row>
    <row r="397" customFormat="false" ht="15.75" hidden="false" customHeight="false" outlineLevel="0" collapsed="false">
      <c r="A397" s="194"/>
      <c r="B397" s="194"/>
      <c r="C397" s="194"/>
      <c r="D397" s="194"/>
      <c r="E397" s="194"/>
      <c r="F397" s="194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4"/>
      <c r="AA397" s="194"/>
      <c r="AB397" s="194"/>
      <c r="AC397" s="194"/>
      <c r="AD397" s="194"/>
    </row>
    <row r="398" customFormat="false" ht="15.75" hidden="false" customHeight="false" outlineLevel="0" collapsed="false">
      <c r="A398" s="194"/>
      <c r="B398" s="194"/>
      <c r="C398" s="194"/>
      <c r="D398" s="194"/>
      <c r="E398" s="194"/>
      <c r="F398" s="194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4"/>
      <c r="AA398" s="194"/>
      <c r="AB398" s="194"/>
      <c r="AC398" s="194"/>
      <c r="AD398" s="194"/>
    </row>
    <row r="399" customFormat="false" ht="15.75" hidden="false" customHeight="false" outlineLevel="0" collapsed="false">
      <c r="A399" s="194"/>
      <c r="B399" s="194"/>
      <c r="C399" s="194"/>
      <c r="D399" s="194"/>
      <c r="E399" s="194"/>
      <c r="F399" s="194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4"/>
      <c r="AA399" s="194"/>
      <c r="AB399" s="194"/>
      <c r="AC399" s="194"/>
      <c r="AD399" s="194"/>
    </row>
    <row r="400" customFormat="false" ht="15.75" hidden="false" customHeight="false" outlineLevel="0" collapsed="false">
      <c r="A400" s="194"/>
      <c r="B400" s="194"/>
      <c r="C400" s="194"/>
      <c r="D400" s="194"/>
      <c r="E400" s="194"/>
      <c r="F400" s="194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4"/>
      <c r="AA400" s="194"/>
      <c r="AB400" s="194"/>
      <c r="AC400" s="194"/>
      <c r="AD400" s="194"/>
    </row>
    <row r="401" customFormat="false" ht="15.75" hidden="false" customHeight="false" outlineLevel="0" collapsed="false">
      <c r="A401" s="194"/>
      <c r="B401" s="194"/>
      <c r="C401" s="194"/>
      <c r="D401" s="194"/>
      <c r="E401" s="194"/>
      <c r="F401" s="194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4"/>
      <c r="AA401" s="194"/>
      <c r="AB401" s="194"/>
      <c r="AC401" s="194"/>
      <c r="AD401" s="194"/>
    </row>
    <row r="402" customFormat="false" ht="15.75" hidden="false" customHeight="false" outlineLevel="0" collapsed="false">
      <c r="A402" s="194"/>
      <c r="B402" s="194"/>
      <c r="C402" s="194"/>
      <c r="D402" s="194"/>
      <c r="E402" s="194"/>
      <c r="F402" s="194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4"/>
      <c r="AA402" s="194"/>
      <c r="AB402" s="194"/>
      <c r="AC402" s="194"/>
      <c r="AD402" s="194"/>
    </row>
    <row r="403" customFormat="false" ht="15.75" hidden="false" customHeight="false" outlineLevel="0" collapsed="false">
      <c r="A403" s="194"/>
      <c r="B403" s="194"/>
      <c r="C403" s="194"/>
      <c r="D403" s="194"/>
      <c r="E403" s="194"/>
      <c r="F403" s="194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4"/>
      <c r="AA403" s="194"/>
      <c r="AB403" s="194"/>
      <c r="AC403" s="194"/>
      <c r="AD403" s="194"/>
    </row>
    <row r="404" customFormat="false" ht="15.75" hidden="false" customHeight="false" outlineLevel="0" collapsed="false">
      <c r="A404" s="194"/>
      <c r="B404" s="194"/>
      <c r="C404" s="194"/>
      <c r="D404" s="194"/>
      <c r="E404" s="194"/>
      <c r="F404" s="194"/>
      <c r="G404" s="194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4"/>
      <c r="AA404" s="194"/>
      <c r="AB404" s="194"/>
      <c r="AC404" s="194"/>
      <c r="AD404" s="194"/>
    </row>
    <row r="405" customFormat="false" ht="15.75" hidden="false" customHeight="false" outlineLevel="0" collapsed="false">
      <c r="A405" s="194"/>
      <c r="B405" s="194"/>
      <c r="C405" s="194"/>
      <c r="D405" s="194"/>
      <c r="E405" s="194"/>
      <c r="F405" s="194"/>
      <c r="G405" s="194"/>
      <c r="H405" s="194"/>
      <c r="I405" s="194"/>
      <c r="J405" s="194"/>
      <c r="K405" s="194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4"/>
      <c r="AA405" s="194"/>
      <c r="AB405" s="194"/>
      <c r="AC405" s="194"/>
      <c r="AD405" s="194"/>
    </row>
    <row r="406" customFormat="false" ht="15.75" hidden="false" customHeight="false" outlineLevel="0" collapsed="false">
      <c r="A406" s="194"/>
      <c r="B406" s="194"/>
      <c r="C406" s="194"/>
      <c r="D406" s="194"/>
      <c r="E406" s="194"/>
      <c r="F406" s="194"/>
      <c r="G406" s="194"/>
      <c r="H406" s="194"/>
      <c r="I406" s="194"/>
      <c r="J406" s="194"/>
      <c r="K406" s="194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4"/>
      <c r="AA406" s="194"/>
      <c r="AB406" s="194"/>
      <c r="AC406" s="194"/>
      <c r="AD406" s="194"/>
    </row>
    <row r="407" customFormat="false" ht="15.75" hidden="false" customHeight="false" outlineLevel="0" collapsed="false">
      <c r="A407" s="194"/>
      <c r="B407" s="194"/>
      <c r="C407" s="194"/>
      <c r="D407" s="194"/>
      <c r="E407" s="194"/>
      <c r="F407" s="194"/>
      <c r="G407" s="194"/>
      <c r="H407" s="194"/>
      <c r="I407" s="194"/>
      <c r="J407" s="194"/>
      <c r="K407" s="194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4"/>
      <c r="AA407" s="194"/>
      <c r="AB407" s="194"/>
      <c r="AC407" s="194"/>
      <c r="AD407" s="194"/>
    </row>
    <row r="408" customFormat="false" ht="15.75" hidden="false" customHeight="false" outlineLevel="0" collapsed="false">
      <c r="A408" s="194"/>
      <c r="B408" s="194"/>
      <c r="C408" s="194"/>
      <c r="D408" s="194"/>
      <c r="E408" s="194"/>
      <c r="F408" s="194"/>
      <c r="G408" s="194"/>
      <c r="H408" s="194"/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4"/>
      <c r="AA408" s="194"/>
      <c r="AB408" s="194"/>
      <c r="AC408" s="194"/>
      <c r="AD408" s="194"/>
    </row>
    <row r="409" customFormat="false" ht="15.75" hidden="false" customHeight="false" outlineLevel="0" collapsed="false">
      <c r="A409" s="194"/>
      <c r="B409" s="194"/>
      <c r="C409" s="194"/>
      <c r="D409" s="194"/>
      <c r="E409" s="194"/>
      <c r="F409" s="194"/>
      <c r="G409" s="194"/>
      <c r="H409" s="194"/>
      <c r="I409" s="194"/>
      <c r="J409" s="194"/>
      <c r="K409" s="194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4"/>
      <c r="AA409" s="194"/>
      <c r="AB409" s="194"/>
      <c r="AC409" s="194"/>
      <c r="AD409" s="194"/>
    </row>
    <row r="410" customFormat="false" ht="15.75" hidden="false" customHeight="false" outlineLevel="0" collapsed="false">
      <c r="A410" s="194"/>
      <c r="B410" s="194"/>
      <c r="C410" s="194"/>
      <c r="D410" s="194"/>
      <c r="E410" s="194"/>
      <c r="F410" s="194"/>
      <c r="G410" s="194"/>
      <c r="H410" s="194"/>
      <c r="I410" s="194"/>
      <c r="J410" s="194"/>
      <c r="K410" s="194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4"/>
      <c r="AA410" s="194"/>
      <c r="AB410" s="194"/>
      <c r="AC410" s="194"/>
      <c r="AD410" s="194"/>
    </row>
    <row r="411" customFormat="false" ht="15.75" hidden="false" customHeight="false" outlineLevel="0" collapsed="false">
      <c r="A411" s="194"/>
      <c r="B411" s="194"/>
      <c r="C411" s="194"/>
      <c r="D411" s="194"/>
      <c r="E411" s="194"/>
      <c r="F411" s="194"/>
      <c r="G411" s="194"/>
      <c r="H411" s="194"/>
      <c r="I411" s="194"/>
      <c r="J411" s="194"/>
      <c r="K411" s="194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4"/>
      <c r="AA411" s="194"/>
      <c r="AB411" s="194"/>
      <c r="AC411" s="194"/>
      <c r="AD411" s="194"/>
    </row>
    <row r="412" customFormat="false" ht="15.75" hidden="false" customHeight="false" outlineLevel="0" collapsed="false">
      <c r="A412" s="194"/>
      <c r="B412" s="194"/>
      <c r="C412" s="194"/>
      <c r="D412" s="194"/>
      <c r="E412" s="194"/>
      <c r="F412" s="194"/>
      <c r="G412" s="194"/>
      <c r="H412" s="194"/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4"/>
      <c r="AA412" s="194"/>
      <c r="AB412" s="194"/>
      <c r="AC412" s="194"/>
      <c r="AD412" s="194"/>
    </row>
    <row r="413" customFormat="false" ht="15.75" hidden="false" customHeight="false" outlineLevel="0" collapsed="false">
      <c r="A413" s="194"/>
      <c r="B413" s="194"/>
      <c r="C413" s="194"/>
      <c r="D413" s="194"/>
      <c r="E413" s="194"/>
      <c r="F413" s="194"/>
      <c r="G413" s="194"/>
      <c r="H413" s="194"/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4"/>
      <c r="AA413" s="194"/>
      <c r="AB413" s="194"/>
      <c r="AC413" s="194"/>
      <c r="AD413" s="194"/>
    </row>
    <row r="414" customFormat="false" ht="15.75" hidden="false" customHeight="false" outlineLevel="0" collapsed="false">
      <c r="A414" s="194"/>
      <c r="B414" s="194"/>
      <c r="C414" s="194"/>
      <c r="D414" s="194"/>
      <c r="E414" s="194"/>
      <c r="F414" s="194"/>
      <c r="G414" s="194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4"/>
      <c r="AA414" s="194"/>
      <c r="AB414" s="194"/>
      <c r="AC414" s="194"/>
      <c r="AD414" s="194"/>
    </row>
    <row r="415" customFormat="false" ht="15.75" hidden="false" customHeight="false" outlineLevel="0" collapsed="false">
      <c r="A415" s="194"/>
      <c r="B415" s="194"/>
      <c r="C415" s="194"/>
      <c r="D415" s="194"/>
      <c r="E415" s="194"/>
      <c r="F415" s="194"/>
      <c r="G415" s="194"/>
      <c r="H415" s="194"/>
      <c r="I415" s="194"/>
      <c r="J415" s="194"/>
      <c r="K415" s="194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4"/>
      <c r="AA415" s="194"/>
      <c r="AB415" s="194"/>
      <c r="AC415" s="194"/>
      <c r="AD415" s="194"/>
    </row>
    <row r="416" customFormat="false" ht="15.75" hidden="false" customHeight="false" outlineLevel="0" collapsed="false">
      <c r="A416" s="194"/>
      <c r="B416" s="194"/>
      <c r="C416" s="194"/>
      <c r="D416" s="194"/>
      <c r="E416" s="194"/>
      <c r="F416" s="194"/>
      <c r="G416" s="194"/>
      <c r="H416" s="194"/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4"/>
      <c r="AA416" s="194"/>
      <c r="AB416" s="194"/>
      <c r="AC416" s="194"/>
      <c r="AD416" s="194"/>
    </row>
    <row r="417" customFormat="false" ht="15.75" hidden="false" customHeight="false" outlineLevel="0" collapsed="false">
      <c r="A417" s="194"/>
      <c r="B417" s="194"/>
      <c r="C417" s="194"/>
      <c r="D417" s="194"/>
      <c r="E417" s="194"/>
      <c r="F417" s="194"/>
      <c r="G417" s="194"/>
      <c r="H417" s="194"/>
      <c r="I417" s="194"/>
      <c r="J417" s="194"/>
      <c r="K417" s="194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4"/>
      <c r="AA417" s="194"/>
      <c r="AB417" s="194"/>
      <c r="AC417" s="194"/>
      <c r="AD417" s="194"/>
    </row>
    <row r="418" customFormat="false" ht="15.75" hidden="false" customHeight="false" outlineLevel="0" collapsed="false">
      <c r="A418" s="194"/>
      <c r="B418" s="194"/>
      <c r="C418" s="194"/>
      <c r="D418" s="194"/>
      <c r="E418" s="194"/>
      <c r="F418" s="194"/>
      <c r="G418" s="194"/>
      <c r="H418" s="194"/>
      <c r="I418" s="194"/>
      <c r="J418" s="194"/>
      <c r="K418" s="194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4"/>
      <c r="AA418" s="194"/>
      <c r="AB418" s="194"/>
      <c r="AC418" s="194"/>
      <c r="AD418" s="194"/>
    </row>
    <row r="419" customFormat="false" ht="15.75" hidden="false" customHeight="false" outlineLevel="0" collapsed="false">
      <c r="A419" s="194"/>
      <c r="B419" s="194"/>
      <c r="C419" s="194"/>
      <c r="D419" s="194"/>
      <c r="E419" s="194"/>
      <c r="F419" s="194"/>
      <c r="G419" s="194"/>
      <c r="H419" s="194"/>
      <c r="I419" s="194"/>
      <c r="J419" s="194"/>
      <c r="K419" s="194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4"/>
      <c r="AA419" s="194"/>
      <c r="AB419" s="194"/>
      <c r="AC419" s="194"/>
      <c r="AD419" s="194"/>
    </row>
    <row r="420" customFormat="false" ht="15.75" hidden="false" customHeight="false" outlineLevel="0" collapsed="false">
      <c r="A420" s="194"/>
      <c r="B420" s="194"/>
      <c r="C420" s="194"/>
      <c r="D420" s="194"/>
      <c r="E420" s="194"/>
      <c r="F420" s="194"/>
      <c r="G420" s="194"/>
      <c r="H420" s="194"/>
      <c r="I420" s="194"/>
      <c r="J420" s="194"/>
      <c r="K420" s="194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4"/>
      <c r="AA420" s="194"/>
      <c r="AB420" s="194"/>
      <c r="AC420" s="194"/>
      <c r="AD420" s="194"/>
    </row>
    <row r="421" customFormat="false" ht="15.75" hidden="false" customHeight="false" outlineLevel="0" collapsed="false">
      <c r="A421" s="194"/>
      <c r="B421" s="194"/>
      <c r="C421" s="194"/>
      <c r="D421" s="194"/>
      <c r="E421" s="194"/>
      <c r="F421" s="194"/>
      <c r="G421" s="194"/>
      <c r="H421" s="194"/>
      <c r="I421" s="194"/>
      <c r="J421" s="194"/>
      <c r="K421" s="194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4"/>
      <c r="AA421" s="194"/>
      <c r="AB421" s="194"/>
      <c r="AC421" s="194"/>
      <c r="AD421" s="194"/>
    </row>
    <row r="422" customFormat="false" ht="15.75" hidden="false" customHeight="false" outlineLevel="0" collapsed="false">
      <c r="A422" s="194"/>
      <c r="B422" s="194"/>
      <c r="C422" s="194"/>
      <c r="D422" s="194"/>
      <c r="E422" s="194"/>
      <c r="F422" s="194"/>
      <c r="G422" s="194"/>
      <c r="H422" s="194"/>
      <c r="I422" s="194"/>
      <c r="J422" s="194"/>
      <c r="K422" s="194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4"/>
      <c r="AA422" s="194"/>
      <c r="AB422" s="194"/>
      <c r="AC422" s="194"/>
      <c r="AD422" s="194"/>
    </row>
    <row r="423" customFormat="false" ht="15.75" hidden="false" customHeight="false" outlineLevel="0" collapsed="false">
      <c r="A423" s="194"/>
      <c r="B423" s="194"/>
      <c r="C423" s="194"/>
      <c r="D423" s="194"/>
      <c r="E423" s="194"/>
      <c r="F423" s="194"/>
      <c r="G423" s="194"/>
      <c r="H423" s="194"/>
      <c r="I423" s="194"/>
      <c r="J423" s="194"/>
      <c r="K423" s="194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4"/>
      <c r="AA423" s="194"/>
      <c r="AB423" s="194"/>
      <c r="AC423" s="194"/>
      <c r="AD423" s="194"/>
    </row>
    <row r="424" customFormat="false" ht="15.75" hidden="false" customHeight="false" outlineLevel="0" collapsed="false">
      <c r="A424" s="194"/>
      <c r="B424" s="194"/>
      <c r="C424" s="194"/>
      <c r="D424" s="194"/>
      <c r="E424" s="194"/>
      <c r="F424" s="194"/>
      <c r="G424" s="194"/>
      <c r="H424" s="194"/>
      <c r="I424" s="194"/>
      <c r="J424" s="194"/>
      <c r="K424" s="194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4"/>
      <c r="AA424" s="194"/>
      <c r="AB424" s="194"/>
      <c r="AC424" s="194"/>
      <c r="AD424" s="194"/>
    </row>
    <row r="425" customFormat="false" ht="15.75" hidden="false" customHeight="false" outlineLevel="0" collapsed="false">
      <c r="A425" s="194"/>
      <c r="B425" s="194"/>
      <c r="C425" s="194"/>
      <c r="D425" s="194"/>
      <c r="E425" s="194"/>
      <c r="F425" s="194"/>
      <c r="G425" s="194"/>
      <c r="H425" s="194"/>
      <c r="I425" s="194"/>
      <c r="J425" s="194"/>
      <c r="K425" s="194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4"/>
      <c r="AA425" s="194"/>
      <c r="AB425" s="194"/>
      <c r="AC425" s="194"/>
      <c r="AD425" s="194"/>
    </row>
    <row r="426" customFormat="false" ht="15.75" hidden="false" customHeight="false" outlineLevel="0" collapsed="false">
      <c r="A426" s="194"/>
      <c r="B426" s="194"/>
      <c r="C426" s="194"/>
      <c r="D426" s="194"/>
      <c r="E426" s="194"/>
      <c r="F426" s="194"/>
      <c r="G426" s="194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4"/>
      <c r="AA426" s="194"/>
      <c r="AB426" s="194"/>
      <c r="AC426" s="194"/>
      <c r="AD426" s="194"/>
    </row>
    <row r="427" customFormat="false" ht="15.75" hidden="false" customHeight="false" outlineLevel="0" collapsed="false">
      <c r="A427" s="194"/>
      <c r="B427" s="194"/>
      <c r="C427" s="194"/>
      <c r="D427" s="194"/>
      <c r="E427" s="194"/>
      <c r="F427" s="194"/>
      <c r="G427" s="194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4"/>
      <c r="AA427" s="194"/>
      <c r="AB427" s="194"/>
      <c r="AC427" s="194"/>
      <c r="AD427" s="194"/>
    </row>
    <row r="428" customFormat="false" ht="15.75" hidden="false" customHeight="false" outlineLevel="0" collapsed="false">
      <c r="A428" s="194"/>
      <c r="B428" s="194"/>
      <c r="C428" s="194"/>
      <c r="D428" s="194"/>
      <c r="E428" s="194"/>
      <c r="F428" s="194"/>
      <c r="G428" s="194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4"/>
      <c r="AA428" s="194"/>
      <c r="AB428" s="194"/>
      <c r="AC428" s="194"/>
      <c r="AD428" s="194"/>
    </row>
    <row r="429" customFormat="false" ht="15.75" hidden="false" customHeight="false" outlineLevel="0" collapsed="false">
      <c r="A429" s="194"/>
      <c r="B429" s="194"/>
      <c r="C429" s="194"/>
      <c r="D429" s="194"/>
      <c r="E429" s="194"/>
      <c r="F429" s="194"/>
      <c r="G429" s="194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4"/>
      <c r="AA429" s="194"/>
      <c r="AB429" s="194"/>
      <c r="AC429" s="194"/>
      <c r="AD429" s="194"/>
    </row>
    <row r="430" customFormat="false" ht="15.75" hidden="false" customHeight="false" outlineLevel="0" collapsed="false">
      <c r="A430" s="194"/>
      <c r="B430" s="194"/>
      <c r="C430" s="194"/>
      <c r="D430" s="194"/>
      <c r="E430" s="194"/>
      <c r="F430" s="194"/>
      <c r="G430" s="194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4"/>
      <c r="AA430" s="194"/>
      <c r="AB430" s="194"/>
      <c r="AC430" s="194"/>
      <c r="AD430" s="194"/>
    </row>
    <row r="431" customFormat="false" ht="15.75" hidden="false" customHeight="false" outlineLevel="0" collapsed="false">
      <c r="A431" s="194"/>
      <c r="B431" s="194"/>
      <c r="C431" s="194"/>
      <c r="D431" s="194"/>
      <c r="E431" s="194"/>
      <c r="F431" s="194"/>
      <c r="G431" s="194"/>
      <c r="H431" s="194"/>
      <c r="I431" s="194"/>
      <c r="J431" s="194"/>
      <c r="K431" s="194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4"/>
      <c r="AA431" s="194"/>
      <c r="AB431" s="194"/>
      <c r="AC431" s="194"/>
      <c r="AD431" s="194"/>
    </row>
    <row r="432" customFormat="false" ht="15.75" hidden="false" customHeight="false" outlineLevel="0" collapsed="false">
      <c r="A432" s="194"/>
      <c r="B432" s="194"/>
      <c r="C432" s="194"/>
      <c r="D432" s="194"/>
      <c r="E432" s="194"/>
      <c r="F432" s="194"/>
      <c r="G432" s="194"/>
      <c r="H432" s="194"/>
      <c r="I432" s="194"/>
      <c r="J432" s="194"/>
      <c r="K432" s="194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4"/>
      <c r="AA432" s="194"/>
      <c r="AB432" s="194"/>
      <c r="AC432" s="194"/>
      <c r="AD432" s="194"/>
    </row>
    <row r="433" customFormat="false" ht="15.75" hidden="false" customHeight="false" outlineLevel="0" collapsed="false">
      <c r="A433" s="194"/>
      <c r="B433" s="194"/>
      <c r="C433" s="194"/>
      <c r="D433" s="194"/>
      <c r="E433" s="194"/>
      <c r="F433" s="194"/>
      <c r="G433" s="194"/>
      <c r="H433" s="194"/>
      <c r="I433" s="194"/>
      <c r="J433" s="194"/>
      <c r="K433" s="194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4"/>
      <c r="AA433" s="194"/>
      <c r="AB433" s="194"/>
      <c r="AC433" s="194"/>
      <c r="AD433" s="194"/>
    </row>
    <row r="434" customFormat="false" ht="15.75" hidden="false" customHeight="false" outlineLevel="0" collapsed="false">
      <c r="A434" s="194"/>
      <c r="B434" s="194"/>
      <c r="C434" s="194"/>
      <c r="D434" s="194"/>
      <c r="E434" s="194"/>
      <c r="F434" s="194"/>
      <c r="G434" s="194"/>
      <c r="H434" s="194"/>
      <c r="I434" s="194"/>
      <c r="J434" s="194"/>
      <c r="K434" s="194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4"/>
      <c r="AA434" s="194"/>
      <c r="AB434" s="194"/>
      <c r="AC434" s="194"/>
      <c r="AD434" s="194"/>
    </row>
    <row r="435" customFormat="false" ht="15.75" hidden="false" customHeight="false" outlineLevel="0" collapsed="false">
      <c r="A435" s="194"/>
      <c r="B435" s="194"/>
      <c r="C435" s="194"/>
      <c r="D435" s="194"/>
      <c r="E435" s="194"/>
      <c r="F435" s="194"/>
      <c r="G435" s="194"/>
      <c r="H435" s="194"/>
      <c r="I435" s="194"/>
      <c r="J435" s="194"/>
      <c r="K435" s="194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4"/>
      <c r="AA435" s="194"/>
      <c r="AB435" s="194"/>
      <c r="AC435" s="194"/>
      <c r="AD435" s="194"/>
    </row>
    <row r="436" customFormat="false" ht="15.75" hidden="false" customHeight="false" outlineLevel="0" collapsed="false">
      <c r="A436" s="194"/>
      <c r="B436" s="194"/>
      <c r="C436" s="194"/>
      <c r="D436" s="194"/>
      <c r="E436" s="194"/>
      <c r="F436" s="194"/>
      <c r="G436" s="194"/>
      <c r="H436" s="194"/>
      <c r="I436" s="194"/>
      <c r="J436" s="194"/>
      <c r="K436" s="194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4"/>
      <c r="AA436" s="194"/>
      <c r="AB436" s="194"/>
      <c r="AC436" s="194"/>
      <c r="AD436" s="194"/>
    </row>
    <row r="437" customFormat="false" ht="15.75" hidden="false" customHeight="false" outlineLevel="0" collapsed="false">
      <c r="A437" s="194"/>
      <c r="B437" s="194"/>
      <c r="C437" s="194"/>
      <c r="D437" s="194"/>
      <c r="E437" s="194"/>
      <c r="F437" s="194"/>
      <c r="G437" s="194"/>
      <c r="H437" s="194"/>
      <c r="I437" s="194"/>
      <c r="J437" s="194"/>
      <c r="K437" s="194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4"/>
      <c r="AA437" s="194"/>
      <c r="AB437" s="194"/>
      <c r="AC437" s="194"/>
      <c r="AD437" s="194"/>
    </row>
    <row r="438" customFormat="false" ht="15.75" hidden="false" customHeight="false" outlineLevel="0" collapsed="false">
      <c r="A438" s="194"/>
      <c r="B438" s="194"/>
      <c r="C438" s="194"/>
      <c r="D438" s="194"/>
      <c r="E438" s="194"/>
      <c r="F438" s="194"/>
      <c r="G438" s="194"/>
      <c r="H438" s="194"/>
      <c r="I438" s="194"/>
      <c r="J438" s="194"/>
      <c r="K438" s="194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4"/>
      <c r="AA438" s="194"/>
      <c r="AB438" s="194"/>
      <c r="AC438" s="194"/>
      <c r="AD438" s="194"/>
    </row>
    <row r="439" customFormat="false" ht="15.75" hidden="false" customHeight="false" outlineLevel="0" collapsed="false">
      <c r="A439" s="194"/>
      <c r="B439" s="194"/>
      <c r="C439" s="194"/>
      <c r="D439" s="194"/>
      <c r="E439" s="194"/>
      <c r="F439" s="194"/>
      <c r="G439" s="194"/>
      <c r="H439" s="194"/>
      <c r="I439" s="194"/>
      <c r="J439" s="194"/>
      <c r="K439" s="194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4"/>
      <c r="AA439" s="194"/>
      <c r="AB439" s="194"/>
      <c r="AC439" s="194"/>
      <c r="AD439" s="194"/>
    </row>
    <row r="440" customFormat="false" ht="15.75" hidden="false" customHeight="false" outlineLevel="0" collapsed="false">
      <c r="A440" s="194"/>
      <c r="B440" s="194"/>
      <c r="C440" s="194"/>
      <c r="D440" s="194"/>
      <c r="E440" s="194"/>
      <c r="F440" s="194"/>
      <c r="G440" s="194"/>
      <c r="H440" s="194"/>
      <c r="I440" s="194"/>
      <c r="J440" s="194"/>
      <c r="K440" s="194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4"/>
      <c r="AA440" s="194"/>
      <c r="AB440" s="194"/>
      <c r="AC440" s="194"/>
      <c r="AD440" s="194"/>
    </row>
    <row r="441" customFormat="false" ht="15.75" hidden="false" customHeight="false" outlineLevel="0" collapsed="false">
      <c r="A441" s="194"/>
      <c r="B441" s="194"/>
      <c r="C441" s="194"/>
      <c r="D441" s="194"/>
      <c r="E441" s="194"/>
      <c r="F441" s="194"/>
      <c r="G441" s="194"/>
      <c r="H441" s="194"/>
      <c r="I441" s="194"/>
      <c r="J441" s="194"/>
      <c r="K441" s="194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4"/>
      <c r="AA441" s="194"/>
      <c r="AB441" s="194"/>
      <c r="AC441" s="194"/>
      <c r="AD441" s="194"/>
    </row>
    <row r="442" customFormat="false" ht="15.75" hidden="false" customHeight="false" outlineLevel="0" collapsed="false">
      <c r="A442" s="194"/>
      <c r="B442" s="194"/>
      <c r="C442" s="194"/>
      <c r="D442" s="194"/>
      <c r="E442" s="194"/>
      <c r="F442" s="194"/>
      <c r="G442" s="194"/>
      <c r="H442" s="194"/>
      <c r="I442" s="194"/>
      <c r="J442" s="194"/>
      <c r="K442" s="194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4"/>
      <c r="AA442" s="194"/>
      <c r="AB442" s="194"/>
      <c r="AC442" s="194"/>
      <c r="AD442" s="194"/>
    </row>
    <row r="443" customFormat="false" ht="15.75" hidden="false" customHeight="false" outlineLevel="0" collapsed="false">
      <c r="A443" s="194"/>
      <c r="B443" s="194"/>
      <c r="C443" s="194"/>
      <c r="D443" s="194"/>
      <c r="E443" s="194"/>
      <c r="F443" s="194"/>
      <c r="G443" s="194"/>
      <c r="H443" s="194"/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4"/>
      <c r="AA443" s="194"/>
      <c r="AB443" s="194"/>
      <c r="AC443" s="194"/>
      <c r="AD443" s="194"/>
    </row>
    <row r="444" customFormat="false" ht="15.75" hidden="false" customHeight="false" outlineLevel="0" collapsed="false">
      <c r="A444" s="194"/>
      <c r="B444" s="194"/>
      <c r="C444" s="194"/>
      <c r="D444" s="194"/>
      <c r="E444" s="194"/>
      <c r="F444" s="194"/>
      <c r="G444" s="194"/>
      <c r="H444" s="194"/>
      <c r="I444" s="194"/>
      <c r="J444" s="194"/>
      <c r="K444" s="194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4"/>
      <c r="AA444" s="194"/>
      <c r="AB444" s="194"/>
      <c r="AC444" s="194"/>
      <c r="AD444" s="194"/>
    </row>
    <row r="445" customFormat="false" ht="15.75" hidden="false" customHeight="false" outlineLevel="0" collapsed="false">
      <c r="A445" s="194"/>
      <c r="B445" s="194"/>
      <c r="C445" s="194"/>
      <c r="D445" s="194"/>
      <c r="E445" s="194"/>
      <c r="F445" s="194"/>
      <c r="G445" s="194"/>
      <c r="H445" s="194"/>
      <c r="I445" s="194"/>
      <c r="J445" s="194"/>
      <c r="K445" s="194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4"/>
      <c r="AA445" s="194"/>
      <c r="AB445" s="194"/>
      <c r="AC445" s="194"/>
      <c r="AD445" s="194"/>
    </row>
    <row r="446" customFormat="false" ht="15.75" hidden="false" customHeight="false" outlineLevel="0" collapsed="false">
      <c r="A446" s="194"/>
      <c r="B446" s="194"/>
      <c r="C446" s="194"/>
      <c r="D446" s="194"/>
      <c r="E446" s="194"/>
      <c r="F446" s="194"/>
      <c r="G446" s="194"/>
      <c r="H446" s="194"/>
      <c r="I446" s="194"/>
      <c r="J446" s="194"/>
      <c r="K446" s="194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4"/>
      <c r="AA446" s="194"/>
      <c r="AB446" s="194"/>
      <c r="AC446" s="194"/>
      <c r="AD446" s="194"/>
    </row>
    <row r="447" customFormat="false" ht="15.75" hidden="false" customHeight="false" outlineLevel="0" collapsed="false">
      <c r="A447" s="194"/>
      <c r="B447" s="194"/>
      <c r="C447" s="194"/>
      <c r="D447" s="194"/>
      <c r="E447" s="194"/>
      <c r="F447" s="194"/>
      <c r="G447" s="194"/>
      <c r="H447" s="194"/>
      <c r="I447" s="194"/>
      <c r="J447" s="194"/>
      <c r="K447" s="194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4"/>
      <c r="AA447" s="194"/>
      <c r="AB447" s="194"/>
      <c r="AC447" s="194"/>
      <c r="AD447" s="194"/>
    </row>
    <row r="448" customFormat="false" ht="15.75" hidden="false" customHeight="false" outlineLevel="0" collapsed="false">
      <c r="A448" s="194"/>
      <c r="B448" s="194"/>
      <c r="C448" s="194"/>
      <c r="D448" s="194"/>
      <c r="E448" s="194"/>
      <c r="F448" s="194"/>
      <c r="G448" s="194"/>
      <c r="H448" s="194"/>
      <c r="I448" s="194"/>
      <c r="J448" s="194"/>
      <c r="K448" s="194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4"/>
      <c r="AA448" s="194"/>
      <c r="AB448" s="194"/>
      <c r="AC448" s="194"/>
      <c r="AD448" s="194"/>
    </row>
    <row r="449" customFormat="false" ht="15.75" hidden="false" customHeight="false" outlineLevel="0" collapsed="false">
      <c r="A449" s="194"/>
      <c r="B449" s="194"/>
      <c r="C449" s="194"/>
      <c r="D449" s="194"/>
      <c r="E449" s="194"/>
      <c r="F449" s="194"/>
      <c r="G449" s="194"/>
      <c r="H449" s="194"/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4"/>
      <c r="AA449" s="194"/>
      <c r="AB449" s="194"/>
      <c r="AC449" s="194"/>
      <c r="AD449" s="194"/>
    </row>
    <row r="450" customFormat="false" ht="15.75" hidden="false" customHeight="false" outlineLevel="0" collapsed="false">
      <c r="A450" s="194"/>
      <c r="B450" s="194"/>
      <c r="C450" s="194"/>
      <c r="D450" s="194"/>
      <c r="E450" s="194"/>
      <c r="F450" s="194"/>
      <c r="G450" s="194"/>
      <c r="H450" s="194"/>
      <c r="I450" s="194"/>
      <c r="J450" s="194"/>
      <c r="K450" s="194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4"/>
      <c r="AA450" s="194"/>
      <c r="AB450" s="194"/>
      <c r="AC450" s="194"/>
      <c r="AD450" s="194"/>
    </row>
    <row r="451" customFormat="false" ht="15.75" hidden="false" customHeight="false" outlineLevel="0" collapsed="false">
      <c r="A451" s="194"/>
      <c r="B451" s="194"/>
      <c r="C451" s="194"/>
      <c r="D451" s="194"/>
      <c r="E451" s="194"/>
      <c r="F451" s="194"/>
      <c r="G451" s="194"/>
      <c r="H451" s="194"/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4"/>
      <c r="AA451" s="194"/>
      <c r="AB451" s="194"/>
      <c r="AC451" s="194"/>
      <c r="AD451" s="194"/>
    </row>
    <row r="452" customFormat="false" ht="15.75" hidden="false" customHeight="false" outlineLevel="0" collapsed="false">
      <c r="A452" s="194"/>
      <c r="B452" s="194"/>
      <c r="C452" s="194"/>
      <c r="D452" s="194"/>
      <c r="E452" s="194"/>
      <c r="F452" s="194"/>
      <c r="G452" s="194"/>
      <c r="H452" s="194"/>
      <c r="I452" s="194"/>
      <c r="J452" s="194"/>
      <c r="K452" s="194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4"/>
      <c r="AA452" s="194"/>
      <c r="AB452" s="194"/>
      <c r="AC452" s="194"/>
      <c r="AD452" s="194"/>
    </row>
    <row r="453" customFormat="false" ht="15.75" hidden="false" customHeight="false" outlineLevel="0" collapsed="false">
      <c r="A453" s="194"/>
      <c r="B453" s="194"/>
      <c r="C453" s="194"/>
      <c r="D453" s="194"/>
      <c r="E453" s="194"/>
      <c r="F453" s="194"/>
      <c r="G453" s="194"/>
      <c r="H453" s="194"/>
      <c r="I453" s="194"/>
      <c r="J453" s="194"/>
      <c r="K453" s="194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4"/>
      <c r="AA453" s="194"/>
      <c r="AB453" s="194"/>
      <c r="AC453" s="194"/>
      <c r="AD453" s="194"/>
    </row>
    <row r="454" customFormat="false" ht="15.75" hidden="false" customHeight="false" outlineLevel="0" collapsed="false">
      <c r="A454" s="194"/>
      <c r="B454" s="194"/>
      <c r="C454" s="194"/>
      <c r="D454" s="194"/>
      <c r="E454" s="194"/>
      <c r="F454" s="194"/>
      <c r="G454" s="194"/>
      <c r="H454" s="194"/>
      <c r="I454" s="194"/>
      <c r="J454" s="194"/>
      <c r="K454" s="194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4"/>
      <c r="AA454" s="194"/>
      <c r="AB454" s="194"/>
      <c r="AC454" s="194"/>
      <c r="AD454" s="194"/>
    </row>
    <row r="455" customFormat="false" ht="15.75" hidden="false" customHeight="false" outlineLevel="0" collapsed="false">
      <c r="A455" s="194"/>
      <c r="B455" s="194"/>
      <c r="C455" s="194"/>
      <c r="D455" s="194"/>
      <c r="E455" s="194"/>
      <c r="F455" s="194"/>
      <c r="G455" s="194"/>
      <c r="H455" s="194"/>
      <c r="I455" s="194"/>
      <c r="J455" s="194"/>
      <c r="K455" s="194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4"/>
      <c r="AA455" s="194"/>
      <c r="AB455" s="194"/>
      <c r="AC455" s="194"/>
      <c r="AD455" s="194"/>
    </row>
    <row r="456" customFormat="false" ht="15.75" hidden="false" customHeight="false" outlineLevel="0" collapsed="false">
      <c r="A456" s="194"/>
      <c r="B456" s="194"/>
      <c r="C456" s="194"/>
      <c r="D456" s="194"/>
      <c r="E456" s="194"/>
      <c r="F456" s="194"/>
      <c r="G456" s="194"/>
      <c r="H456" s="194"/>
      <c r="I456" s="194"/>
      <c r="J456" s="194"/>
      <c r="K456" s="194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4"/>
      <c r="AA456" s="194"/>
      <c r="AB456" s="194"/>
      <c r="AC456" s="194"/>
      <c r="AD456" s="194"/>
    </row>
    <row r="457" customFormat="false" ht="15.75" hidden="false" customHeight="false" outlineLevel="0" collapsed="false">
      <c r="A457" s="194"/>
      <c r="B457" s="194"/>
      <c r="C457" s="194"/>
      <c r="D457" s="194"/>
      <c r="E457" s="194"/>
      <c r="F457" s="194"/>
      <c r="G457" s="194"/>
      <c r="H457" s="194"/>
      <c r="I457" s="194"/>
      <c r="J457" s="194"/>
      <c r="K457" s="194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4"/>
      <c r="AA457" s="194"/>
      <c r="AB457" s="194"/>
      <c r="AC457" s="194"/>
      <c r="AD457" s="194"/>
    </row>
    <row r="458" customFormat="false" ht="15.75" hidden="false" customHeight="false" outlineLevel="0" collapsed="false">
      <c r="A458" s="194"/>
      <c r="B458" s="194"/>
      <c r="C458" s="194"/>
      <c r="D458" s="194"/>
      <c r="E458" s="194"/>
      <c r="F458" s="194"/>
      <c r="G458" s="194"/>
      <c r="H458" s="194"/>
      <c r="I458" s="194"/>
      <c r="J458" s="194"/>
      <c r="K458" s="194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4"/>
      <c r="AA458" s="194"/>
      <c r="AB458" s="194"/>
      <c r="AC458" s="194"/>
      <c r="AD458" s="194"/>
    </row>
    <row r="459" customFormat="false" ht="15.75" hidden="false" customHeight="false" outlineLevel="0" collapsed="false">
      <c r="A459" s="194"/>
      <c r="B459" s="194"/>
      <c r="C459" s="194"/>
      <c r="D459" s="194"/>
      <c r="E459" s="194"/>
      <c r="F459" s="194"/>
      <c r="G459" s="194"/>
      <c r="H459" s="194"/>
      <c r="I459" s="194"/>
      <c r="J459" s="194"/>
      <c r="K459" s="194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4"/>
      <c r="AA459" s="194"/>
      <c r="AB459" s="194"/>
      <c r="AC459" s="194"/>
      <c r="AD459" s="194"/>
    </row>
    <row r="460" customFormat="false" ht="15.75" hidden="false" customHeight="false" outlineLevel="0" collapsed="false">
      <c r="A460" s="194"/>
      <c r="B460" s="194"/>
      <c r="C460" s="194"/>
      <c r="D460" s="194"/>
      <c r="E460" s="194"/>
      <c r="F460" s="194"/>
      <c r="G460" s="194"/>
      <c r="H460" s="194"/>
      <c r="I460" s="194"/>
      <c r="J460" s="194"/>
      <c r="K460" s="194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4"/>
      <c r="AA460" s="194"/>
      <c r="AB460" s="194"/>
      <c r="AC460" s="194"/>
      <c r="AD460" s="194"/>
    </row>
    <row r="461" customFormat="false" ht="15.75" hidden="false" customHeight="false" outlineLevel="0" collapsed="false">
      <c r="A461" s="194"/>
      <c r="B461" s="194"/>
      <c r="C461" s="194"/>
      <c r="D461" s="194"/>
      <c r="E461" s="194"/>
      <c r="F461" s="194"/>
      <c r="G461" s="194"/>
      <c r="H461" s="194"/>
      <c r="I461" s="194"/>
      <c r="J461" s="194"/>
      <c r="K461" s="194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4"/>
      <c r="AA461" s="194"/>
      <c r="AB461" s="194"/>
      <c r="AC461" s="194"/>
      <c r="AD461" s="194"/>
    </row>
    <row r="462" customFormat="false" ht="15.75" hidden="false" customHeight="false" outlineLevel="0" collapsed="false">
      <c r="A462" s="194"/>
      <c r="B462" s="194"/>
      <c r="C462" s="194"/>
      <c r="D462" s="194"/>
      <c r="E462" s="194"/>
      <c r="F462" s="194"/>
      <c r="G462" s="194"/>
      <c r="H462" s="194"/>
      <c r="I462" s="194"/>
      <c r="J462" s="194"/>
      <c r="K462" s="194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4"/>
      <c r="AA462" s="194"/>
      <c r="AB462" s="194"/>
      <c r="AC462" s="194"/>
      <c r="AD462" s="194"/>
    </row>
    <row r="463" customFormat="false" ht="15.75" hidden="false" customHeight="false" outlineLevel="0" collapsed="false">
      <c r="A463" s="194"/>
      <c r="B463" s="194"/>
      <c r="C463" s="194"/>
      <c r="D463" s="194"/>
      <c r="E463" s="194"/>
      <c r="F463" s="194"/>
      <c r="G463" s="194"/>
      <c r="H463" s="194"/>
      <c r="I463" s="194"/>
      <c r="J463" s="194"/>
      <c r="K463" s="194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4"/>
      <c r="AA463" s="194"/>
      <c r="AB463" s="194"/>
      <c r="AC463" s="194"/>
      <c r="AD463" s="194"/>
    </row>
    <row r="464" customFormat="false" ht="15.75" hidden="false" customHeight="false" outlineLevel="0" collapsed="false">
      <c r="A464" s="194"/>
      <c r="B464" s="194"/>
      <c r="C464" s="194"/>
      <c r="D464" s="194"/>
      <c r="E464" s="194"/>
      <c r="F464" s="194"/>
      <c r="G464" s="194"/>
      <c r="H464" s="194"/>
      <c r="I464" s="194"/>
      <c r="J464" s="194"/>
      <c r="K464" s="194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4"/>
      <c r="AA464" s="194"/>
      <c r="AB464" s="194"/>
      <c r="AC464" s="194"/>
      <c r="AD464" s="194"/>
    </row>
    <row r="465" customFormat="false" ht="15.75" hidden="false" customHeight="false" outlineLevel="0" collapsed="false">
      <c r="A465" s="194"/>
      <c r="B465" s="194"/>
      <c r="C465" s="194"/>
      <c r="D465" s="194"/>
      <c r="E465" s="194"/>
      <c r="F465" s="194"/>
      <c r="G465" s="194"/>
      <c r="H465" s="194"/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4"/>
      <c r="AA465" s="194"/>
      <c r="AB465" s="194"/>
      <c r="AC465" s="194"/>
      <c r="AD465" s="194"/>
    </row>
    <row r="466" customFormat="false" ht="15.75" hidden="false" customHeight="false" outlineLevel="0" collapsed="false">
      <c r="A466" s="194"/>
      <c r="B466" s="194"/>
      <c r="C466" s="194"/>
      <c r="D466" s="194"/>
      <c r="E466" s="194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  <c r="AA466" s="194"/>
      <c r="AB466" s="194"/>
      <c r="AC466" s="194"/>
      <c r="AD466" s="194"/>
    </row>
    <row r="467" customFormat="false" ht="15.75" hidden="false" customHeight="false" outlineLevel="0" collapsed="false">
      <c r="A467" s="194"/>
      <c r="B467" s="194"/>
      <c r="C467" s="194"/>
      <c r="D467" s="194"/>
      <c r="E467" s="194"/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  <c r="AA467" s="194"/>
      <c r="AB467" s="194"/>
      <c r="AC467" s="194"/>
      <c r="AD467" s="194"/>
    </row>
    <row r="468" customFormat="false" ht="15.75" hidden="false" customHeight="false" outlineLevel="0" collapsed="false">
      <c r="A468" s="194"/>
      <c r="B468" s="194"/>
      <c r="C468" s="194"/>
      <c r="D468" s="194"/>
      <c r="E468" s="194"/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  <c r="AA468" s="194"/>
      <c r="AB468" s="194"/>
      <c r="AC468" s="194"/>
      <c r="AD468" s="194"/>
    </row>
    <row r="469" customFormat="false" ht="15.75" hidden="false" customHeight="false" outlineLevel="0" collapsed="false">
      <c r="A469" s="194"/>
      <c r="B469" s="194"/>
      <c r="C469" s="194"/>
      <c r="D469" s="194"/>
      <c r="E469" s="194"/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4"/>
      <c r="AA469" s="194"/>
      <c r="AB469" s="194"/>
      <c r="AC469" s="194"/>
      <c r="AD469" s="194"/>
    </row>
    <row r="470" customFormat="false" ht="15.75" hidden="false" customHeight="false" outlineLevel="0" collapsed="false">
      <c r="A470" s="194"/>
      <c r="B470" s="194"/>
      <c r="C470" s="194"/>
      <c r="D470" s="194"/>
      <c r="E470" s="194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  <c r="AA470" s="194"/>
      <c r="AB470" s="194"/>
      <c r="AC470" s="194"/>
      <c r="AD470" s="194"/>
    </row>
    <row r="471" customFormat="false" ht="15.75" hidden="false" customHeight="false" outlineLevel="0" collapsed="false">
      <c r="A471" s="194"/>
      <c r="B471" s="194"/>
      <c r="C471" s="194"/>
      <c r="D471" s="194"/>
      <c r="E471" s="194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  <c r="AA471" s="194"/>
      <c r="AB471" s="194"/>
      <c r="AC471" s="194"/>
      <c r="AD471" s="194"/>
    </row>
    <row r="472" customFormat="false" ht="15.75" hidden="false" customHeight="false" outlineLevel="0" collapsed="false">
      <c r="A472" s="194"/>
      <c r="B472" s="194"/>
      <c r="C472" s="194"/>
      <c r="D472" s="194"/>
      <c r="E472" s="194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  <c r="AA472" s="194"/>
      <c r="AB472" s="194"/>
      <c r="AC472" s="194"/>
      <c r="AD472" s="194"/>
    </row>
    <row r="473" customFormat="false" ht="15.75" hidden="false" customHeight="false" outlineLevel="0" collapsed="false">
      <c r="A473" s="194"/>
      <c r="B473" s="194"/>
      <c r="C473" s="194"/>
      <c r="D473" s="194"/>
      <c r="E473" s="194"/>
      <c r="F473" s="194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4"/>
      <c r="AA473" s="194"/>
      <c r="AB473" s="194"/>
      <c r="AC473" s="194"/>
      <c r="AD473" s="194"/>
    </row>
    <row r="474" customFormat="false" ht="15.75" hidden="false" customHeight="false" outlineLevel="0" collapsed="false">
      <c r="A474" s="194"/>
      <c r="B474" s="194"/>
      <c r="C474" s="194"/>
      <c r="D474" s="194"/>
      <c r="E474" s="194"/>
      <c r="F474" s="194"/>
      <c r="G474" s="194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4"/>
      <c r="AA474" s="194"/>
      <c r="AB474" s="194"/>
      <c r="AC474" s="194"/>
      <c r="AD474" s="194"/>
    </row>
    <row r="475" customFormat="false" ht="15.75" hidden="false" customHeight="false" outlineLevel="0" collapsed="false">
      <c r="A475" s="194"/>
      <c r="B475" s="194"/>
      <c r="C475" s="194"/>
      <c r="D475" s="194"/>
      <c r="E475" s="194"/>
      <c r="F475" s="194"/>
      <c r="G475" s="194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4"/>
      <c r="AA475" s="194"/>
      <c r="AB475" s="194"/>
      <c r="AC475" s="194"/>
      <c r="AD475" s="194"/>
    </row>
    <row r="476" customFormat="false" ht="15.75" hidden="false" customHeight="false" outlineLevel="0" collapsed="false">
      <c r="A476" s="194"/>
      <c r="B476" s="194"/>
      <c r="C476" s="194"/>
      <c r="D476" s="194"/>
      <c r="E476" s="194"/>
      <c r="F476" s="194"/>
      <c r="G476" s="194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4"/>
      <c r="AA476" s="194"/>
      <c r="AB476" s="194"/>
      <c r="AC476" s="194"/>
      <c r="AD476" s="194"/>
    </row>
    <row r="477" customFormat="false" ht="15.75" hidden="false" customHeight="false" outlineLevel="0" collapsed="false">
      <c r="A477" s="194"/>
      <c r="B477" s="194"/>
      <c r="C477" s="194"/>
      <c r="D477" s="194"/>
      <c r="E477" s="194"/>
      <c r="F477" s="194"/>
      <c r="G477" s="194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4"/>
      <c r="AA477" s="194"/>
      <c r="AB477" s="194"/>
      <c r="AC477" s="194"/>
      <c r="AD477" s="194"/>
    </row>
    <row r="478" customFormat="false" ht="15.75" hidden="false" customHeight="false" outlineLevel="0" collapsed="false">
      <c r="A478" s="194"/>
      <c r="B478" s="194"/>
      <c r="C478" s="194"/>
      <c r="D478" s="194"/>
      <c r="E478" s="194"/>
      <c r="F478" s="194"/>
      <c r="G478" s="194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4"/>
      <c r="AA478" s="194"/>
      <c r="AB478" s="194"/>
      <c r="AC478" s="194"/>
      <c r="AD478" s="194"/>
    </row>
    <row r="479" customFormat="false" ht="15.75" hidden="false" customHeight="false" outlineLevel="0" collapsed="false">
      <c r="A479" s="194"/>
      <c r="B479" s="194"/>
      <c r="C479" s="194"/>
      <c r="D479" s="194"/>
      <c r="E479" s="194"/>
      <c r="F479" s="194"/>
      <c r="G479" s="194"/>
      <c r="H479" s="194"/>
      <c r="I479" s="194"/>
      <c r="J479" s="194"/>
      <c r="K479" s="194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4"/>
      <c r="AA479" s="194"/>
      <c r="AB479" s="194"/>
      <c r="AC479" s="194"/>
      <c r="AD479" s="194"/>
    </row>
    <row r="480" customFormat="false" ht="15.75" hidden="false" customHeight="false" outlineLevel="0" collapsed="false">
      <c r="A480" s="194"/>
      <c r="B480" s="194"/>
      <c r="C480" s="194"/>
      <c r="D480" s="194"/>
      <c r="E480" s="194"/>
      <c r="F480" s="194"/>
      <c r="G480" s="194"/>
      <c r="H480" s="194"/>
      <c r="I480" s="194"/>
      <c r="J480" s="194"/>
      <c r="K480" s="194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4"/>
      <c r="AA480" s="194"/>
      <c r="AB480" s="194"/>
      <c r="AC480" s="194"/>
      <c r="AD480" s="194"/>
    </row>
    <row r="481" customFormat="false" ht="15.75" hidden="false" customHeight="false" outlineLevel="0" collapsed="false">
      <c r="A481" s="194"/>
      <c r="B481" s="194"/>
      <c r="C481" s="194"/>
      <c r="D481" s="194"/>
      <c r="E481" s="194"/>
      <c r="F481" s="194"/>
      <c r="G481" s="194"/>
      <c r="H481" s="194"/>
      <c r="I481" s="194"/>
      <c r="J481" s="194"/>
      <c r="K481" s="194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4"/>
      <c r="AA481" s="194"/>
      <c r="AB481" s="194"/>
      <c r="AC481" s="194"/>
      <c r="AD481" s="194"/>
    </row>
    <row r="482" customFormat="false" ht="15.75" hidden="false" customHeight="false" outlineLevel="0" collapsed="false">
      <c r="A482" s="194"/>
      <c r="B482" s="194"/>
      <c r="C482" s="194"/>
      <c r="D482" s="194"/>
      <c r="E482" s="194"/>
      <c r="F482" s="194"/>
      <c r="G482" s="194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4"/>
      <c r="AA482" s="194"/>
      <c r="AB482" s="194"/>
      <c r="AC482" s="194"/>
      <c r="AD482" s="194"/>
    </row>
    <row r="483" customFormat="false" ht="15.75" hidden="false" customHeight="false" outlineLevel="0" collapsed="false">
      <c r="A483" s="194"/>
      <c r="B483" s="194"/>
      <c r="C483" s="194"/>
      <c r="D483" s="194"/>
      <c r="E483" s="194"/>
      <c r="F483" s="194"/>
      <c r="G483" s="194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4"/>
      <c r="AA483" s="194"/>
      <c r="AB483" s="194"/>
      <c r="AC483" s="194"/>
      <c r="AD483" s="194"/>
    </row>
    <row r="484" customFormat="false" ht="15.75" hidden="false" customHeight="false" outlineLevel="0" collapsed="false">
      <c r="A484" s="194"/>
      <c r="B484" s="194"/>
      <c r="C484" s="194"/>
      <c r="D484" s="194"/>
      <c r="E484" s="194"/>
      <c r="F484" s="194"/>
      <c r="G484" s="194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4"/>
      <c r="AA484" s="194"/>
      <c r="AB484" s="194"/>
      <c r="AC484" s="194"/>
      <c r="AD484" s="194"/>
    </row>
    <row r="485" customFormat="false" ht="15.75" hidden="false" customHeight="false" outlineLevel="0" collapsed="false">
      <c r="A485" s="194"/>
      <c r="B485" s="194"/>
      <c r="C485" s="194"/>
      <c r="D485" s="194"/>
      <c r="E485" s="194"/>
      <c r="F485" s="194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4"/>
      <c r="AA485" s="194"/>
      <c r="AB485" s="194"/>
      <c r="AC485" s="194"/>
      <c r="AD485" s="194"/>
    </row>
    <row r="486" customFormat="false" ht="15.75" hidden="false" customHeight="false" outlineLevel="0" collapsed="false">
      <c r="A486" s="194"/>
      <c r="B486" s="194"/>
      <c r="C486" s="194"/>
      <c r="D486" s="194"/>
      <c r="E486" s="194"/>
      <c r="F486" s="194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4"/>
      <c r="AA486" s="194"/>
      <c r="AB486" s="194"/>
      <c r="AC486" s="194"/>
      <c r="AD486" s="194"/>
    </row>
    <row r="487" customFormat="false" ht="15.75" hidden="false" customHeight="false" outlineLevel="0" collapsed="false">
      <c r="A487" s="194"/>
      <c r="B487" s="194"/>
      <c r="C487" s="194"/>
      <c r="D487" s="194"/>
      <c r="E487" s="194"/>
      <c r="F487" s="194"/>
      <c r="G487" s="194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4"/>
      <c r="AA487" s="194"/>
      <c r="AB487" s="194"/>
      <c r="AC487" s="194"/>
      <c r="AD487" s="194"/>
    </row>
    <row r="488" customFormat="false" ht="15.75" hidden="false" customHeight="false" outlineLevel="0" collapsed="false">
      <c r="A488" s="194"/>
      <c r="B488" s="194"/>
      <c r="C488" s="194"/>
      <c r="D488" s="194"/>
      <c r="E488" s="194"/>
      <c r="F488" s="194"/>
      <c r="G488" s="194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4"/>
      <c r="AA488" s="194"/>
      <c r="AB488" s="194"/>
      <c r="AC488" s="194"/>
      <c r="AD488" s="194"/>
    </row>
    <row r="489" customFormat="false" ht="15.75" hidden="false" customHeight="false" outlineLevel="0" collapsed="false">
      <c r="A489" s="194"/>
      <c r="B489" s="194"/>
      <c r="C489" s="194"/>
      <c r="D489" s="194"/>
      <c r="E489" s="194"/>
      <c r="F489" s="194"/>
      <c r="G489" s="194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4"/>
      <c r="AA489" s="194"/>
      <c r="AB489" s="194"/>
      <c r="AC489" s="194"/>
      <c r="AD489" s="194"/>
    </row>
    <row r="490" customFormat="false" ht="15.75" hidden="false" customHeight="false" outlineLevel="0" collapsed="false">
      <c r="A490" s="194"/>
      <c r="B490" s="194"/>
      <c r="C490" s="194"/>
      <c r="D490" s="194"/>
      <c r="E490" s="194"/>
      <c r="F490" s="194"/>
      <c r="G490" s="194"/>
      <c r="H490" s="194"/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4"/>
      <c r="AA490" s="194"/>
      <c r="AB490" s="194"/>
      <c r="AC490" s="194"/>
      <c r="AD490" s="194"/>
    </row>
    <row r="491" customFormat="false" ht="15.75" hidden="false" customHeight="false" outlineLevel="0" collapsed="false">
      <c r="A491" s="194"/>
      <c r="B491" s="194"/>
      <c r="C491" s="194"/>
      <c r="D491" s="194"/>
      <c r="E491" s="194"/>
      <c r="F491" s="194"/>
      <c r="G491" s="194"/>
      <c r="H491" s="194"/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4"/>
      <c r="AA491" s="194"/>
      <c r="AB491" s="194"/>
      <c r="AC491" s="194"/>
      <c r="AD491" s="194"/>
    </row>
    <row r="492" customFormat="false" ht="15.75" hidden="false" customHeight="false" outlineLevel="0" collapsed="false">
      <c r="A492" s="194"/>
      <c r="B492" s="194"/>
      <c r="C492" s="194"/>
      <c r="D492" s="194"/>
      <c r="E492" s="194"/>
      <c r="F492" s="194"/>
      <c r="G492" s="194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4"/>
      <c r="AA492" s="194"/>
      <c r="AB492" s="194"/>
      <c r="AC492" s="194"/>
      <c r="AD492" s="194"/>
    </row>
    <row r="493" customFormat="false" ht="15.75" hidden="false" customHeight="false" outlineLevel="0" collapsed="false">
      <c r="A493" s="194"/>
      <c r="B493" s="194"/>
      <c r="C493" s="194"/>
      <c r="D493" s="194"/>
      <c r="E493" s="194"/>
      <c r="F493" s="194"/>
      <c r="G493" s="194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4"/>
      <c r="AA493" s="194"/>
      <c r="AB493" s="194"/>
      <c r="AC493" s="194"/>
      <c r="AD493" s="194"/>
    </row>
    <row r="494" customFormat="false" ht="15.75" hidden="false" customHeight="false" outlineLevel="0" collapsed="false">
      <c r="A494" s="194"/>
      <c r="B494" s="194"/>
      <c r="C494" s="194"/>
      <c r="D494" s="194"/>
      <c r="E494" s="194"/>
      <c r="F494" s="194"/>
      <c r="G494" s="194"/>
      <c r="H494" s="194"/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4"/>
      <c r="AA494" s="194"/>
      <c r="AB494" s="194"/>
      <c r="AC494" s="194"/>
      <c r="AD494" s="194"/>
    </row>
    <row r="495" customFormat="false" ht="15.75" hidden="false" customHeight="false" outlineLevel="0" collapsed="false">
      <c r="A495" s="194"/>
      <c r="B495" s="194"/>
      <c r="C495" s="194"/>
      <c r="D495" s="194"/>
      <c r="E495" s="194"/>
      <c r="F495" s="194"/>
      <c r="G495" s="194"/>
      <c r="H495" s="194"/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4"/>
      <c r="AA495" s="194"/>
      <c r="AB495" s="194"/>
      <c r="AC495" s="194"/>
      <c r="AD495" s="194"/>
    </row>
    <row r="496" customFormat="false" ht="15.75" hidden="false" customHeight="false" outlineLevel="0" collapsed="false">
      <c r="A496" s="194"/>
      <c r="B496" s="194"/>
      <c r="C496" s="194"/>
      <c r="D496" s="194"/>
      <c r="E496" s="194"/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4"/>
      <c r="AA496" s="194"/>
      <c r="AB496" s="194"/>
      <c r="AC496" s="194"/>
      <c r="AD496" s="194"/>
    </row>
    <row r="497" customFormat="false" ht="15.75" hidden="false" customHeight="false" outlineLevel="0" collapsed="false">
      <c r="A497" s="194"/>
      <c r="B497" s="194"/>
      <c r="C497" s="194"/>
      <c r="D497" s="194"/>
      <c r="E497" s="194"/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4"/>
      <c r="AA497" s="194"/>
      <c r="AB497" s="194"/>
      <c r="AC497" s="194"/>
      <c r="AD497" s="194"/>
    </row>
    <row r="498" customFormat="false" ht="15.75" hidden="false" customHeight="false" outlineLevel="0" collapsed="false">
      <c r="A498" s="194"/>
      <c r="B498" s="194"/>
      <c r="C498" s="194"/>
      <c r="D498" s="194"/>
      <c r="E498" s="194"/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  <c r="AA498" s="194"/>
      <c r="AB498" s="194"/>
      <c r="AC498" s="194"/>
      <c r="AD498" s="194"/>
    </row>
    <row r="499" customFormat="false" ht="15.75" hidden="false" customHeight="false" outlineLevel="0" collapsed="false">
      <c r="A499" s="194"/>
      <c r="B499" s="194"/>
      <c r="C499" s="194"/>
      <c r="D499" s="194"/>
      <c r="E499" s="194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  <c r="AA499" s="194"/>
      <c r="AB499" s="194"/>
      <c r="AC499" s="194"/>
      <c r="AD499" s="194"/>
    </row>
    <row r="500" customFormat="false" ht="15.75" hidden="false" customHeight="false" outlineLevel="0" collapsed="false">
      <c r="A500" s="194"/>
      <c r="B500" s="194"/>
      <c r="C500" s="194"/>
      <c r="D500" s="194"/>
      <c r="E500" s="194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  <c r="AA500" s="194"/>
      <c r="AB500" s="194"/>
      <c r="AC500" s="194"/>
      <c r="AD500" s="194"/>
    </row>
    <row r="501" customFormat="false" ht="15.75" hidden="false" customHeight="false" outlineLevel="0" collapsed="false">
      <c r="A501" s="194"/>
      <c r="B501" s="194"/>
      <c r="C501" s="194"/>
      <c r="D501" s="194"/>
      <c r="E501" s="194"/>
      <c r="F501" s="194"/>
      <c r="G501" s="194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4"/>
      <c r="AA501" s="194"/>
      <c r="AB501" s="194"/>
      <c r="AC501" s="194"/>
      <c r="AD501" s="194"/>
    </row>
    <row r="502" customFormat="false" ht="15.75" hidden="false" customHeight="false" outlineLevel="0" collapsed="false">
      <c r="A502" s="194"/>
      <c r="B502" s="194"/>
      <c r="C502" s="194"/>
      <c r="D502" s="194"/>
      <c r="E502" s="194"/>
      <c r="F502" s="194"/>
      <c r="G502" s="194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4"/>
      <c r="AA502" s="194"/>
      <c r="AB502" s="194"/>
      <c r="AC502" s="194"/>
      <c r="AD502" s="194"/>
    </row>
    <row r="503" customFormat="false" ht="15.75" hidden="false" customHeight="false" outlineLevel="0" collapsed="false">
      <c r="A503" s="194"/>
      <c r="B503" s="194"/>
      <c r="C503" s="194"/>
      <c r="D503" s="194"/>
      <c r="E503" s="194"/>
      <c r="F503" s="194"/>
      <c r="G503" s="194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4"/>
      <c r="AA503" s="194"/>
      <c r="AB503" s="194"/>
      <c r="AC503" s="194"/>
      <c r="AD503" s="194"/>
    </row>
    <row r="504" customFormat="false" ht="15.75" hidden="false" customHeight="false" outlineLevel="0" collapsed="false">
      <c r="A504" s="194"/>
      <c r="B504" s="194"/>
      <c r="C504" s="194"/>
      <c r="D504" s="194"/>
      <c r="E504" s="194"/>
      <c r="F504" s="194"/>
      <c r="G504" s="194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4"/>
      <c r="AA504" s="194"/>
      <c r="AB504" s="194"/>
      <c r="AC504" s="194"/>
      <c r="AD504" s="194"/>
    </row>
    <row r="505" customFormat="false" ht="15.75" hidden="false" customHeight="false" outlineLevel="0" collapsed="false">
      <c r="A505" s="194"/>
      <c r="B505" s="194"/>
      <c r="C505" s="194"/>
      <c r="D505" s="194"/>
      <c r="E505" s="194"/>
      <c r="F505" s="194"/>
      <c r="G505" s="194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4"/>
      <c r="AA505" s="194"/>
      <c r="AB505" s="194"/>
      <c r="AC505" s="194"/>
      <c r="AD505" s="194"/>
    </row>
    <row r="506" customFormat="false" ht="15.75" hidden="false" customHeight="false" outlineLevel="0" collapsed="false">
      <c r="A506" s="194"/>
      <c r="B506" s="194"/>
      <c r="C506" s="194"/>
      <c r="D506" s="194"/>
      <c r="E506" s="194"/>
      <c r="F506" s="194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4"/>
      <c r="AA506" s="194"/>
      <c r="AB506" s="194"/>
      <c r="AC506" s="194"/>
      <c r="AD506" s="194"/>
    </row>
    <row r="507" customFormat="false" ht="15.75" hidden="false" customHeight="false" outlineLevel="0" collapsed="false">
      <c r="A507" s="194"/>
      <c r="B507" s="194"/>
      <c r="C507" s="194"/>
      <c r="D507" s="194"/>
      <c r="E507" s="194"/>
      <c r="F507" s="194"/>
      <c r="G507" s="194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4"/>
      <c r="AA507" s="194"/>
      <c r="AB507" s="194"/>
      <c r="AC507" s="194"/>
      <c r="AD507" s="194"/>
    </row>
    <row r="508" customFormat="false" ht="15.75" hidden="false" customHeight="false" outlineLevel="0" collapsed="false">
      <c r="A508" s="194"/>
      <c r="B508" s="194"/>
      <c r="C508" s="194"/>
      <c r="D508" s="194"/>
      <c r="E508" s="194"/>
      <c r="F508" s="194"/>
      <c r="G508" s="194"/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4"/>
      <c r="AA508" s="194"/>
      <c r="AB508" s="194"/>
      <c r="AC508" s="194"/>
      <c r="AD508" s="194"/>
    </row>
    <row r="509" customFormat="false" ht="15.75" hidden="false" customHeight="false" outlineLevel="0" collapsed="false">
      <c r="A509" s="194"/>
      <c r="B509" s="194"/>
      <c r="C509" s="194"/>
      <c r="D509" s="194"/>
      <c r="E509" s="194"/>
      <c r="F509" s="194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4"/>
      <c r="AA509" s="194"/>
      <c r="AB509" s="194"/>
      <c r="AC509" s="194"/>
      <c r="AD509" s="194"/>
    </row>
    <row r="510" customFormat="false" ht="15.75" hidden="false" customHeight="false" outlineLevel="0" collapsed="false">
      <c r="A510" s="194"/>
      <c r="B510" s="194"/>
      <c r="C510" s="194"/>
      <c r="D510" s="194"/>
      <c r="E510" s="194"/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4"/>
      <c r="AA510" s="194"/>
      <c r="AB510" s="194"/>
      <c r="AC510" s="194"/>
      <c r="AD510" s="194"/>
    </row>
    <row r="511" customFormat="false" ht="15.75" hidden="false" customHeight="false" outlineLevel="0" collapsed="false">
      <c r="A511" s="194"/>
      <c r="B511" s="194"/>
      <c r="C511" s="194"/>
      <c r="D511" s="194"/>
      <c r="E511" s="194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4"/>
      <c r="AA511" s="194"/>
      <c r="AB511" s="194"/>
      <c r="AC511" s="194"/>
      <c r="AD511" s="194"/>
    </row>
    <row r="512" customFormat="false" ht="15.75" hidden="false" customHeight="false" outlineLevel="0" collapsed="false">
      <c r="A512" s="194"/>
      <c r="B512" s="194"/>
      <c r="C512" s="194"/>
      <c r="D512" s="194"/>
      <c r="E512" s="194"/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4"/>
      <c r="AA512" s="194"/>
      <c r="AB512" s="194"/>
      <c r="AC512" s="194"/>
      <c r="AD512" s="194"/>
    </row>
    <row r="513" customFormat="false" ht="15.75" hidden="false" customHeight="false" outlineLevel="0" collapsed="false">
      <c r="A513" s="194"/>
      <c r="B513" s="194"/>
      <c r="C513" s="194"/>
      <c r="D513" s="194"/>
      <c r="E513" s="194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4"/>
      <c r="AA513" s="194"/>
      <c r="AB513" s="194"/>
      <c r="AC513" s="194"/>
      <c r="AD513" s="194"/>
    </row>
    <row r="514" customFormat="false" ht="15.75" hidden="false" customHeight="false" outlineLevel="0" collapsed="false">
      <c r="A514" s="194"/>
      <c r="B514" s="194"/>
      <c r="C514" s="194"/>
      <c r="D514" s="194"/>
      <c r="E514" s="194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4"/>
      <c r="AA514" s="194"/>
      <c r="AB514" s="194"/>
      <c r="AC514" s="194"/>
      <c r="AD514" s="194"/>
    </row>
    <row r="515" customFormat="false" ht="15.75" hidden="false" customHeight="false" outlineLevel="0" collapsed="false">
      <c r="A515" s="194"/>
      <c r="B515" s="194"/>
      <c r="C515" s="194"/>
      <c r="D515" s="194"/>
      <c r="E515" s="194"/>
      <c r="F515" s="194"/>
      <c r="G515" s="194"/>
      <c r="H515" s="194"/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4"/>
      <c r="AA515" s="194"/>
      <c r="AB515" s="194"/>
      <c r="AC515" s="194"/>
      <c r="AD515" s="194"/>
    </row>
    <row r="516" customFormat="false" ht="15.75" hidden="false" customHeight="false" outlineLevel="0" collapsed="false">
      <c r="A516" s="194"/>
      <c r="B516" s="194"/>
      <c r="C516" s="194"/>
      <c r="D516" s="194"/>
      <c r="E516" s="194"/>
      <c r="F516" s="194"/>
      <c r="G516" s="194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4"/>
      <c r="AA516" s="194"/>
      <c r="AB516" s="194"/>
      <c r="AC516" s="194"/>
      <c r="AD516" s="194"/>
    </row>
    <row r="517" customFormat="false" ht="15.75" hidden="false" customHeight="false" outlineLevel="0" collapsed="false">
      <c r="A517" s="194"/>
      <c r="B517" s="194"/>
      <c r="C517" s="194"/>
      <c r="D517" s="194"/>
      <c r="E517" s="194"/>
      <c r="F517" s="194"/>
      <c r="G517" s="194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4"/>
      <c r="AA517" s="194"/>
      <c r="AB517" s="194"/>
      <c r="AC517" s="194"/>
      <c r="AD517" s="194"/>
    </row>
    <row r="518" customFormat="false" ht="15.75" hidden="false" customHeight="false" outlineLevel="0" collapsed="false">
      <c r="A518" s="194"/>
      <c r="B518" s="194"/>
      <c r="C518" s="194"/>
      <c r="D518" s="194"/>
      <c r="E518" s="194"/>
      <c r="F518" s="194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4"/>
      <c r="AA518" s="194"/>
      <c r="AB518" s="194"/>
      <c r="AC518" s="194"/>
      <c r="AD518" s="194"/>
    </row>
    <row r="519" customFormat="false" ht="15.75" hidden="false" customHeight="false" outlineLevel="0" collapsed="false">
      <c r="A519" s="194"/>
      <c r="B519" s="194"/>
      <c r="C519" s="194"/>
      <c r="D519" s="194"/>
      <c r="E519" s="194"/>
      <c r="F519" s="194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4"/>
      <c r="AA519" s="194"/>
      <c r="AB519" s="194"/>
      <c r="AC519" s="194"/>
      <c r="AD519" s="194"/>
    </row>
    <row r="520" customFormat="false" ht="15.75" hidden="false" customHeight="false" outlineLevel="0" collapsed="false">
      <c r="A520" s="194"/>
      <c r="B520" s="194"/>
      <c r="C520" s="194"/>
      <c r="D520" s="194"/>
      <c r="E520" s="194"/>
      <c r="F520" s="194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4"/>
      <c r="AA520" s="194"/>
      <c r="AB520" s="194"/>
      <c r="AC520" s="194"/>
      <c r="AD520" s="194"/>
    </row>
    <row r="521" customFormat="false" ht="15.75" hidden="false" customHeight="false" outlineLevel="0" collapsed="false">
      <c r="A521" s="194"/>
      <c r="B521" s="194"/>
      <c r="C521" s="194"/>
      <c r="D521" s="194"/>
      <c r="E521" s="194"/>
      <c r="F521" s="194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4"/>
      <c r="AA521" s="194"/>
      <c r="AB521" s="194"/>
      <c r="AC521" s="194"/>
      <c r="AD521" s="194"/>
    </row>
    <row r="522" customFormat="false" ht="15.75" hidden="false" customHeight="false" outlineLevel="0" collapsed="false">
      <c r="A522" s="194"/>
      <c r="B522" s="194"/>
      <c r="C522" s="194"/>
      <c r="D522" s="194"/>
      <c r="E522" s="194"/>
      <c r="F522" s="194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4"/>
      <c r="AA522" s="194"/>
      <c r="AB522" s="194"/>
      <c r="AC522" s="194"/>
      <c r="AD522" s="194"/>
    </row>
    <row r="523" customFormat="false" ht="15.75" hidden="false" customHeight="false" outlineLevel="0" collapsed="false">
      <c r="A523" s="194"/>
      <c r="B523" s="194"/>
      <c r="C523" s="194"/>
      <c r="D523" s="194"/>
      <c r="E523" s="194"/>
      <c r="F523" s="194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4"/>
      <c r="AA523" s="194"/>
      <c r="AB523" s="194"/>
      <c r="AC523" s="194"/>
      <c r="AD523" s="194"/>
    </row>
    <row r="524" customFormat="false" ht="15.75" hidden="false" customHeight="false" outlineLevel="0" collapsed="false">
      <c r="A524" s="194"/>
      <c r="B524" s="194"/>
      <c r="C524" s="194"/>
      <c r="D524" s="194"/>
      <c r="E524" s="194"/>
      <c r="F524" s="194"/>
      <c r="G524" s="194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4"/>
      <c r="AA524" s="194"/>
      <c r="AB524" s="194"/>
      <c r="AC524" s="194"/>
      <c r="AD524" s="194"/>
    </row>
    <row r="525" customFormat="false" ht="15.75" hidden="false" customHeight="false" outlineLevel="0" collapsed="false">
      <c r="A525" s="194"/>
      <c r="B525" s="194"/>
      <c r="C525" s="194"/>
      <c r="D525" s="194"/>
      <c r="E525" s="194"/>
      <c r="F525" s="194"/>
      <c r="G525" s="194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4"/>
      <c r="AA525" s="194"/>
      <c r="AB525" s="194"/>
      <c r="AC525" s="194"/>
      <c r="AD525" s="194"/>
    </row>
    <row r="526" customFormat="false" ht="15.75" hidden="false" customHeight="false" outlineLevel="0" collapsed="false">
      <c r="A526" s="194"/>
      <c r="B526" s="194"/>
      <c r="C526" s="194"/>
      <c r="D526" s="194"/>
      <c r="E526" s="194"/>
      <c r="F526" s="194"/>
      <c r="G526" s="194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4"/>
      <c r="AA526" s="194"/>
      <c r="AB526" s="194"/>
      <c r="AC526" s="194"/>
      <c r="AD526" s="194"/>
    </row>
    <row r="527" customFormat="false" ht="15.75" hidden="false" customHeight="false" outlineLevel="0" collapsed="false">
      <c r="A527" s="194"/>
      <c r="B527" s="194"/>
      <c r="C527" s="194"/>
      <c r="D527" s="194"/>
      <c r="E527" s="194"/>
      <c r="F527" s="194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4"/>
      <c r="AA527" s="194"/>
      <c r="AB527" s="194"/>
      <c r="AC527" s="194"/>
      <c r="AD527" s="194"/>
    </row>
    <row r="528" customFormat="false" ht="15.75" hidden="false" customHeight="false" outlineLevel="0" collapsed="false">
      <c r="A528" s="194"/>
      <c r="B528" s="194"/>
      <c r="C528" s="194"/>
      <c r="D528" s="194"/>
      <c r="E528" s="194"/>
      <c r="F528" s="194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4"/>
      <c r="AA528" s="194"/>
      <c r="AB528" s="194"/>
      <c r="AC528" s="194"/>
      <c r="AD528" s="194"/>
    </row>
    <row r="529" customFormat="false" ht="15.75" hidden="false" customHeight="false" outlineLevel="0" collapsed="false">
      <c r="A529" s="194"/>
      <c r="B529" s="194"/>
      <c r="C529" s="194"/>
      <c r="D529" s="194"/>
      <c r="E529" s="194"/>
      <c r="F529" s="194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4"/>
      <c r="AA529" s="194"/>
      <c r="AB529" s="194"/>
      <c r="AC529" s="194"/>
      <c r="AD529" s="194"/>
    </row>
    <row r="530" customFormat="false" ht="15.75" hidden="false" customHeight="false" outlineLevel="0" collapsed="false">
      <c r="A530" s="194"/>
      <c r="B530" s="194"/>
      <c r="C530" s="194"/>
      <c r="D530" s="194"/>
      <c r="E530" s="194"/>
      <c r="F530" s="194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4"/>
      <c r="AA530" s="194"/>
      <c r="AB530" s="194"/>
      <c r="AC530" s="194"/>
      <c r="AD530" s="194"/>
    </row>
    <row r="531" customFormat="false" ht="15.75" hidden="false" customHeight="false" outlineLevel="0" collapsed="false">
      <c r="A531" s="194"/>
      <c r="B531" s="194"/>
      <c r="C531" s="194"/>
      <c r="D531" s="194"/>
      <c r="E531" s="194"/>
      <c r="F531" s="194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4"/>
      <c r="AA531" s="194"/>
      <c r="AB531" s="194"/>
      <c r="AC531" s="194"/>
      <c r="AD531" s="194"/>
    </row>
    <row r="532" customFormat="false" ht="15.75" hidden="false" customHeight="false" outlineLevel="0" collapsed="false">
      <c r="A532" s="194"/>
      <c r="B532" s="194"/>
      <c r="C532" s="194"/>
      <c r="D532" s="194"/>
      <c r="E532" s="194"/>
      <c r="F532" s="194"/>
      <c r="G532" s="194"/>
      <c r="H532" s="194"/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4"/>
      <c r="AA532" s="194"/>
      <c r="AB532" s="194"/>
      <c r="AC532" s="194"/>
      <c r="AD532" s="194"/>
    </row>
    <row r="533" customFormat="false" ht="15.75" hidden="false" customHeight="false" outlineLevel="0" collapsed="false">
      <c r="A533" s="194"/>
      <c r="B533" s="194"/>
      <c r="C533" s="194"/>
      <c r="D533" s="194"/>
      <c r="E533" s="194"/>
      <c r="F533" s="194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4"/>
      <c r="AA533" s="194"/>
      <c r="AB533" s="194"/>
      <c r="AC533" s="194"/>
      <c r="AD533" s="194"/>
    </row>
    <row r="534" customFormat="false" ht="15.75" hidden="false" customHeight="false" outlineLevel="0" collapsed="false">
      <c r="A534" s="194"/>
      <c r="B534" s="194"/>
      <c r="C534" s="194"/>
      <c r="D534" s="194"/>
      <c r="E534" s="194"/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  <c r="AA534" s="194"/>
      <c r="AB534" s="194"/>
      <c r="AC534" s="194"/>
      <c r="AD534" s="194"/>
    </row>
    <row r="535" customFormat="false" ht="15.75" hidden="false" customHeight="false" outlineLevel="0" collapsed="false">
      <c r="A535" s="194"/>
      <c r="B535" s="194"/>
      <c r="C535" s="194"/>
      <c r="D535" s="194"/>
      <c r="E535" s="194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  <c r="AA535" s="194"/>
      <c r="AB535" s="194"/>
      <c r="AC535" s="194"/>
      <c r="AD535" s="194"/>
    </row>
    <row r="536" customFormat="false" ht="15.75" hidden="false" customHeight="false" outlineLevel="0" collapsed="false">
      <c r="A536" s="194"/>
      <c r="B536" s="194"/>
      <c r="C536" s="194"/>
      <c r="D536" s="194"/>
      <c r="E536" s="194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  <c r="AA536" s="194"/>
      <c r="AB536" s="194"/>
      <c r="AC536" s="194"/>
      <c r="AD536" s="194"/>
    </row>
    <row r="537" customFormat="false" ht="15.75" hidden="false" customHeight="false" outlineLevel="0" collapsed="false">
      <c r="A537" s="194"/>
      <c r="B537" s="194"/>
      <c r="C537" s="194"/>
      <c r="D537" s="194"/>
      <c r="E537" s="194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  <c r="AA537" s="194"/>
      <c r="AB537" s="194"/>
      <c r="AC537" s="194"/>
      <c r="AD537" s="194"/>
    </row>
    <row r="538" customFormat="false" ht="15.75" hidden="false" customHeight="false" outlineLevel="0" collapsed="false">
      <c r="A538" s="194"/>
      <c r="B538" s="194"/>
      <c r="C538" s="194"/>
      <c r="D538" s="194"/>
      <c r="E538" s="194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  <c r="AA538" s="194"/>
      <c r="AB538" s="194"/>
      <c r="AC538" s="194"/>
      <c r="AD538" s="194"/>
    </row>
    <row r="539" customFormat="false" ht="15.75" hidden="false" customHeight="false" outlineLevel="0" collapsed="false">
      <c r="A539" s="194"/>
      <c r="B539" s="194"/>
      <c r="C539" s="194"/>
      <c r="D539" s="194"/>
      <c r="E539" s="194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  <c r="AA539" s="194"/>
      <c r="AB539" s="194"/>
      <c r="AC539" s="194"/>
      <c r="AD539" s="194"/>
    </row>
    <row r="540" customFormat="false" ht="15.75" hidden="false" customHeight="false" outlineLevel="0" collapsed="false">
      <c r="A540" s="194"/>
      <c r="B540" s="194"/>
      <c r="C540" s="194"/>
      <c r="D540" s="194"/>
      <c r="E540" s="194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  <c r="AA540" s="194"/>
      <c r="AB540" s="194"/>
      <c r="AC540" s="194"/>
      <c r="AD540" s="194"/>
    </row>
    <row r="541" customFormat="false" ht="15.75" hidden="false" customHeight="false" outlineLevel="0" collapsed="false">
      <c r="A541" s="194"/>
      <c r="B541" s="194"/>
      <c r="C541" s="194"/>
      <c r="D541" s="194"/>
      <c r="E541" s="194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  <c r="AA541" s="194"/>
      <c r="AB541" s="194"/>
      <c r="AC541" s="194"/>
      <c r="AD541" s="194"/>
    </row>
    <row r="542" customFormat="false" ht="15.75" hidden="false" customHeight="false" outlineLevel="0" collapsed="false">
      <c r="A542" s="194"/>
      <c r="B542" s="194"/>
      <c r="C542" s="194"/>
      <c r="D542" s="194"/>
      <c r="E542" s="194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  <c r="AA542" s="194"/>
      <c r="AB542" s="194"/>
      <c r="AC542" s="194"/>
      <c r="AD542" s="194"/>
    </row>
    <row r="543" customFormat="false" ht="15.75" hidden="false" customHeight="false" outlineLevel="0" collapsed="false">
      <c r="A543" s="194"/>
      <c r="B543" s="194"/>
      <c r="C543" s="194"/>
      <c r="D543" s="194"/>
      <c r="E543" s="194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  <c r="AA543" s="194"/>
      <c r="AB543" s="194"/>
      <c r="AC543" s="194"/>
      <c r="AD543" s="194"/>
    </row>
    <row r="544" customFormat="false" ht="15.75" hidden="false" customHeight="false" outlineLevel="0" collapsed="false">
      <c r="A544" s="194"/>
      <c r="B544" s="194"/>
      <c r="C544" s="194"/>
      <c r="D544" s="194"/>
      <c r="E544" s="194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4"/>
      <c r="AA544" s="194"/>
      <c r="AB544" s="194"/>
      <c r="AC544" s="194"/>
      <c r="AD544" s="194"/>
    </row>
    <row r="545" customFormat="false" ht="15.75" hidden="false" customHeight="false" outlineLevel="0" collapsed="false">
      <c r="A545" s="194"/>
      <c r="B545" s="194"/>
      <c r="C545" s="194"/>
      <c r="D545" s="194"/>
      <c r="E545" s="194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4"/>
      <c r="AA545" s="194"/>
      <c r="AB545" s="194"/>
      <c r="AC545" s="194"/>
      <c r="AD545" s="194"/>
    </row>
    <row r="546" customFormat="false" ht="15.75" hidden="false" customHeight="false" outlineLevel="0" collapsed="false">
      <c r="A546" s="194"/>
      <c r="B546" s="194"/>
      <c r="C546" s="194"/>
      <c r="D546" s="194"/>
      <c r="E546" s="194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  <c r="AA546" s="194"/>
      <c r="AB546" s="194"/>
      <c r="AC546" s="194"/>
      <c r="AD546" s="194"/>
    </row>
    <row r="547" customFormat="false" ht="15.75" hidden="false" customHeight="false" outlineLevel="0" collapsed="false">
      <c r="A547" s="194"/>
      <c r="B547" s="194"/>
      <c r="C547" s="194"/>
      <c r="D547" s="194"/>
      <c r="E547" s="194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  <c r="AA547" s="194"/>
      <c r="AB547" s="194"/>
      <c r="AC547" s="194"/>
      <c r="AD547" s="194"/>
    </row>
    <row r="548" customFormat="false" ht="15.75" hidden="false" customHeight="false" outlineLevel="0" collapsed="false">
      <c r="A548" s="194"/>
      <c r="B548" s="194"/>
      <c r="C548" s="194"/>
      <c r="D548" s="194"/>
      <c r="E548" s="194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  <c r="AA548" s="194"/>
      <c r="AB548" s="194"/>
      <c r="AC548" s="194"/>
      <c r="AD548" s="194"/>
    </row>
    <row r="549" customFormat="false" ht="15.75" hidden="false" customHeight="false" outlineLevel="0" collapsed="false">
      <c r="A549" s="194"/>
      <c r="B549" s="194"/>
      <c r="C549" s="194"/>
      <c r="D549" s="194"/>
      <c r="E549" s="194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  <c r="AA549" s="194"/>
      <c r="AB549" s="194"/>
      <c r="AC549" s="194"/>
      <c r="AD549" s="194"/>
    </row>
    <row r="550" customFormat="false" ht="15.75" hidden="false" customHeight="false" outlineLevel="0" collapsed="false">
      <c r="A550" s="194"/>
      <c r="B550" s="194"/>
      <c r="C550" s="194"/>
      <c r="D550" s="194"/>
      <c r="E550" s="194"/>
      <c r="F550" s="194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4"/>
      <c r="AA550" s="194"/>
      <c r="AB550" s="194"/>
      <c r="AC550" s="194"/>
      <c r="AD550" s="194"/>
    </row>
    <row r="551" customFormat="false" ht="15.75" hidden="false" customHeight="false" outlineLevel="0" collapsed="false">
      <c r="A551" s="194"/>
      <c r="B551" s="194"/>
      <c r="C551" s="194"/>
      <c r="D551" s="194"/>
      <c r="E551" s="194"/>
      <c r="F551" s="194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4"/>
      <c r="AA551" s="194"/>
      <c r="AB551" s="194"/>
      <c r="AC551" s="194"/>
      <c r="AD551" s="194"/>
    </row>
    <row r="552" customFormat="false" ht="15.75" hidden="false" customHeight="false" outlineLevel="0" collapsed="false">
      <c r="A552" s="194"/>
      <c r="B552" s="194"/>
      <c r="C552" s="194"/>
      <c r="D552" s="194"/>
      <c r="E552" s="194"/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  <c r="AA552" s="194"/>
      <c r="AB552" s="194"/>
      <c r="AC552" s="194"/>
      <c r="AD552" s="194"/>
    </row>
    <row r="553" customFormat="false" ht="15.75" hidden="false" customHeight="false" outlineLevel="0" collapsed="false">
      <c r="A553" s="194"/>
      <c r="B553" s="194"/>
      <c r="C553" s="194"/>
      <c r="D553" s="194"/>
      <c r="E553" s="194"/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  <c r="AA553" s="194"/>
      <c r="AB553" s="194"/>
      <c r="AC553" s="194"/>
      <c r="AD553" s="194"/>
    </row>
    <row r="554" customFormat="false" ht="15.75" hidden="false" customHeight="false" outlineLevel="0" collapsed="false">
      <c r="A554" s="194"/>
      <c r="B554" s="194"/>
      <c r="C554" s="194"/>
      <c r="D554" s="194"/>
      <c r="E554" s="194"/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  <c r="AA554" s="194"/>
      <c r="AB554" s="194"/>
      <c r="AC554" s="194"/>
      <c r="AD554" s="194"/>
    </row>
    <row r="555" customFormat="false" ht="15.75" hidden="false" customHeight="false" outlineLevel="0" collapsed="false">
      <c r="A555" s="194"/>
      <c r="B555" s="194"/>
      <c r="C555" s="194"/>
      <c r="D555" s="194"/>
      <c r="E555" s="194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4"/>
      <c r="AA555" s="194"/>
      <c r="AB555" s="194"/>
      <c r="AC555" s="194"/>
      <c r="AD555" s="194"/>
    </row>
    <row r="556" customFormat="false" ht="15.75" hidden="false" customHeight="false" outlineLevel="0" collapsed="false">
      <c r="A556" s="194"/>
      <c r="B556" s="194"/>
      <c r="C556" s="194"/>
      <c r="D556" s="194"/>
      <c r="E556" s="194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4"/>
      <c r="AA556" s="194"/>
      <c r="AB556" s="194"/>
      <c r="AC556" s="194"/>
      <c r="AD556" s="194"/>
    </row>
    <row r="557" customFormat="false" ht="15.75" hidden="false" customHeight="false" outlineLevel="0" collapsed="false">
      <c r="A557" s="194"/>
      <c r="B557" s="194"/>
      <c r="C557" s="194"/>
      <c r="D557" s="194"/>
      <c r="E557" s="194"/>
      <c r="F557" s="194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4"/>
      <c r="AA557" s="194"/>
      <c r="AB557" s="194"/>
      <c r="AC557" s="194"/>
      <c r="AD557" s="194"/>
    </row>
    <row r="558" customFormat="false" ht="15.75" hidden="false" customHeight="false" outlineLevel="0" collapsed="false">
      <c r="A558" s="194"/>
      <c r="B558" s="194"/>
      <c r="C558" s="194"/>
      <c r="D558" s="194"/>
      <c r="E558" s="194"/>
      <c r="F558" s="194"/>
      <c r="G558" s="194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4"/>
      <c r="AA558" s="194"/>
      <c r="AB558" s="194"/>
      <c r="AC558" s="194"/>
      <c r="AD558" s="194"/>
    </row>
    <row r="559" customFormat="false" ht="15.75" hidden="false" customHeight="false" outlineLevel="0" collapsed="false">
      <c r="A559" s="194"/>
      <c r="B559" s="194"/>
      <c r="C559" s="194"/>
      <c r="D559" s="194"/>
      <c r="E559" s="194"/>
      <c r="F559" s="194"/>
      <c r="G559" s="194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4"/>
      <c r="AA559" s="194"/>
      <c r="AB559" s="194"/>
      <c r="AC559" s="194"/>
      <c r="AD559" s="194"/>
    </row>
    <row r="560" customFormat="false" ht="15.75" hidden="false" customHeight="false" outlineLevel="0" collapsed="false">
      <c r="A560" s="194"/>
      <c r="B560" s="194"/>
      <c r="C560" s="194"/>
      <c r="D560" s="194"/>
      <c r="E560" s="194"/>
      <c r="F560" s="194"/>
      <c r="G560" s="194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4"/>
      <c r="AA560" s="194"/>
      <c r="AB560" s="194"/>
      <c r="AC560" s="194"/>
      <c r="AD560" s="194"/>
    </row>
    <row r="561" customFormat="false" ht="15.75" hidden="false" customHeight="false" outlineLevel="0" collapsed="false">
      <c r="A561" s="194"/>
      <c r="B561" s="194"/>
      <c r="C561" s="194"/>
      <c r="D561" s="194"/>
      <c r="E561" s="194"/>
      <c r="F561" s="194"/>
      <c r="G561" s="194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4"/>
      <c r="AA561" s="194"/>
      <c r="AB561" s="194"/>
      <c r="AC561" s="194"/>
      <c r="AD561" s="194"/>
    </row>
    <row r="562" customFormat="false" ht="15.75" hidden="false" customHeight="false" outlineLevel="0" collapsed="false">
      <c r="A562" s="194"/>
      <c r="B562" s="194"/>
      <c r="C562" s="194"/>
      <c r="D562" s="194"/>
      <c r="E562" s="194"/>
      <c r="F562" s="194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4"/>
      <c r="AA562" s="194"/>
      <c r="AB562" s="194"/>
      <c r="AC562" s="194"/>
      <c r="AD562" s="194"/>
    </row>
    <row r="563" customFormat="false" ht="15.75" hidden="false" customHeight="false" outlineLevel="0" collapsed="false">
      <c r="A563" s="194"/>
      <c r="B563" s="194"/>
      <c r="C563" s="194"/>
      <c r="D563" s="194"/>
      <c r="E563" s="194"/>
      <c r="F563" s="194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4"/>
      <c r="AA563" s="194"/>
      <c r="AB563" s="194"/>
      <c r="AC563" s="194"/>
      <c r="AD563" s="194"/>
    </row>
    <row r="564" customFormat="false" ht="15.75" hidden="false" customHeight="false" outlineLevel="0" collapsed="false">
      <c r="A564" s="194"/>
      <c r="B564" s="194"/>
      <c r="C564" s="194"/>
      <c r="D564" s="194"/>
      <c r="E564" s="194"/>
      <c r="F564" s="194"/>
      <c r="G564" s="194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4"/>
      <c r="AA564" s="194"/>
      <c r="AB564" s="194"/>
      <c r="AC564" s="194"/>
      <c r="AD564" s="194"/>
    </row>
    <row r="565" customFormat="false" ht="15.75" hidden="false" customHeight="false" outlineLevel="0" collapsed="false">
      <c r="A565" s="194"/>
      <c r="B565" s="194"/>
      <c r="C565" s="194"/>
      <c r="D565" s="194"/>
      <c r="E565" s="194"/>
      <c r="F565" s="194"/>
      <c r="G565" s="194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4"/>
      <c r="AA565" s="194"/>
      <c r="AB565" s="194"/>
      <c r="AC565" s="194"/>
      <c r="AD565" s="194"/>
    </row>
    <row r="566" customFormat="false" ht="15.75" hidden="false" customHeight="false" outlineLevel="0" collapsed="false">
      <c r="A566" s="194"/>
      <c r="B566" s="194"/>
      <c r="C566" s="194"/>
      <c r="D566" s="194"/>
      <c r="E566" s="194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  <c r="AA566" s="194"/>
      <c r="AB566" s="194"/>
      <c r="AC566" s="194"/>
      <c r="AD566" s="194"/>
    </row>
    <row r="567" customFormat="false" ht="15.75" hidden="false" customHeight="false" outlineLevel="0" collapsed="false">
      <c r="A567" s="194"/>
      <c r="B567" s="194"/>
      <c r="C567" s="194"/>
      <c r="D567" s="194"/>
      <c r="E567" s="194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  <c r="AA567" s="194"/>
      <c r="AB567" s="194"/>
      <c r="AC567" s="194"/>
      <c r="AD567" s="194"/>
    </row>
    <row r="568" customFormat="false" ht="15.75" hidden="false" customHeight="false" outlineLevel="0" collapsed="false">
      <c r="A568" s="194"/>
      <c r="B568" s="194"/>
      <c r="C568" s="194"/>
      <c r="D568" s="194"/>
      <c r="E568" s="194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  <c r="AA568" s="194"/>
      <c r="AB568" s="194"/>
      <c r="AC568" s="194"/>
      <c r="AD568" s="194"/>
    </row>
    <row r="569" customFormat="false" ht="15.75" hidden="false" customHeight="false" outlineLevel="0" collapsed="false">
      <c r="A569" s="194"/>
      <c r="B569" s="194"/>
      <c r="C569" s="194"/>
      <c r="D569" s="194"/>
      <c r="E569" s="194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  <c r="AA569" s="194"/>
      <c r="AB569" s="194"/>
      <c r="AC569" s="194"/>
      <c r="AD569" s="194"/>
    </row>
    <row r="570" customFormat="false" ht="15.75" hidden="false" customHeight="false" outlineLevel="0" collapsed="false">
      <c r="A570" s="194"/>
      <c r="B570" s="194"/>
      <c r="C570" s="194"/>
      <c r="D570" s="194"/>
      <c r="E570" s="194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  <c r="AA570" s="194"/>
      <c r="AB570" s="194"/>
      <c r="AC570" s="194"/>
      <c r="AD570" s="194"/>
    </row>
    <row r="571" customFormat="false" ht="15.75" hidden="false" customHeight="false" outlineLevel="0" collapsed="false">
      <c r="A571" s="194"/>
      <c r="B571" s="194"/>
      <c r="C571" s="194"/>
      <c r="D571" s="194"/>
      <c r="E571" s="194"/>
      <c r="F571" s="194"/>
      <c r="G571" s="194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4"/>
      <c r="AA571" s="194"/>
      <c r="AB571" s="194"/>
      <c r="AC571" s="194"/>
      <c r="AD571" s="194"/>
    </row>
    <row r="572" customFormat="false" ht="15.75" hidden="false" customHeight="false" outlineLevel="0" collapsed="false">
      <c r="A572" s="194"/>
      <c r="B572" s="194"/>
      <c r="C572" s="194"/>
      <c r="D572" s="194"/>
      <c r="E572" s="194"/>
      <c r="F572" s="194"/>
      <c r="G572" s="194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4"/>
      <c r="AA572" s="194"/>
      <c r="AB572" s="194"/>
      <c r="AC572" s="194"/>
      <c r="AD572" s="194"/>
    </row>
    <row r="573" customFormat="false" ht="15.75" hidden="false" customHeight="false" outlineLevel="0" collapsed="false">
      <c r="A573" s="194"/>
      <c r="B573" s="194"/>
      <c r="C573" s="194"/>
      <c r="D573" s="194"/>
      <c r="E573" s="194"/>
      <c r="F573" s="194"/>
      <c r="G573" s="194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4"/>
      <c r="AA573" s="194"/>
      <c r="AB573" s="194"/>
      <c r="AC573" s="194"/>
      <c r="AD573" s="194"/>
    </row>
    <row r="574" customFormat="false" ht="15.75" hidden="false" customHeight="false" outlineLevel="0" collapsed="false">
      <c r="A574" s="194"/>
      <c r="B574" s="194"/>
      <c r="C574" s="194"/>
      <c r="D574" s="194"/>
      <c r="E574" s="194"/>
      <c r="F574" s="194"/>
      <c r="G574" s="194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4"/>
      <c r="AA574" s="194"/>
      <c r="AB574" s="194"/>
      <c r="AC574" s="194"/>
      <c r="AD574" s="194"/>
    </row>
    <row r="575" customFormat="false" ht="15.75" hidden="false" customHeight="false" outlineLevel="0" collapsed="false">
      <c r="A575" s="194"/>
      <c r="B575" s="194"/>
      <c r="C575" s="194"/>
      <c r="D575" s="194"/>
      <c r="E575" s="194"/>
      <c r="F575" s="194"/>
      <c r="G575" s="194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4"/>
      <c r="AA575" s="194"/>
      <c r="AB575" s="194"/>
      <c r="AC575" s="194"/>
      <c r="AD575" s="194"/>
    </row>
    <row r="576" customFormat="false" ht="15.75" hidden="false" customHeight="false" outlineLevel="0" collapsed="false">
      <c r="A576" s="194"/>
      <c r="B576" s="194"/>
      <c r="C576" s="194"/>
      <c r="D576" s="194"/>
      <c r="E576" s="194"/>
      <c r="F576" s="194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4"/>
      <c r="AA576" s="194"/>
      <c r="AB576" s="194"/>
      <c r="AC576" s="194"/>
      <c r="AD576" s="194"/>
    </row>
    <row r="577" customFormat="false" ht="15.75" hidden="false" customHeight="false" outlineLevel="0" collapsed="false">
      <c r="A577" s="194"/>
      <c r="B577" s="194"/>
      <c r="C577" s="194"/>
      <c r="D577" s="194"/>
      <c r="E577" s="194"/>
      <c r="F577" s="194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4"/>
      <c r="AA577" s="194"/>
      <c r="AB577" s="194"/>
      <c r="AC577" s="194"/>
      <c r="AD577" s="194"/>
    </row>
    <row r="578" customFormat="false" ht="15.75" hidden="false" customHeight="false" outlineLevel="0" collapsed="false">
      <c r="A578" s="194"/>
      <c r="B578" s="194"/>
      <c r="C578" s="194"/>
      <c r="D578" s="194"/>
      <c r="E578" s="194"/>
      <c r="F578" s="194"/>
      <c r="G578" s="194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4"/>
      <c r="AA578" s="194"/>
      <c r="AB578" s="194"/>
      <c r="AC578" s="194"/>
      <c r="AD578" s="194"/>
    </row>
    <row r="579" customFormat="false" ht="15.75" hidden="false" customHeight="false" outlineLevel="0" collapsed="false">
      <c r="A579" s="194"/>
      <c r="B579" s="194"/>
      <c r="C579" s="194"/>
      <c r="D579" s="194"/>
      <c r="E579" s="194"/>
      <c r="F579" s="194"/>
      <c r="G579" s="194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4"/>
      <c r="AA579" s="194"/>
      <c r="AB579" s="194"/>
      <c r="AC579" s="194"/>
      <c r="AD579" s="194"/>
    </row>
    <row r="580" customFormat="false" ht="15.75" hidden="false" customHeight="false" outlineLevel="0" collapsed="false">
      <c r="A580" s="194"/>
      <c r="B580" s="194"/>
      <c r="C580" s="194"/>
      <c r="D580" s="194"/>
      <c r="E580" s="194"/>
      <c r="F580" s="194"/>
      <c r="G580" s="194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4"/>
      <c r="AA580" s="194"/>
      <c r="AB580" s="194"/>
      <c r="AC580" s="194"/>
      <c r="AD580" s="194"/>
    </row>
    <row r="581" customFormat="false" ht="15.75" hidden="false" customHeight="false" outlineLevel="0" collapsed="false">
      <c r="A581" s="194"/>
      <c r="B581" s="194"/>
      <c r="C581" s="194"/>
      <c r="D581" s="194"/>
      <c r="E581" s="194"/>
      <c r="F581" s="194"/>
      <c r="G581" s="194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4"/>
      <c r="AA581" s="194"/>
      <c r="AB581" s="194"/>
      <c r="AC581" s="194"/>
      <c r="AD581" s="194"/>
    </row>
    <row r="582" customFormat="false" ht="15.75" hidden="false" customHeight="false" outlineLevel="0" collapsed="false">
      <c r="A582" s="194"/>
      <c r="B582" s="194"/>
      <c r="C582" s="194"/>
      <c r="D582" s="194"/>
      <c r="E582" s="194"/>
      <c r="F582" s="194"/>
      <c r="G582" s="194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4"/>
      <c r="AA582" s="194"/>
      <c r="AB582" s="194"/>
      <c r="AC582" s="194"/>
      <c r="AD582" s="194"/>
    </row>
    <row r="583" customFormat="false" ht="15.75" hidden="false" customHeight="false" outlineLevel="0" collapsed="false">
      <c r="A583" s="194"/>
      <c r="B583" s="194"/>
      <c r="C583" s="194"/>
      <c r="D583" s="194"/>
      <c r="E583" s="194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  <c r="AA583" s="194"/>
      <c r="AB583" s="194"/>
      <c r="AC583" s="194"/>
      <c r="AD583" s="194"/>
    </row>
    <row r="584" customFormat="false" ht="15.75" hidden="false" customHeight="false" outlineLevel="0" collapsed="false">
      <c r="A584" s="194"/>
      <c r="B584" s="194"/>
      <c r="C584" s="194"/>
      <c r="D584" s="194"/>
      <c r="E584" s="194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  <c r="AA584" s="194"/>
      <c r="AB584" s="194"/>
      <c r="AC584" s="194"/>
      <c r="AD584" s="194"/>
    </row>
    <row r="585" customFormat="false" ht="15.75" hidden="false" customHeight="false" outlineLevel="0" collapsed="false">
      <c r="A585" s="194"/>
      <c r="B585" s="194"/>
      <c r="C585" s="194"/>
      <c r="D585" s="194"/>
      <c r="E585" s="194"/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  <c r="AA585" s="194"/>
      <c r="AB585" s="194"/>
      <c r="AC585" s="194"/>
      <c r="AD585" s="194"/>
    </row>
    <row r="586" customFormat="false" ht="15.75" hidden="false" customHeight="false" outlineLevel="0" collapsed="false">
      <c r="A586" s="194"/>
      <c r="B586" s="194"/>
      <c r="C586" s="194"/>
      <c r="D586" s="194"/>
      <c r="E586" s="194"/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  <c r="AA586" s="194"/>
      <c r="AB586" s="194"/>
      <c r="AC586" s="194"/>
      <c r="AD586" s="194"/>
    </row>
    <row r="587" customFormat="false" ht="15.75" hidden="false" customHeight="false" outlineLevel="0" collapsed="false">
      <c r="A587" s="194"/>
      <c r="B587" s="194"/>
      <c r="C587" s="194"/>
      <c r="D587" s="194"/>
      <c r="E587" s="194"/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4"/>
      <c r="AA587" s="194"/>
      <c r="AB587" s="194"/>
      <c r="AC587" s="194"/>
      <c r="AD587" s="194"/>
    </row>
    <row r="588" customFormat="false" ht="15.75" hidden="false" customHeight="false" outlineLevel="0" collapsed="false">
      <c r="A588" s="194"/>
      <c r="B588" s="194"/>
      <c r="C588" s="194"/>
      <c r="D588" s="194"/>
      <c r="E588" s="194"/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4"/>
      <c r="AA588" s="194"/>
      <c r="AB588" s="194"/>
      <c r="AC588" s="194"/>
      <c r="AD588" s="194"/>
    </row>
    <row r="589" customFormat="false" ht="15.75" hidden="false" customHeight="false" outlineLevel="0" collapsed="false">
      <c r="A589" s="194"/>
      <c r="B589" s="194"/>
      <c r="C589" s="194"/>
      <c r="D589" s="194"/>
      <c r="E589" s="194"/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4"/>
      <c r="AA589" s="194"/>
      <c r="AB589" s="194"/>
      <c r="AC589" s="194"/>
      <c r="AD589" s="194"/>
    </row>
    <row r="590" customFormat="false" ht="15.75" hidden="false" customHeight="false" outlineLevel="0" collapsed="false">
      <c r="A590" s="194"/>
      <c r="B590" s="194"/>
      <c r="C590" s="194"/>
      <c r="D590" s="194"/>
      <c r="E590" s="194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4"/>
      <c r="AA590" s="194"/>
      <c r="AB590" s="194"/>
      <c r="AC590" s="194"/>
      <c r="AD590" s="194"/>
    </row>
    <row r="591" customFormat="false" ht="15.75" hidden="false" customHeight="false" outlineLevel="0" collapsed="false">
      <c r="A591" s="194"/>
      <c r="B591" s="194"/>
      <c r="C591" s="194"/>
      <c r="D591" s="194"/>
      <c r="E591" s="194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4"/>
      <c r="AA591" s="194"/>
      <c r="AB591" s="194"/>
      <c r="AC591" s="194"/>
      <c r="AD591" s="194"/>
    </row>
    <row r="592" customFormat="false" ht="15.75" hidden="false" customHeight="false" outlineLevel="0" collapsed="false">
      <c r="A592" s="194"/>
      <c r="B592" s="194"/>
      <c r="C592" s="194"/>
      <c r="D592" s="194"/>
      <c r="E592" s="194"/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4"/>
      <c r="AA592" s="194"/>
      <c r="AB592" s="194"/>
      <c r="AC592" s="194"/>
      <c r="AD592" s="194"/>
    </row>
    <row r="593" customFormat="false" ht="15.75" hidden="false" customHeight="false" outlineLevel="0" collapsed="false">
      <c r="A593" s="194"/>
      <c r="B593" s="194"/>
      <c r="C593" s="194"/>
      <c r="D593" s="194"/>
      <c r="E593" s="194"/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4"/>
      <c r="AA593" s="194"/>
      <c r="AB593" s="194"/>
      <c r="AC593" s="194"/>
      <c r="AD593" s="194"/>
    </row>
    <row r="594" customFormat="false" ht="15.75" hidden="false" customHeight="false" outlineLevel="0" collapsed="false">
      <c r="A594" s="194"/>
      <c r="B594" s="194"/>
      <c r="C594" s="194"/>
      <c r="D594" s="194"/>
      <c r="E594" s="194"/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4"/>
      <c r="AA594" s="194"/>
      <c r="AB594" s="194"/>
      <c r="AC594" s="194"/>
      <c r="AD594" s="194"/>
    </row>
    <row r="595" customFormat="false" ht="15.75" hidden="false" customHeight="false" outlineLevel="0" collapsed="false">
      <c r="A595" s="194"/>
      <c r="B595" s="194"/>
      <c r="C595" s="194"/>
      <c r="D595" s="194"/>
      <c r="E595" s="194"/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4"/>
      <c r="AA595" s="194"/>
      <c r="AB595" s="194"/>
      <c r="AC595" s="194"/>
      <c r="AD595" s="194"/>
    </row>
    <row r="596" customFormat="false" ht="15.75" hidden="false" customHeight="false" outlineLevel="0" collapsed="false">
      <c r="A596" s="194"/>
      <c r="B596" s="194"/>
      <c r="C596" s="194"/>
      <c r="D596" s="194"/>
      <c r="E596" s="194"/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4"/>
      <c r="AA596" s="194"/>
      <c r="AB596" s="194"/>
      <c r="AC596" s="194"/>
      <c r="AD596" s="194"/>
    </row>
    <row r="597" customFormat="false" ht="15.75" hidden="false" customHeight="false" outlineLevel="0" collapsed="false">
      <c r="A597" s="194"/>
      <c r="B597" s="194"/>
      <c r="C597" s="194"/>
      <c r="D597" s="194"/>
      <c r="E597" s="194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4"/>
      <c r="AA597" s="194"/>
      <c r="AB597" s="194"/>
      <c r="AC597" s="194"/>
      <c r="AD597" s="194"/>
    </row>
    <row r="598" customFormat="false" ht="15.75" hidden="false" customHeight="false" outlineLevel="0" collapsed="false">
      <c r="A598" s="194"/>
      <c r="B598" s="194"/>
      <c r="C598" s="194"/>
      <c r="D598" s="194"/>
      <c r="E598" s="194"/>
      <c r="F598" s="194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4"/>
      <c r="AA598" s="194"/>
      <c r="AB598" s="194"/>
      <c r="AC598" s="194"/>
      <c r="AD598" s="194"/>
    </row>
    <row r="599" customFormat="false" ht="15.75" hidden="false" customHeight="false" outlineLevel="0" collapsed="false">
      <c r="A599" s="194"/>
      <c r="B599" s="194"/>
      <c r="C599" s="194"/>
      <c r="D599" s="194"/>
      <c r="E599" s="194"/>
      <c r="F599" s="194"/>
      <c r="G599" s="194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4"/>
      <c r="AA599" s="194"/>
      <c r="AB599" s="194"/>
      <c r="AC599" s="194"/>
      <c r="AD599" s="194"/>
    </row>
    <row r="600" customFormat="false" ht="15.75" hidden="false" customHeight="false" outlineLevel="0" collapsed="false">
      <c r="A600" s="194"/>
      <c r="B600" s="194"/>
      <c r="C600" s="194"/>
      <c r="D600" s="194"/>
      <c r="E600" s="194"/>
      <c r="F600" s="194"/>
      <c r="G600" s="194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4"/>
      <c r="AA600" s="194"/>
      <c r="AB600" s="194"/>
      <c r="AC600" s="194"/>
      <c r="AD600" s="194"/>
    </row>
    <row r="601" customFormat="false" ht="15.75" hidden="false" customHeight="false" outlineLevel="0" collapsed="false">
      <c r="A601" s="194"/>
      <c r="B601" s="194"/>
      <c r="C601" s="194"/>
      <c r="D601" s="194"/>
      <c r="E601" s="194"/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4"/>
      <c r="AA601" s="194"/>
      <c r="AB601" s="194"/>
      <c r="AC601" s="194"/>
      <c r="AD601" s="194"/>
    </row>
    <row r="602" customFormat="false" ht="15.75" hidden="false" customHeight="false" outlineLevel="0" collapsed="false">
      <c r="A602" s="194"/>
      <c r="B602" s="194"/>
      <c r="C602" s="194"/>
      <c r="D602" s="194"/>
      <c r="E602" s="194"/>
      <c r="F602" s="194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4"/>
      <c r="AA602" s="194"/>
      <c r="AB602" s="194"/>
      <c r="AC602" s="194"/>
      <c r="AD602" s="194"/>
    </row>
    <row r="603" customFormat="false" ht="15.75" hidden="false" customHeight="false" outlineLevel="0" collapsed="false">
      <c r="A603" s="194"/>
      <c r="B603" s="194"/>
      <c r="C603" s="194"/>
      <c r="D603" s="194"/>
      <c r="E603" s="194"/>
      <c r="F603" s="194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4"/>
      <c r="AA603" s="194"/>
      <c r="AB603" s="194"/>
      <c r="AC603" s="194"/>
      <c r="AD603" s="194"/>
    </row>
    <row r="604" customFormat="false" ht="15.75" hidden="false" customHeight="false" outlineLevel="0" collapsed="false">
      <c r="A604" s="194"/>
      <c r="B604" s="194"/>
      <c r="C604" s="194"/>
      <c r="D604" s="194"/>
      <c r="E604" s="194"/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4"/>
      <c r="AA604" s="194"/>
      <c r="AB604" s="194"/>
      <c r="AC604" s="194"/>
      <c r="AD604" s="194"/>
    </row>
    <row r="605" customFormat="false" ht="15.75" hidden="false" customHeight="false" outlineLevel="0" collapsed="false">
      <c r="A605" s="194"/>
      <c r="B605" s="194"/>
      <c r="C605" s="194"/>
      <c r="D605" s="194"/>
      <c r="E605" s="194"/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4"/>
      <c r="AA605" s="194"/>
      <c r="AB605" s="194"/>
      <c r="AC605" s="194"/>
      <c r="AD605" s="194"/>
    </row>
    <row r="606" customFormat="false" ht="15.75" hidden="false" customHeight="false" outlineLevel="0" collapsed="false">
      <c r="A606" s="194"/>
      <c r="B606" s="194"/>
      <c r="C606" s="194"/>
      <c r="D606" s="194"/>
      <c r="E606" s="194"/>
      <c r="F606" s="194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4"/>
      <c r="AA606" s="194"/>
      <c r="AB606" s="194"/>
      <c r="AC606" s="194"/>
      <c r="AD606" s="194"/>
    </row>
    <row r="607" customFormat="false" ht="15.75" hidden="false" customHeight="false" outlineLevel="0" collapsed="false">
      <c r="A607" s="194"/>
      <c r="B607" s="194"/>
      <c r="C607" s="194"/>
      <c r="D607" s="194"/>
      <c r="E607" s="194"/>
      <c r="F607" s="194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  <c r="AA607" s="194"/>
      <c r="AB607" s="194"/>
      <c r="AC607" s="194"/>
      <c r="AD607" s="194"/>
    </row>
    <row r="608" customFormat="false" ht="15.75" hidden="false" customHeight="false" outlineLevel="0" collapsed="false">
      <c r="A608" s="194"/>
      <c r="B608" s="194"/>
      <c r="C608" s="194"/>
      <c r="D608" s="194"/>
      <c r="E608" s="194"/>
      <c r="F608" s="194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  <c r="AA608" s="194"/>
      <c r="AB608" s="194"/>
      <c r="AC608" s="194"/>
      <c r="AD608" s="194"/>
    </row>
    <row r="609" customFormat="false" ht="15.75" hidden="false" customHeight="false" outlineLevel="0" collapsed="false">
      <c r="A609" s="194"/>
      <c r="B609" s="194"/>
      <c r="C609" s="194"/>
      <c r="D609" s="194"/>
      <c r="E609" s="194"/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4"/>
      <c r="AA609" s="194"/>
      <c r="AB609" s="194"/>
      <c r="AC609" s="194"/>
      <c r="AD609" s="194"/>
    </row>
    <row r="610" customFormat="false" ht="15.75" hidden="false" customHeight="false" outlineLevel="0" collapsed="false">
      <c r="A610" s="194"/>
      <c r="B610" s="194"/>
      <c r="C610" s="194"/>
      <c r="D610" s="194"/>
      <c r="E610" s="194"/>
      <c r="F610" s="194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4"/>
      <c r="AA610" s="194"/>
      <c r="AB610" s="194"/>
      <c r="AC610" s="194"/>
      <c r="AD610" s="194"/>
    </row>
    <row r="611" customFormat="false" ht="15.75" hidden="false" customHeight="false" outlineLevel="0" collapsed="false">
      <c r="A611" s="194"/>
      <c r="B611" s="194"/>
      <c r="C611" s="194"/>
      <c r="D611" s="194"/>
      <c r="E611" s="194"/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4"/>
      <c r="AA611" s="194"/>
      <c r="AB611" s="194"/>
      <c r="AC611" s="194"/>
      <c r="AD611" s="194"/>
    </row>
    <row r="612" customFormat="false" ht="15.75" hidden="false" customHeight="false" outlineLevel="0" collapsed="false">
      <c r="A612" s="194"/>
      <c r="B612" s="194"/>
      <c r="C612" s="194"/>
      <c r="D612" s="194"/>
      <c r="E612" s="194"/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4"/>
      <c r="AA612" s="194"/>
      <c r="AB612" s="194"/>
      <c r="AC612" s="194"/>
      <c r="AD612" s="194"/>
    </row>
    <row r="613" customFormat="false" ht="15.75" hidden="false" customHeight="false" outlineLevel="0" collapsed="false">
      <c r="A613" s="194"/>
      <c r="B613" s="194"/>
      <c r="C613" s="194"/>
      <c r="D613" s="194"/>
      <c r="E613" s="194"/>
      <c r="F613" s="194"/>
      <c r="G613" s="194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4"/>
      <c r="AA613" s="194"/>
      <c r="AB613" s="194"/>
      <c r="AC613" s="194"/>
      <c r="AD613" s="194"/>
    </row>
    <row r="614" customFormat="false" ht="15.75" hidden="false" customHeight="false" outlineLevel="0" collapsed="false">
      <c r="A614" s="194"/>
      <c r="B614" s="194"/>
      <c r="C614" s="194"/>
      <c r="D614" s="194"/>
      <c r="E614" s="194"/>
      <c r="F614" s="194"/>
      <c r="G614" s="194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4"/>
      <c r="AA614" s="194"/>
      <c r="AB614" s="194"/>
      <c r="AC614" s="194"/>
      <c r="AD614" s="194"/>
    </row>
    <row r="615" customFormat="false" ht="15.75" hidden="false" customHeight="false" outlineLevel="0" collapsed="false">
      <c r="A615" s="194"/>
      <c r="B615" s="194"/>
      <c r="C615" s="194"/>
      <c r="D615" s="194"/>
      <c r="E615" s="194"/>
      <c r="F615" s="194"/>
      <c r="G615" s="194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4"/>
      <c r="AA615" s="194"/>
      <c r="AB615" s="194"/>
      <c r="AC615" s="194"/>
      <c r="AD615" s="194"/>
    </row>
    <row r="616" customFormat="false" ht="15.75" hidden="false" customHeight="false" outlineLevel="0" collapsed="false">
      <c r="A616" s="194"/>
      <c r="B616" s="194"/>
      <c r="C616" s="194"/>
      <c r="D616" s="194"/>
      <c r="E616" s="194"/>
      <c r="F616" s="194"/>
      <c r="G616" s="194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4"/>
      <c r="AA616" s="194"/>
      <c r="AB616" s="194"/>
      <c r="AC616" s="194"/>
      <c r="AD616" s="194"/>
    </row>
    <row r="617" customFormat="false" ht="15.75" hidden="false" customHeight="false" outlineLevel="0" collapsed="false">
      <c r="A617" s="194"/>
      <c r="B617" s="194"/>
      <c r="C617" s="194"/>
      <c r="D617" s="194"/>
      <c r="E617" s="194"/>
      <c r="F617" s="194"/>
      <c r="G617" s="194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4"/>
      <c r="AA617" s="194"/>
      <c r="AB617" s="194"/>
      <c r="AC617" s="194"/>
      <c r="AD617" s="194"/>
    </row>
    <row r="618" customFormat="false" ht="15.75" hidden="false" customHeight="false" outlineLevel="0" collapsed="false">
      <c r="A618" s="194"/>
      <c r="B618" s="194"/>
      <c r="C618" s="194"/>
      <c r="D618" s="194"/>
      <c r="E618" s="194"/>
      <c r="F618" s="194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4"/>
      <c r="AA618" s="194"/>
      <c r="AB618" s="194"/>
      <c r="AC618" s="194"/>
      <c r="AD618" s="194"/>
    </row>
    <row r="619" customFormat="false" ht="15.75" hidden="false" customHeight="false" outlineLevel="0" collapsed="false">
      <c r="A619" s="194"/>
      <c r="B619" s="194"/>
      <c r="C619" s="194"/>
      <c r="D619" s="194"/>
      <c r="E619" s="194"/>
      <c r="F619" s="194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4"/>
      <c r="AA619" s="194"/>
      <c r="AB619" s="194"/>
      <c r="AC619" s="194"/>
      <c r="AD619" s="194"/>
    </row>
    <row r="620" customFormat="false" ht="15.75" hidden="false" customHeight="false" outlineLevel="0" collapsed="false">
      <c r="A620" s="194"/>
      <c r="B620" s="194"/>
      <c r="C620" s="194"/>
      <c r="D620" s="194"/>
      <c r="E620" s="194"/>
      <c r="F620" s="194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4"/>
      <c r="AA620" s="194"/>
      <c r="AB620" s="194"/>
      <c r="AC620" s="194"/>
      <c r="AD620" s="194"/>
    </row>
    <row r="621" customFormat="false" ht="15.75" hidden="false" customHeight="false" outlineLevel="0" collapsed="false">
      <c r="A621" s="194"/>
      <c r="B621" s="194"/>
      <c r="C621" s="194"/>
      <c r="D621" s="194"/>
      <c r="E621" s="194"/>
      <c r="F621" s="194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4"/>
      <c r="AA621" s="194"/>
      <c r="AB621" s="194"/>
      <c r="AC621" s="194"/>
      <c r="AD621" s="194"/>
    </row>
    <row r="622" customFormat="false" ht="15.75" hidden="false" customHeight="false" outlineLevel="0" collapsed="false">
      <c r="A622" s="194"/>
      <c r="B622" s="194"/>
      <c r="C622" s="194"/>
      <c r="D622" s="194"/>
      <c r="E622" s="194"/>
      <c r="F622" s="194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4"/>
      <c r="AA622" s="194"/>
      <c r="AB622" s="194"/>
      <c r="AC622" s="194"/>
      <c r="AD622" s="194"/>
    </row>
    <row r="623" customFormat="false" ht="15.75" hidden="false" customHeight="false" outlineLevel="0" collapsed="false">
      <c r="A623" s="194"/>
      <c r="B623" s="194"/>
      <c r="C623" s="194"/>
      <c r="D623" s="194"/>
      <c r="E623" s="194"/>
      <c r="F623" s="194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4"/>
      <c r="AA623" s="194"/>
      <c r="AB623" s="194"/>
      <c r="AC623" s="194"/>
      <c r="AD623" s="194"/>
    </row>
    <row r="624" customFormat="false" ht="15.75" hidden="false" customHeight="false" outlineLevel="0" collapsed="false">
      <c r="A624" s="194"/>
      <c r="B624" s="194"/>
      <c r="C624" s="194"/>
      <c r="D624" s="194"/>
      <c r="E624" s="194"/>
      <c r="F624" s="194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4"/>
      <c r="AA624" s="194"/>
      <c r="AB624" s="194"/>
      <c r="AC624" s="194"/>
      <c r="AD624" s="194"/>
    </row>
    <row r="625" customFormat="false" ht="15.75" hidden="false" customHeight="false" outlineLevel="0" collapsed="false">
      <c r="A625" s="194"/>
      <c r="B625" s="194"/>
      <c r="C625" s="194"/>
      <c r="D625" s="194"/>
      <c r="E625" s="194"/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4"/>
      <c r="AA625" s="194"/>
      <c r="AB625" s="194"/>
      <c r="AC625" s="194"/>
      <c r="AD625" s="194"/>
    </row>
    <row r="626" customFormat="false" ht="15.75" hidden="false" customHeight="false" outlineLevel="0" collapsed="false">
      <c r="A626" s="194"/>
      <c r="B626" s="194"/>
      <c r="C626" s="194"/>
      <c r="D626" s="194"/>
      <c r="E626" s="194"/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4"/>
      <c r="AA626" s="194"/>
      <c r="AB626" s="194"/>
      <c r="AC626" s="194"/>
      <c r="AD626" s="194"/>
    </row>
    <row r="627" customFormat="false" ht="15.75" hidden="false" customHeight="false" outlineLevel="0" collapsed="false">
      <c r="A627" s="194"/>
      <c r="B627" s="194"/>
      <c r="C627" s="194"/>
      <c r="D627" s="194"/>
      <c r="E627" s="194"/>
      <c r="F627" s="194"/>
      <c r="G627" s="194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4"/>
      <c r="AA627" s="194"/>
      <c r="AB627" s="194"/>
      <c r="AC627" s="194"/>
      <c r="AD627" s="194"/>
    </row>
    <row r="628" customFormat="false" ht="15.75" hidden="false" customHeight="false" outlineLevel="0" collapsed="false">
      <c r="A628" s="194"/>
      <c r="B628" s="194"/>
      <c r="C628" s="194"/>
      <c r="D628" s="194"/>
      <c r="E628" s="194"/>
      <c r="F628" s="194"/>
      <c r="G628" s="194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4"/>
      <c r="AA628" s="194"/>
      <c r="AB628" s="194"/>
      <c r="AC628" s="194"/>
      <c r="AD628" s="194"/>
    </row>
    <row r="629" customFormat="false" ht="15.75" hidden="false" customHeight="false" outlineLevel="0" collapsed="false">
      <c r="A629" s="194"/>
      <c r="B629" s="194"/>
      <c r="C629" s="194"/>
      <c r="D629" s="194"/>
      <c r="E629" s="194"/>
      <c r="F629" s="194"/>
      <c r="G629" s="194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4"/>
      <c r="AA629" s="194"/>
      <c r="AB629" s="194"/>
      <c r="AC629" s="194"/>
      <c r="AD629" s="194"/>
    </row>
    <row r="630" customFormat="false" ht="15.75" hidden="false" customHeight="false" outlineLevel="0" collapsed="false">
      <c r="A630" s="194"/>
      <c r="B630" s="194"/>
      <c r="C630" s="194"/>
      <c r="D630" s="194"/>
      <c r="E630" s="194"/>
      <c r="F630" s="194"/>
      <c r="G630" s="194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4"/>
      <c r="AA630" s="194"/>
      <c r="AB630" s="194"/>
      <c r="AC630" s="194"/>
      <c r="AD630" s="194"/>
    </row>
    <row r="631" customFormat="false" ht="15.75" hidden="false" customHeight="false" outlineLevel="0" collapsed="false">
      <c r="A631" s="194"/>
      <c r="B631" s="194"/>
      <c r="C631" s="194"/>
      <c r="D631" s="194"/>
      <c r="E631" s="194"/>
      <c r="F631" s="194"/>
      <c r="G631" s="194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4"/>
      <c r="AA631" s="194"/>
      <c r="AB631" s="194"/>
      <c r="AC631" s="194"/>
      <c r="AD631" s="194"/>
    </row>
    <row r="632" customFormat="false" ht="15.75" hidden="false" customHeight="false" outlineLevel="0" collapsed="false">
      <c r="A632" s="194"/>
      <c r="B632" s="194"/>
      <c r="C632" s="194"/>
      <c r="D632" s="194"/>
      <c r="E632" s="194"/>
      <c r="F632" s="194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4"/>
      <c r="AA632" s="194"/>
      <c r="AB632" s="194"/>
      <c r="AC632" s="194"/>
      <c r="AD632" s="194"/>
    </row>
    <row r="633" customFormat="false" ht="15.75" hidden="false" customHeight="false" outlineLevel="0" collapsed="false">
      <c r="A633" s="194"/>
      <c r="B633" s="194"/>
      <c r="C633" s="194"/>
      <c r="D633" s="194"/>
      <c r="E633" s="194"/>
      <c r="F633" s="194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4"/>
      <c r="AA633" s="194"/>
      <c r="AB633" s="194"/>
      <c r="AC633" s="194"/>
      <c r="AD633" s="194"/>
    </row>
    <row r="634" customFormat="false" ht="15.75" hidden="false" customHeight="false" outlineLevel="0" collapsed="false">
      <c r="A634" s="194"/>
      <c r="B634" s="194"/>
      <c r="C634" s="194"/>
      <c r="D634" s="194"/>
      <c r="E634" s="194"/>
      <c r="F634" s="194"/>
      <c r="G634" s="194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4"/>
      <c r="AA634" s="194"/>
      <c r="AB634" s="194"/>
      <c r="AC634" s="194"/>
      <c r="AD634" s="194"/>
    </row>
    <row r="635" customFormat="false" ht="15.75" hidden="false" customHeight="false" outlineLevel="0" collapsed="false">
      <c r="A635" s="194"/>
      <c r="B635" s="194"/>
      <c r="C635" s="194"/>
      <c r="D635" s="194"/>
      <c r="E635" s="194"/>
      <c r="F635" s="194"/>
      <c r="G635" s="194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4"/>
      <c r="AA635" s="194"/>
      <c r="AB635" s="194"/>
      <c r="AC635" s="194"/>
      <c r="AD635" s="194"/>
    </row>
    <row r="636" customFormat="false" ht="15.75" hidden="false" customHeight="false" outlineLevel="0" collapsed="false">
      <c r="A636" s="194"/>
      <c r="B636" s="194"/>
      <c r="C636" s="194"/>
      <c r="D636" s="194"/>
      <c r="E636" s="194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  <c r="AA636" s="194"/>
      <c r="AB636" s="194"/>
      <c r="AC636" s="194"/>
      <c r="AD636" s="194"/>
    </row>
    <row r="637" customFormat="false" ht="15.75" hidden="false" customHeight="false" outlineLevel="0" collapsed="false">
      <c r="A637" s="194"/>
      <c r="B637" s="194"/>
      <c r="C637" s="194"/>
      <c r="D637" s="194"/>
      <c r="E637" s="194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  <c r="AA637" s="194"/>
      <c r="AB637" s="194"/>
      <c r="AC637" s="194"/>
      <c r="AD637" s="194"/>
    </row>
    <row r="638" customFormat="false" ht="15.75" hidden="false" customHeight="false" outlineLevel="0" collapsed="false">
      <c r="A638" s="194"/>
      <c r="B638" s="194"/>
      <c r="C638" s="194"/>
      <c r="D638" s="194"/>
      <c r="E638" s="194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  <c r="AA638" s="194"/>
      <c r="AB638" s="194"/>
      <c r="AC638" s="194"/>
      <c r="AD638" s="194"/>
    </row>
    <row r="639" customFormat="false" ht="15.75" hidden="false" customHeight="false" outlineLevel="0" collapsed="false">
      <c r="A639" s="194"/>
      <c r="B639" s="194"/>
      <c r="C639" s="194"/>
      <c r="D639" s="194"/>
      <c r="E639" s="194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  <c r="AA639" s="194"/>
      <c r="AB639" s="194"/>
      <c r="AC639" s="194"/>
      <c r="AD639" s="194"/>
    </row>
    <row r="640" customFormat="false" ht="15.75" hidden="false" customHeight="false" outlineLevel="0" collapsed="false">
      <c r="A640" s="194"/>
      <c r="B640" s="194"/>
      <c r="C640" s="194"/>
      <c r="D640" s="194"/>
      <c r="E640" s="194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  <c r="AA640" s="194"/>
      <c r="AB640" s="194"/>
      <c r="AC640" s="194"/>
      <c r="AD640" s="194"/>
    </row>
    <row r="641" customFormat="false" ht="15.75" hidden="false" customHeight="false" outlineLevel="0" collapsed="false">
      <c r="A641" s="194"/>
      <c r="B641" s="194"/>
      <c r="C641" s="194"/>
      <c r="D641" s="194"/>
      <c r="E641" s="194"/>
      <c r="F641" s="194"/>
      <c r="G641" s="194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4"/>
      <c r="AA641" s="194"/>
      <c r="AB641" s="194"/>
      <c r="AC641" s="194"/>
      <c r="AD641" s="194"/>
    </row>
    <row r="642" customFormat="false" ht="15.75" hidden="false" customHeight="false" outlineLevel="0" collapsed="false">
      <c r="A642" s="194"/>
      <c r="B642" s="194"/>
      <c r="C642" s="194"/>
      <c r="D642" s="194"/>
      <c r="E642" s="194"/>
      <c r="F642" s="194"/>
      <c r="G642" s="194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4"/>
      <c r="AA642" s="194"/>
      <c r="AB642" s="194"/>
      <c r="AC642" s="194"/>
      <c r="AD642" s="194"/>
    </row>
    <row r="643" customFormat="false" ht="15.75" hidden="false" customHeight="false" outlineLevel="0" collapsed="false">
      <c r="A643" s="194"/>
      <c r="B643" s="194"/>
      <c r="C643" s="194"/>
      <c r="D643" s="194"/>
      <c r="E643" s="194"/>
      <c r="F643" s="194"/>
      <c r="G643" s="194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4"/>
      <c r="AA643" s="194"/>
      <c r="AB643" s="194"/>
      <c r="AC643" s="194"/>
      <c r="AD643" s="194"/>
    </row>
    <row r="644" customFormat="false" ht="15.75" hidden="false" customHeight="false" outlineLevel="0" collapsed="false">
      <c r="A644" s="194"/>
      <c r="B644" s="194"/>
      <c r="C644" s="194"/>
      <c r="D644" s="194"/>
      <c r="E644" s="194"/>
      <c r="F644" s="194"/>
      <c r="G644" s="194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4"/>
      <c r="AA644" s="194"/>
      <c r="AB644" s="194"/>
      <c r="AC644" s="194"/>
      <c r="AD644" s="194"/>
    </row>
    <row r="645" customFormat="false" ht="15.75" hidden="false" customHeight="false" outlineLevel="0" collapsed="false">
      <c r="A645" s="194"/>
      <c r="B645" s="194"/>
      <c r="C645" s="194"/>
      <c r="D645" s="194"/>
      <c r="E645" s="194"/>
      <c r="F645" s="194"/>
      <c r="G645" s="194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4"/>
      <c r="AA645" s="194"/>
      <c r="AB645" s="194"/>
      <c r="AC645" s="194"/>
      <c r="AD645" s="194"/>
    </row>
    <row r="646" customFormat="false" ht="15.75" hidden="false" customHeight="false" outlineLevel="0" collapsed="false">
      <c r="A646" s="194"/>
      <c r="B646" s="194"/>
      <c r="C646" s="194"/>
      <c r="D646" s="194"/>
      <c r="E646" s="194"/>
      <c r="F646" s="194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4"/>
      <c r="AA646" s="194"/>
      <c r="AB646" s="194"/>
      <c r="AC646" s="194"/>
      <c r="AD646" s="194"/>
    </row>
    <row r="647" customFormat="false" ht="15.75" hidden="false" customHeight="false" outlineLevel="0" collapsed="false">
      <c r="A647" s="194"/>
      <c r="B647" s="194"/>
      <c r="C647" s="194"/>
      <c r="D647" s="194"/>
      <c r="E647" s="194"/>
      <c r="F647" s="194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4"/>
      <c r="AA647" s="194"/>
      <c r="AB647" s="194"/>
      <c r="AC647" s="194"/>
      <c r="AD647" s="194"/>
    </row>
    <row r="648" customFormat="false" ht="15.75" hidden="false" customHeight="false" outlineLevel="0" collapsed="false">
      <c r="A648" s="194"/>
      <c r="B648" s="194"/>
      <c r="C648" s="194"/>
      <c r="D648" s="194"/>
      <c r="E648" s="194"/>
      <c r="F648" s="194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4"/>
      <c r="AA648" s="194"/>
      <c r="AB648" s="194"/>
      <c r="AC648" s="194"/>
      <c r="AD648" s="194"/>
    </row>
    <row r="649" customFormat="false" ht="15.75" hidden="false" customHeight="false" outlineLevel="0" collapsed="false">
      <c r="A649" s="194"/>
      <c r="B649" s="194"/>
      <c r="C649" s="194"/>
      <c r="D649" s="194"/>
      <c r="E649" s="194"/>
      <c r="F649" s="194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4"/>
      <c r="AA649" s="194"/>
      <c r="AB649" s="194"/>
      <c r="AC649" s="194"/>
      <c r="AD649" s="194"/>
    </row>
    <row r="650" customFormat="false" ht="15.75" hidden="false" customHeight="false" outlineLevel="0" collapsed="false">
      <c r="A650" s="194"/>
      <c r="B650" s="194"/>
      <c r="C650" s="194"/>
      <c r="D650" s="194"/>
      <c r="E650" s="194"/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4"/>
      <c r="AA650" s="194"/>
      <c r="AB650" s="194"/>
      <c r="AC650" s="194"/>
      <c r="AD650" s="194"/>
    </row>
    <row r="651" customFormat="false" ht="15.75" hidden="false" customHeight="false" outlineLevel="0" collapsed="false">
      <c r="A651" s="194"/>
      <c r="B651" s="194"/>
      <c r="C651" s="194"/>
      <c r="D651" s="194"/>
      <c r="E651" s="194"/>
      <c r="F651" s="194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4"/>
      <c r="AA651" s="194"/>
      <c r="AB651" s="194"/>
      <c r="AC651" s="194"/>
      <c r="AD651" s="194"/>
    </row>
    <row r="652" customFormat="false" ht="15.75" hidden="false" customHeight="false" outlineLevel="0" collapsed="false">
      <c r="A652" s="194"/>
      <c r="B652" s="194"/>
      <c r="C652" s="194"/>
      <c r="D652" s="194"/>
      <c r="E652" s="194"/>
      <c r="F652" s="194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4"/>
      <c r="AA652" s="194"/>
      <c r="AB652" s="194"/>
      <c r="AC652" s="194"/>
      <c r="AD652" s="194"/>
    </row>
    <row r="653" customFormat="false" ht="15.75" hidden="false" customHeight="false" outlineLevel="0" collapsed="false">
      <c r="A653" s="194"/>
      <c r="B653" s="194"/>
      <c r="C653" s="194"/>
      <c r="D653" s="194"/>
      <c r="E653" s="194"/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4"/>
      <c r="AA653" s="194"/>
      <c r="AB653" s="194"/>
      <c r="AC653" s="194"/>
      <c r="AD653" s="194"/>
    </row>
    <row r="654" customFormat="false" ht="15.75" hidden="false" customHeight="false" outlineLevel="0" collapsed="false">
      <c r="A654" s="194"/>
      <c r="B654" s="194"/>
      <c r="C654" s="194"/>
      <c r="D654" s="194"/>
      <c r="E654" s="194"/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4"/>
      <c r="AA654" s="194"/>
      <c r="AB654" s="194"/>
      <c r="AC654" s="194"/>
      <c r="AD654" s="194"/>
    </row>
    <row r="655" customFormat="false" ht="15.75" hidden="false" customHeight="false" outlineLevel="0" collapsed="false">
      <c r="A655" s="194"/>
      <c r="B655" s="194"/>
      <c r="C655" s="194"/>
      <c r="D655" s="194"/>
      <c r="E655" s="194"/>
      <c r="F655" s="194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4"/>
      <c r="AA655" s="194"/>
      <c r="AB655" s="194"/>
      <c r="AC655" s="194"/>
      <c r="AD655" s="194"/>
    </row>
    <row r="656" customFormat="false" ht="15.75" hidden="false" customHeight="false" outlineLevel="0" collapsed="false">
      <c r="A656" s="194"/>
      <c r="B656" s="194"/>
      <c r="C656" s="194"/>
      <c r="D656" s="194"/>
      <c r="E656" s="194"/>
      <c r="F656" s="194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4"/>
      <c r="AA656" s="194"/>
      <c r="AB656" s="194"/>
      <c r="AC656" s="194"/>
      <c r="AD656" s="194"/>
    </row>
    <row r="657" customFormat="false" ht="15.75" hidden="false" customHeight="false" outlineLevel="0" collapsed="false">
      <c r="A657" s="194"/>
      <c r="B657" s="194"/>
      <c r="C657" s="194"/>
      <c r="D657" s="194"/>
      <c r="E657" s="194"/>
      <c r="F657" s="194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4"/>
      <c r="AA657" s="194"/>
      <c r="AB657" s="194"/>
      <c r="AC657" s="194"/>
      <c r="AD657" s="194"/>
    </row>
    <row r="658" customFormat="false" ht="15.75" hidden="false" customHeight="false" outlineLevel="0" collapsed="false">
      <c r="A658" s="194"/>
      <c r="B658" s="194"/>
      <c r="C658" s="194"/>
      <c r="D658" s="194"/>
      <c r="E658" s="194"/>
      <c r="F658" s="194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4"/>
      <c r="AA658" s="194"/>
      <c r="AB658" s="194"/>
      <c r="AC658" s="194"/>
      <c r="AD658" s="194"/>
    </row>
    <row r="659" customFormat="false" ht="15.75" hidden="false" customHeight="false" outlineLevel="0" collapsed="false">
      <c r="A659" s="194"/>
      <c r="B659" s="194"/>
      <c r="C659" s="194"/>
      <c r="D659" s="194"/>
      <c r="E659" s="194"/>
      <c r="F659" s="194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4"/>
      <c r="AA659" s="194"/>
      <c r="AB659" s="194"/>
      <c r="AC659" s="194"/>
      <c r="AD659" s="194"/>
    </row>
    <row r="660" customFormat="false" ht="15.75" hidden="false" customHeight="false" outlineLevel="0" collapsed="false">
      <c r="A660" s="194"/>
      <c r="B660" s="194"/>
      <c r="C660" s="194"/>
      <c r="D660" s="194"/>
      <c r="E660" s="194"/>
      <c r="F660" s="194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4"/>
      <c r="AA660" s="194"/>
      <c r="AB660" s="194"/>
      <c r="AC660" s="194"/>
      <c r="AD660" s="194"/>
    </row>
    <row r="661" customFormat="false" ht="15.75" hidden="false" customHeight="false" outlineLevel="0" collapsed="false">
      <c r="A661" s="194"/>
      <c r="B661" s="194"/>
      <c r="C661" s="194"/>
      <c r="D661" s="194"/>
      <c r="E661" s="194"/>
      <c r="F661" s="194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4"/>
      <c r="AA661" s="194"/>
      <c r="AB661" s="194"/>
      <c r="AC661" s="194"/>
      <c r="AD661" s="194"/>
    </row>
    <row r="662" customFormat="false" ht="15.75" hidden="false" customHeight="false" outlineLevel="0" collapsed="false">
      <c r="A662" s="194"/>
      <c r="B662" s="194"/>
      <c r="C662" s="194"/>
      <c r="D662" s="194"/>
      <c r="E662" s="194"/>
      <c r="F662" s="194"/>
      <c r="G662" s="194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4"/>
      <c r="AA662" s="194"/>
      <c r="AB662" s="194"/>
      <c r="AC662" s="194"/>
      <c r="AD662" s="194"/>
    </row>
    <row r="663" customFormat="false" ht="15.75" hidden="false" customHeight="false" outlineLevel="0" collapsed="false">
      <c r="A663" s="194"/>
      <c r="B663" s="194"/>
      <c r="C663" s="194"/>
      <c r="D663" s="194"/>
      <c r="E663" s="194"/>
      <c r="F663" s="194"/>
      <c r="G663" s="194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4"/>
      <c r="AA663" s="194"/>
      <c r="AB663" s="194"/>
      <c r="AC663" s="194"/>
      <c r="AD663" s="194"/>
    </row>
    <row r="664" customFormat="false" ht="15.75" hidden="false" customHeight="false" outlineLevel="0" collapsed="false">
      <c r="A664" s="194"/>
      <c r="B664" s="194"/>
      <c r="C664" s="194"/>
      <c r="D664" s="194"/>
      <c r="E664" s="194"/>
      <c r="F664" s="194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4"/>
      <c r="AA664" s="194"/>
      <c r="AB664" s="194"/>
      <c r="AC664" s="194"/>
      <c r="AD664" s="194"/>
    </row>
    <row r="665" customFormat="false" ht="15.75" hidden="false" customHeight="false" outlineLevel="0" collapsed="false">
      <c r="A665" s="194"/>
      <c r="B665" s="194"/>
      <c r="C665" s="194"/>
      <c r="D665" s="194"/>
      <c r="E665" s="194"/>
      <c r="F665" s="194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4"/>
      <c r="AA665" s="194"/>
      <c r="AB665" s="194"/>
      <c r="AC665" s="194"/>
      <c r="AD665" s="194"/>
    </row>
    <row r="666" customFormat="false" ht="15.75" hidden="false" customHeight="false" outlineLevel="0" collapsed="false">
      <c r="A666" s="194"/>
      <c r="B666" s="194"/>
      <c r="C666" s="194"/>
      <c r="D666" s="194"/>
      <c r="E666" s="194"/>
      <c r="F666" s="194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4"/>
      <c r="AA666" s="194"/>
      <c r="AB666" s="194"/>
      <c r="AC666" s="194"/>
      <c r="AD666" s="194"/>
    </row>
    <row r="667" customFormat="false" ht="15.75" hidden="false" customHeight="false" outlineLevel="0" collapsed="false">
      <c r="A667" s="194"/>
      <c r="B667" s="194"/>
      <c r="C667" s="194"/>
      <c r="D667" s="194"/>
      <c r="E667" s="194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4"/>
      <c r="AA667" s="194"/>
      <c r="AB667" s="194"/>
      <c r="AC667" s="194"/>
      <c r="AD667" s="194"/>
    </row>
    <row r="668" customFormat="false" ht="15.75" hidden="false" customHeight="false" outlineLevel="0" collapsed="false">
      <c r="A668" s="194"/>
      <c r="B668" s="194"/>
      <c r="C668" s="194"/>
      <c r="D668" s="194"/>
      <c r="E668" s="194"/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4"/>
      <c r="AA668" s="194"/>
      <c r="AB668" s="194"/>
      <c r="AC668" s="194"/>
      <c r="AD668" s="194"/>
    </row>
    <row r="669" customFormat="false" ht="15.75" hidden="false" customHeight="false" outlineLevel="0" collapsed="false">
      <c r="A669" s="194"/>
      <c r="B669" s="194"/>
      <c r="C669" s="194"/>
      <c r="D669" s="194"/>
      <c r="E669" s="194"/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4"/>
      <c r="AA669" s="194"/>
      <c r="AB669" s="194"/>
      <c r="AC669" s="194"/>
      <c r="AD669" s="194"/>
    </row>
    <row r="670" customFormat="false" ht="15.75" hidden="false" customHeight="false" outlineLevel="0" collapsed="false">
      <c r="A670" s="194"/>
      <c r="B670" s="194"/>
      <c r="C670" s="194"/>
      <c r="D670" s="194"/>
      <c r="E670" s="194"/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4"/>
      <c r="AA670" s="194"/>
      <c r="AB670" s="194"/>
      <c r="AC670" s="194"/>
      <c r="AD670" s="194"/>
    </row>
    <row r="671" customFormat="false" ht="15.75" hidden="false" customHeight="false" outlineLevel="0" collapsed="false">
      <c r="A671" s="194"/>
      <c r="B671" s="194"/>
      <c r="C671" s="194"/>
      <c r="D671" s="194"/>
      <c r="E671" s="194"/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4"/>
      <c r="AA671" s="194"/>
      <c r="AB671" s="194"/>
      <c r="AC671" s="194"/>
      <c r="AD671" s="194"/>
    </row>
    <row r="672" customFormat="false" ht="15.75" hidden="false" customHeight="false" outlineLevel="0" collapsed="false">
      <c r="A672" s="194"/>
      <c r="B672" s="194"/>
      <c r="C672" s="194"/>
      <c r="D672" s="194"/>
      <c r="E672" s="194"/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  <c r="AA672" s="194"/>
      <c r="AB672" s="194"/>
      <c r="AC672" s="194"/>
      <c r="AD672" s="194"/>
    </row>
    <row r="673" customFormat="false" ht="15.75" hidden="false" customHeight="false" outlineLevel="0" collapsed="false">
      <c r="A673" s="194"/>
      <c r="B673" s="194"/>
      <c r="C673" s="194"/>
      <c r="D673" s="194"/>
      <c r="E673" s="194"/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  <c r="AA673" s="194"/>
      <c r="AB673" s="194"/>
      <c r="AC673" s="194"/>
      <c r="AD673" s="194"/>
    </row>
    <row r="674" customFormat="false" ht="15.75" hidden="false" customHeight="false" outlineLevel="0" collapsed="false">
      <c r="A674" s="194"/>
      <c r="B674" s="194"/>
      <c r="C674" s="194"/>
      <c r="D674" s="194"/>
      <c r="E674" s="194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  <c r="AA674" s="194"/>
      <c r="AB674" s="194"/>
      <c r="AC674" s="194"/>
      <c r="AD674" s="194"/>
    </row>
    <row r="675" customFormat="false" ht="15.75" hidden="false" customHeight="false" outlineLevel="0" collapsed="false">
      <c r="A675" s="194"/>
      <c r="B675" s="194"/>
      <c r="C675" s="194"/>
      <c r="D675" s="194"/>
      <c r="E675" s="194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  <c r="AA675" s="194"/>
      <c r="AB675" s="194"/>
      <c r="AC675" s="194"/>
      <c r="AD675" s="194"/>
    </row>
    <row r="676" customFormat="false" ht="15.75" hidden="false" customHeight="false" outlineLevel="0" collapsed="false">
      <c r="A676" s="194"/>
      <c r="B676" s="194"/>
      <c r="C676" s="194"/>
      <c r="D676" s="194"/>
      <c r="E676" s="194"/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  <c r="AA676" s="194"/>
      <c r="AB676" s="194"/>
      <c r="AC676" s="194"/>
      <c r="AD676" s="194"/>
    </row>
    <row r="677" customFormat="false" ht="15.75" hidden="false" customHeight="false" outlineLevel="0" collapsed="false">
      <c r="A677" s="194"/>
      <c r="B677" s="194"/>
      <c r="C677" s="194"/>
      <c r="D677" s="194"/>
      <c r="E677" s="194"/>
      <c r="F677" s="194"/>
      <c r="G677" s="194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4"/>
      <c r="AA677" s="194"/>
      <c r="AB677" s="194"/>
      <c r="AC677" s="194"/>
      <c r="AD677" s="194"/>
    </row>
    <row r="678" customFormat="false" ht="15.75" hidden="false" customHeight="false" outlineLevel="0" collapsed="false">
      <c r="A678" s="194"/>
      <c r="B678" s="194"/>
      <c r="C678" s="194"/>
      <c r="D678" s="194"/>
      <c r="E678" s="194"/>
      <c r="F678" s="194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4"/>
      <c r="AA678" s="194"/>
      <c r="AB678" s="194"/>
      <c r="AC678" s="194"/>
      <c r="AD678" s="194"/>
    </row>
    <row r="679" customFormat="false" ht="15.75" hidden="false" customHeight="false" outlineLevel="0" collapsed="false">
      <c r="A679" s="194"/>
      <c r="B679" s="194"/>
      <c r="C679" s="194"/>
      <c r="D679" s="194"/>
      <c r="E679" s="194"/>
      <c r="F679" s="194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4"/>
      <c r="AA679" s="194"/>
      <c r="AB679" s="194"/>
      <c r="AC679" s="194"/>
      <c r="AD679" s="194"/>
    </row>
    <row r="680" customFormat="false" ht="15.75" hidden="false" customHeight="false" outlineLevel="0" collapsed="false">
      <c r="A680" s="194"/>
      <c r="B680" s="194"/>
      <c r="C680" s="194"/>
      <c r="D680" s="194"/>
      <c r="E680" s="194"/>
      <c r="F680" s="194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4"/>
      <c r="AA680" s="194"/>
      <c r="AB680" s="194"/>
      <c r="AC680" s="194"/>
      <c r="AD680" s="194"/>
    </row>
    <row r="681" customFormat="false" ht="15.75" hidden="false" customHeight="false" outlineLevel="0" collapsed="false">
      <c r="A681" s="194"/>
      <c r="B681" s="194"/>
      <c r="C681" s="194"/>
      <c r="D681" s="194"/>
      <c r="E681" s="194"/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4"/>
      <c r="AA681" s="194"/>
      <c r="AB681" s="194"/>
      <c r="AC681" s="194"/>
      <c r="AD681" s="194"/>
    </row>
    <row r="682" customFormat="false" ht="15.75" hidden="false" customHeight="false" outlineLevel="0" collapsed="false">
      <c r="A682" s="194"/>
      <c r="B682" s="194"/>
      <c r="C682" s="194"/>
      <c r="D682" s="194"/>
      <c r="E682" s="194"/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4"/>
      <c r="AA682" s="194"/>
      <c r="AB682" s="194"/>
      <c r="AC682" s="194"/>
      <c r="AD682" s="194"/>
    </row>
    <row r="683" customFormat="false" ht="15.75" hidden="false" customHeight="false" outlineLevel="0" collapsed="false">
      <c r="A683" s="194"/>
      <c r="B683" s="194"/>
      <c r="C683" s="194"/>
      <c r="D683" s="194"/>
      <c r="E683" s="194"/>
      <c r="F683" s="194"/>
      <c r="G683" s="194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4"/>
      <c r="AA683" s="194"/>
      <c r="AB683" s="194"/>
      <c r="AC683" s="194"/>
      <c r="AD683" s="194"/>
    </row>
    <row r="684" customFormat="false" ht="15.75" hidden="false" customHeight="false" outlineLevel="0" collapsed="false">
      <c r="A684" s="194"/>
      <c r="B684" s="194"/>
      <c r="C684" s="194"/>
      <c r="D684" s="194"/>
      <c r="E684" s="194"/>
      <c r="F684" s="194"/>
      <c r="G684" s="194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4"/>
      <c r="AA684" s="194"/>
      <c r="AB684" s="194"/>
      <c r="AC684" s="194"/>
      <c r="AD684" s="194"/>
    </row>
    <row r="685" customFormat="false" ht="15.75" hidden="false" customHeight="false" outlineLevel="0" collapsed="false">
      <c r="A685" s="194"/>
      <c r="B685" s="194"/>
      <c r="C685" s="194"/>
      <c r="D685" s="194"/>
      <c r="E685" s="194"/>
      <c r="F685" s="194"/>
      <c r="G685" s="194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4"/>
      <c r="AA685" s="194"/>
      <c r="AB685" s="194"/>
      <c r="AC685" s="194"/>
      <c r="AD685" s="194"/>
    </row>
    <row r="686" customFormat="false" ht="15.75" hidden="false" customHeight="false" outlineLevel="0" collapsed="false">
      <c r="A686" s="194"/>
      <c r="B686" s="194"/>
      <c r="C686" s="194"/>
      <c r="D686" s="194"/>
      <c r="E686" s="194"/>
      <c r="F686" s="194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4"/>
      <c r="AA686" s="194"/>
      <c r="AB686" s="194"/>
      <c r="AC686" s="194"/>
      <c r="AD686" s="194"/>
    </row>
    <row r="687" customFormat="false" ht="15.75" hidden="false" customHeight="false" outlineLevel="0" collapsed="false">
      <c r="A687" s="194"/>
      <c r="B687" s="194"/>
      <c r="C687" s="194"/>
      <c r="D687" s="194"/>
      <c r="E687" s="194"/>
      <c r="F687" s="194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4"/>
      <c r="AA687" s="194"/>
      <c r="AB687" s="194"/>
      <c r="AC687" s="194"/>
      <c r="AD687" s="194"/>
    </row>
    <row r="688" customFormat="false" ht="15.75" hidden="false" customHeight="false" outlineLevel="0" collapsed="false">
      <c r="A688" s="194"/>
      <c r="B688" s="194"/>
      <c r="C688" s="194"/>
      <c r="D688" s="194"/>
      <c r="E688" s="194"/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4"/>
      <c r="AA688" s="194"/>
      <c r="AB688" s="194"/>
      <c r="AC688" s="194"/>
      <c r="AD688" s="194"/>
    </row>
    <row r="689" customFormat="false" ht="15.75" hidden="false" customHeight="false" outlineLevel="0" collapsed="false">
      <c r="A689" s="194"/>
      <c r="B689" s="194"/>
      <c r="C689" s="194"/>
      <c r="D689" s="194"/>
      <c r="E689" s="194"/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4"/>
      <c r="AA689" s="194"/>
      <c r="AB689" s="194"/>
      <c r="AC689" s="194"/>
      <c r="AD689" s="194"/>
    </row>
    <row r="690" customFormat="false" ht="15.75" hidden="false" customHeight="false" outlineLevel="0" collapsed="false">
      <c r="A690" s="194"/>
      <c r="B690" s="194"/>
      <c r="C690" s="194"/>
      <c r="D690" s="194"/>
      <c r="E690" s="194"/>
      <c r="F690" s="194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4"/>
      <c r="AA690" s="194"/>
      <c r="AB690" s="194"/>
      <c r="AC690" s="194"/>
      <c r="AD690" s="194"/>
    </row>
    <row r="691" customFormat="false" ht="15.75" hidden="false" customHeight="false" outlineLevel="0" collapsed="false">
      <c r="A691" s="194"/>
      <c r="B691" s="194"/>
      <c r="C691" s="194"/>
      <c r="D691" s="194"/>
      <c r="E691" s="194"/>
      <c r="F691" s="194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4"/>
      <c r="AA691" s="194"/>
      <c r="AB691" s="194"/>
      <c r="AC691" s="194"/>
      <c r="AD691" s="194"/>
    </row>
    <row r="692" customFormat="false" ht="15.75" hidden="false" customHeight="false" outlineLevel="0" collapsed="false">
      <c r="A692" s="194"/>
      <c r="B692" s="194"/>
      <c r="C692" s="194"/>
      <c r="D692" s="194"/>
      <c r="E692" s="194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  <c r="AA692" s="194"/>
      <c r="AB692" s="194"/>
      <c r="AC692" s="194"/>
      <c r="AD692" s="194"/>
    </row>
    <row r="693" customFormat="false" ht="15.75" hidden="false" customHeight="false" outlineLevel="0" collapsed="false">
      <c r="A693" s="194"/>
      <c r="B693" s="194"/>
      <c r="C693" s="194"/>
      <c r="D693" s="194"/>
      <c r="E693" s="194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  <c r="AA693" s="194"/>
      <c r="AB693" s="194"/>
      <c r="AC693" s="194"/>
      <c r="AD693" s="194"/>
    </row>
    <row r="694" customFormat="false" ht="15.75" hidden="false" customHeight="false" outlineLevel="0" collapsed="false">
      <c r="A694" s="194"/>
      <c r="B694" s="194"/>
      <c r="C694" s="194"/>
      <c r="D694" s="194"/>
      <c r="E694" s="194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4"/>
      <c r="AA694" s="194"/>
      <c r="AB694" s="194"/>
      <c r="AC694" s="194"/>
      <c r="AD694" s="194"/>
    </row>
    <row r="695" customFormat="false" ht="15.75" hidden="false" customHeight="false" outlineLevel="0" collapsed="false">
      <c r="A695" s="194"/>
      <c r="B695" s="194"/>
      <c r="C695" s="194"/>
      <c r="D695" s="194"/>
      <c r="E695" s="194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4"/>
      <c r="AA695" s="194"/>
      <c r="AB695" s="194"/>
      <c r="AC695" s="194"/>
      <c r="AD695" s="194"/>
    </row>
    <row r="696" customFormat="false" ht="15.75" hidden="false" customHeight="false" outlineLevel="0" collapsed="false">
      <c r="A696" s="194"/>
      <c r="B696" s="194"/>
      <c r="C696" s="194"/>
      <c r="D696" s="194"/>
      <c r="E696" s="194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4"/>
      <c r="AA696" s="194"/>
      <c r="AB696" s="194"/>
      <c r="AC696" s="194"/>
      <c r="AD696" s="194"/>
    </row>
    <row r="697" customFormat="false" ht="15.75" hidden="false" customHeight="false" outlineLevel="0" collapsed="false">
      <c r="A697" s="194"/>
      <c r="B697" s="194"/>
      <c r="C697" s="194"/>
      <c r="D697" s="194"/>
      <c r="E697" s="194"/>
      <c r="F697" s="194"/>
      <c r="G697" s="194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4"/>
      <c r="AA697" s="194"/>
      <c r="AB697" s="194"/>
      <c r="AC697" s="194"/>
      <c r="AD697" s="194"/>
    </row>
    <row r="698" customFormat="false" ht="15.75" hidden="false" customHeight="false" outlineLevel="0" collapsed="false">
      <c r="A698" s="194"/>
      <c r="B698" s="194"/>
      <c r="C698" s="194"/>
      <c r="D698" s="194"/>
      <c r="E698" s="194"/>
      <c r="F698" s="194"/>
      <c r="G698" s="194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4"/>
      <c r="AA698" s="194"/>
      <c r="AB698" s="194"/>
      <c r="AC698" s="194"/>
      <c r="AD698" s="194"/>
    </row>
    <row r="699" customFormat="false" ht="15.75" hidden="false" customHeight="false" outlineLevel="0" collapsed="false">
      <c r="A699" s="194"/>
      <c r="B699" s="194"/>
      <c r="C699" s="194"/>
      <c r="D699" s="194"/>
      <c r="E699" s="194"/>
      <c r="F699" s="194"/>
      <c r="G699" s="194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4"/>
      <c r="AA699" s="194"/>
      <c r="AB699" s="194"/>
      <c r="AC699" s="194"/>
      <c r="AD699" s="194"/>
    </row>
    <row r="700" customFormat="false" ht="15.75" hidden="false" customHeight="false" outlineLevel="0" collapsed="false">
      <c r="A700" s="194"/>
      <c r="B700" s="194"/>
      <c r="C700" s="194"/>
      <c r="D700" s="194"/>
      <c r="E700" s="194"/>
      <c r="F700" s="194"/>
      <c r="G700" s="194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4"/>
      <c r="AA700" s="194"/>
      <c r="AB700" s="194"/>
      <c r="AC700" s="194"/>
      <c r="AD700" s="194"/>
    </row>
    <row r="701" customFormat="false" ht="15.75" hidden="false" customHeight="false" outlineLevel="0" collapsed="false">
      <c r="A701" s="194"/>
      <c r="B701" s="194"/>
      <c r="C701" s="194"/>
      <c r="D701" s="194"/>
      <c r="E701" s="194"/>
      <c r="F701" s="194"/>
      <c r="G701" s="194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4"/>
      <c r="AA701" s="194"/>
      <c r="AB701" s="194"/>
      <c r="AC701" s="194"/>
      <c r="AD701" s="194"/>
    </row>
    <row r="702" customFormat="false" ht="15.75" hidden="false" customHeight="false" outlineLevel="0" collapsed="false">
      <c r="A702" s="194"/>
      <c r="B702" s="194"/>
      <c r="C702" s="194"/>
      <c r="D702" s="194"/>
      <c r="E702" s="194"/>
      <c r="F702" s="194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4"/>
      <c r="AA702" s="194"/>
      <c r="AB702" s="194"/>
      <c r="AC702" s="194"/>
      <c r="AD702" s="194"/>
    </row>
    <row r="703" customFormat="false" ht="15.75" hidden="false" customHeight="false" outlineLevel="0" collapsed="false">
      <c r="A703" s="194"/>
      <c r="B703" s="194"/>
      <c r="C703" s="194"/>
      <c r="D703" s="194"/>
      <c r="E703" s="194"/>
      <c r="F703" s="194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4"/>
      <c r="AA703" s="194"/>
      <c r="AB703" s="194"/>
      <c r="AC703" s="194"/>
      <c r="AD703" s="194"/>
    </row>
    <row r="704" customFormat="false" ht="15.75" hidden="false" customHeight="false" outlineLevel="0" collapsed="false">
      <c r="A704" s="194"/>
      <c r="B704" s="194"/>
      <c r="C704" s="194"/>
      <c r="D704" s="194"/>
      <c r="E704" s="194"/>
      <c r="F704" s="194"/>
      <c r="G704" s="194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4"/>
      <c r="AA704" s="194"/>
      <c r="AB704" s="194"/>
      <c r="AC704" s="194"/>
      <c r="AD704" s="194"/>
    </row>
    <row r="705" customFormat="false" ht="15.75" hidden="false" customHeight="false" outlineLevel="0" collapsed="false">
      <c r="A705" s="194"/>
      <c r="B705" s="194"/>
      <c r="C705" s="194"/>
      <c r="D705" s="194"/>
      <c r="E705" s="194"/>
      <c r="F705" s="194"/>
      <c r="G705" s="194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4"/>
      <c r="AA705" s="194"/>
      <c r="AB705" s="194"/>
      <c r="AC705" s="194"/>
      <c r="AD705" s="194"/>
    </row>
    <row r="706" customFormat="false" ht="15.75" hidden="false" customHeight="false" outlineLevel="0" collapsed="false">
      <c r="A706" s="194"/>
      <c r="B706" s="194"/>
      <c r="C706" s="194"/>
      <c r="D706" s="194"/>
      <c r="E706" s="194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4"/>
      <c r="AA706" s="194"/>
      <c r="AB706" s="194"/>
      <c r="AC706" s="194"/>
      <c r="AD706" s="194"/>
    </row>
    <row r="707" customFormat="false" ht="15.75" hidden="false" customHeight="false" outlineLevel="0" collapsed="false">
      <c r="A707" s="194"/>
      <c r="B707" s="194"/>
      <c r="C707" s="194"/>
      <c r="D707" s="194"/>
      <c r="E707" s="194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4"/>
      <c r="AA707" s="194"/>
      <c r="AB707" s="194"/>
      <c r="AC707" s="194"/>
      <c r="AD707" s="194"/>
    </row>
    <row r="708" customFormat="false" ht="15.75" hidden="false" customHeight="false" outlineLevel="0" collapsed="false">
      <c r="A708" s="194"/>
      <c r="B708" s="194"/>
      <c r="C708" s="194"/>
      <c r="D708" s="194"/>
      <c r="E708" s="194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4"/>
      <c r="AA708" s="194"/>
      <c r="AB708" s="194"/>
      <c r="AC708" s="194"/>
      <c r="AD708" s="194"/>
    </row>
    <row r="709" customFormat="false" ht="15.75" hidden="false" customHeight="false" outlineLevel="0" collapsed="false">
      <c r="A709" s="194"/>
      <c r="B709" s="194"/>
      <c r="C709" s="194"/>
      <c r="D709" s="194"/>
      <c r="E709" s="194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4"/>
      <c r="AA709" s="194"/>
      <c r="AB709" s="194"/>
      <c r="AC709" s="194"/>
      <c r="AD709" s="194"/>
    </row>
    <row r="710" customFormat="false" ht="15.75" hidden="false" customHeight="false" outlineLevel="0" collapsed="false">
      <c r="A710" s="194"/>
      <c r="B710" s="194"/>
      <c r="C710" s="194"/>
      <c r="D710" s="194"/>
      <c r="E710" s="194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4"/>
      <c r="AA710" s="194"/>
      <c r="AB710" s="194"/>
      <c r="AC710" s="194"/>
      <c r="AD710" s="194"/>
    </row>
    <row r="711" customFormat="false" ht="15.75" hidden="false" customHeight="false" outlineLevel="0" collapsed="false">
      <c r="A711" s="194"/>
      <c r="B711" s="194"/>
      <c r="C711" s="194"/>
      <c r="D711" s="194"/>
      <c r="E711" s="194"/>
      <c r="F711" s="194"/>
      <c r="G711" s="194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4"/>
      <c r="AA711" s="194"/>
      <c r="AB711" s="194"/>
      <c r="AC711" s="194"/>
      <c r="AD711" s="194"/>
    </row>
    <row r="712" customFormat="false" ht="15.75" hidden="false" customHeight="false" outlineLevel="0" collapsed="false">
      <c r="A712" s="194"/>
      <c r="B712" s="194"/>
      <c r="C712" s="194"/>
      <c r="D712" s="194"/>
      <c r="E712" s="194"/>
      <c r="F712" s="194"/>
      <c r="G712" s="194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4"/>
      <c r="AA712" s="194"/>
      <c r="AB712" s="194"/>
      <c r="AC712" s="194"/>
      <c r="AD712" s="194"/>
    </row>
    <row r="713" customFormat="false" ht="15.75" hidden="false" customHeight="false" outlineLevel="0" collapsed="false">
      <c r="A713" s="194"/>
      <c r="B713" s="194"/>
      <c r="C713" s="194"/>
      <c r="D713" s="194"/>
      <c r="E713" s="194"/>
      <c r="F713" s="194"/>
      <c r="G713" s="194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4"/>
      <c r="AA713" s="194"/>
      <c r="AB713" s="194"/>
      <c r="AC713" s="194"/>
      <c r="AD713" s="194"/>
    </row>
    <row r="714" customFormat="false" ht="15.75" hidden="false" customHeight="false" outlineLevel="0" collapsed="false">
      <c r="A714" s="194"/>
      <c r="B714" s="194"/>
      <c r="C714" s="194"/>
      <c r="D714" s="194"/>
      <c r="E714" s="194"/>
      <c r="F714" s="194"/>
      <c r="G714" s="194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4"/>
      <c r="AA714" s="194"/>
      <c r="AB714" s="194"/>
      <c r="AC714" s="194"/>
      <c r="AD714" s="194"/>
    </row>
    <row r="715" customFormat="false" ht="15.75" hidden="false" customHeight="false" outlineLevel="0" collapsed="false">
      <c r="A715" s="194"/>
      <c r="B715" s="194"/>
      <c r="C715" s="194"/>
      <c r="D715" s="194"/>
      <c r="E715" s="194"/>
      <c r="F715" s="194"/>
      <c r="G715" s="194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4"/>
      <c r="AA715" s="194"/>
      <c r="AB715" s="194"/>
      <c r="AC715" s="194"/>
      <c r="AD715" s="194"/>
    </row>
    <row r="716" customFormat="false" ht="15.75" hidden="false" customHeight="false" outlineLevel="0" collapsed="false">
      <c r="A716" s="194"/>
      <c r="B716" s="194"/>
      <c r="C716" s="194"/>
      <c r="D716" s="194"/>
      <c r="E716" s="194"/>
      <c r="F716" s="194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4"/>
      <c r="AA716" s="194"/>
      <c r="AB716" s="194"/>
      <c r="AC716" s="194"/>
      <c r="AD716" s="194"/>
    </row>
    <row r="717" customFormat="false" ht="15.75" hidden="false" customHeight="false" outlineLevel="0" collapsed="false">
      <c r="A717" s="194"/>
      <c r="B717" s="194"/>
      <c r="C717" s="194"/>
      <c r="D717" s="194"/>
      <c r="E717" s="194"/>
      <c r="F717" s="194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4"/>
      <c r="AA717" s="194"/>
      <c r="AB717" s="194"/>
      <c r="AC717" s="194"/>
      <c r="AD717" s="194"/>
    </row>
    <row r="718" customFormat="false" ht="15.75" hidden="false" customHeight="false" outlineLevel="0" collapsed="false">
      <c r="A718" s="194"/>
      <c r="B718" s="194"/>
      <c r="C718" s="194"/>
      <c r="D718" s="194"/>
      <c r="E718" s="194"/>
      <c r="F718" s="194"/>
      <c r="G718" s="194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4"/>
      <c r="AA718" s="194"/>
      <c r="AB718" s="194"/>
      <c r="AC718" s="194"/>
      <c r="AD718" s="194"/>
    </row>
    <row r="719" customFormat="false" ht="15.75" hidden="false" customHeight="false" outlineLevel="0" collapsed="false">
      <c r="A719" s="194"/>
      <c r="B719" s="194"/>
      <c r="C719" s="194"/>
      <c r="D719" s="194"/>
      <c r="E719" s="194"/>
      <c r="F719" s="194"/>
      <c r="G719" s="194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4"/>
      <c r="AA719" s="194"/>
      <c r="AB719" s="194"/>
      <c r="AC719" s="194"/>
      <c r="AD719" s="194"/>
    </row>
    <row r="720" customFormat="false" ht="15.75" hidden="false" customHeight="false" outlineLevel="0" collapsed="false">
      <c r="A720" s="194"/>
      <c r="B720" s="194"/>
      <c r="C720" s="194"/>
      <c r="D720" s="194"/>
      <c r="E720" s="194"/>
      <c r="F720" s="194"/>
      <c r="G720" s="194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4"/>
      <c r="AA720" s="194"/>
      <c r="AB720" s="194"/>
      <c r="AC720" s="194"/>
      <c r="AD720" s="194"/>
    </row>
    <row r="721" customFormat="false" ht="15.75" hidden="false" customHeight="false" outlineLevel="0" collapsed="false">
      <c r="A721" s="194"/>
      <c r="B721" s="194"/>
      <c r="C721" s="194"/>
      <c r="D721" s="194"/>
      <c r="E721" s="194"/>
      <c r="F721" s="194"/>
      <c r="G721" s="194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4"/>
      <c r="AA721" s="194"/>
      <c r="AB721" s="194"/>
      <c r="AC721" s="194"/>
      <c r="AD721" s="194"/>
    </row>
    <row r="722" customFormat="false" ht="15.75" hidden="false" customHeight="false" outlineLevel="0" collapsed="false">
      <c r="A722" s="194"/>
      <c r="B722" s="194"/>
      <c r="C722" s="194"/>
      <c r="D722" s="194"/>
      <c r="E722" s="194"/>
      <c r="F722" s="194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4"/>
      <c r="AA722" s="194"/>
      <c r="AB722" s="194"/>
      <c r="AC722" s="194"/>
      <c r="AD722" s="194"/>
    </row>
    <row r="723" customFormat="false" ht="15.75" hidden="false" customHeight="false" outlineLevel="0" collapsed="false">
      <c r="A723" s="194"/>
      <c r="B723" s="194"/>
      <c r="C723" s="194"/>
      <c r="D723" s="194"/>
      <c r="E723" s="194"/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4"/>
      <c r="AA723" s="194"/>
      <c r="AB723" s="194"/>
      <c r="AC723" s="194"/>
      <c r="AD723" s="194"/>
    </row>
    <row r="724" customFormat="false" ht="15.75" hidden="false" customHeight="false" outlineLevel="0" collapsed="false">
      <c r="A724" s="194"/>
      <c r="B724" s="194"/>
      <c r="C724" s="194"/>
      <c r="D724" s="194"/>
      <c r="E724" s="194"/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4"/>
      <c r="AA724" s="194"/>
      <c r="AB724" s="194"/>
      <c r="AC724" s="194"/>
      <c r="AD724" s="194"/>
    </row>
    <row r="725" customFormat="false" ht="15.75" hidden="false" customHeight="false" outlineLevel="0" collapsed="false">
      <c r="A725" s="194"/>
      <c r="B725" s="194"/>
      <c r="C725" s="194"/>
      <c r="D725" s="194"/>
      <c r="E725" s="194"/>
      <c r="F725" s="194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4"/>
      <c r="AA725" s="194"/>
      <c r="AB725" s="194"/>
      <c r="AC725" s="194"/>
      <c r="AD725" s="194"/>
    </row>
    <row r="726" customFormat="false" ht="15.75" hidden="false" customHeight="false" outlineLevel="0" collapsed="false">
      <c r="A726" s="194"/>
      <c r="B726" s="194"/>
      <c r="C726" s="194"/>
      <c r="D726" s="194"/>
      <c r="E726" s="194"/>
      <c r="F726" s="194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4"/>
      <c r="AA726" s="194"/>
      <c r="AB726" s="194"/>
      <c r="AC726" s="194"/>
      <c r="AD726" s="194"/>
    </row>
    <row r="727" customFormat="false" ht="15.75" hidden="false" customHeight="false" outlineLevel="0" collapsed="false">
      <c r="A727" s="194"/>
      <c r="B727" s="194"/>
      <c r="C727" s="194"/>
      <c r="D727" s="194"/>
      <c r="E727" s="194"/>
      <c r="F727" s="194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4"/>
      <c r="AA727" s="194"/>
      <c r="AB727" s="194"/>
      <c r="AC727" s="194"/>
      <c r="AD727" s="194"/>
    </row>
    <row r="728" customFormat="false" ht="15.75" hidden="false" customHeight="false" outlineLevel="0" collapsed="false">
      <c r="A728" s="194"/>
      <c r="B728" s="194"/>
      <c r="C728" s="194"/>
      <c r="D728" s="194"/>
      <c r="E728" s="194"/>
      <c r="F728" s="194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4"/>
      <c r="AA728" s="194"/>
      <c r="AB728" s="194"/>
      <c r="AC728" s="194"/>
      <c r="AD728" s="194"/>
    </row>
    <row r="729" customFormat="false" ht="15.75" hidden="false" customHeight="false" outlineLevel="0" collapsed="false">
      <c r="A729" s="194"/>
      <c r="B729" s="194"/>
      <c r="C729" s="194"/>
      <c r="D729" s="194"/>
      <c r="E729" s="194"/>
      <c r="F729" s="194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4"/>
      <c r="AA729" s="194"/>
      <c r="AB729" s="194"/>
      <c r="AC729" s="194"/>
      <c r="AD729" s="194"/>
    </row>
    <row r="730" customFormat="false" ht="15.75" hidden="false" customHeight="false" outlineLevel="0" collapsed="false">
      <c r="A730" s="194"/>
      <c r="B730" s="194"/>
      <c r="C730" s="194"/>
      <c r="D730" s="194"/>
      <c r="E730" s="194"/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4"/>
      <c r="AA730" s="194"/>
      <c r="AB730" s="194"/>
      <c r="AC730" s="194"/>
      <c r="AD730" s="194"/>
    </row>
    <row r="731" customFormat="false" ht="15.75" hidden="false" customHeight="false" outlineLevel="0" collapsed="false">
      <c r="A731" s="194"/>
      <c r="B731" s="194"/>
      <c r="C731" s="194"/>
      <c r="D731" s="194"/>
      <c r="E731" s="194"/>
      <c r="F731" s="194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4"/>
      <c r="AA731" s="194"/>
      <c r="AB731" s="194"/>
      <c r="AC731" s="194"/>
      <c r="AD731" s="194"/>
    </row>
    <row r="732" customFormat="false" ht="15.75" hidden="false" customHeight="false" outlineLevel="0" collapsed="false">
      <c r="A732" s="194"/>
      <c r="B732" s="194"/>
      <c r="C732" s="194"/>
      <c r="D732" s="194"/>
      <c r="E732" s="194"/>
      <c r="F732" s="194"/>
      <c r="G732" s="194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4"/>
      <c r="AA732" s="194"/>
      <c r="AB732" s="194"/>
      <c r="AC732" s="194"/>
      <c r="AD732" s="194"/>
    </row>
    <row r="733" customFormat="false" ht="15.75" hidden="false" customHeight="false" outlineLevel="0" collapsed="false">
      <c r="A733" s="194"/>
      <c r="B733" s="194"/>
      <c r="C733" s="194"/>
      <c r="D733" s="194"/>
      <c r="E733" s="194"/>
      <c r="F733" s="194"/>
      <c r="G733" s="194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4"/>
      <c r="AA733" s="194"/>
      <c r="AB733" s="194"/>
      <c r="AC733" s="194"/>
      <c r="AD733" s="194"/>
    </row>
    <row r="734" customFormat="false" ht="15.75" hidden="false" customHeight="false" outlineLevel="0" collapsed="false">
      <c r="A734" s="194"/>
      <c r="B734" s="194"/>
      <c r="C734" s="194"/>
      <c r="D734" s="194"/>
      <c r="E734" s="194"/>
      <c r="F734" s="194"/>
      <c r="G734" s="194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4"/>
      <c r="AA734" s="194"/>
      <c r="AB734" s="194"/>
      <c r="AC734" s="194"/>
      <c r="AD734" s="194"/>
    </row>
    <row r="735" customFormat="false" ht="15.75" hidden="false" customHeight="false" outlineLevel="0" collapsed="false">
      <c r="A735" s="194"/>
      <c r="B735" s="194"/>
      <c r="C735" s="194"/>
      <c r="D735" s="194"/>
      <c r="E735" s="194"/>
      <c r="F735" s="194"/>
      <c r="G735" s="194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4"/>
      <c r="AA735" s="194"/>
      <c r="AB735" s="194"/>
      <c r="AC735" s="194"/>
      <c r="AD735" s="194"/>
    </row>
    <row r="736" customFormat="false" ht="15.75" hidden="false" customHeight="false" outlineLevel="0" collapsed="false">
      <c r="A736" s="194"/>
      <c r="B736" s="194"/>
      <c r="C736" s="194"/>
      <c r="D736" s="194"/>
      <c r="E736" s="194"/>
      <c r="F736" s="194"/>
      <c r="G736" s="194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4"/>
      <c r="AA736" s="194"/>
      <c r="AB736" s="194"/>
      <c r="AC736" s="194"/>
      <c r="AD736" s="194"/>
    </row>
    <row r="737" customFormat="false" ht="15.75" hidden="false" customHeight="false" outlineLevel="0" collapsed="false">
      <c r="A737" s="194"/>
      <c r="B737" s="194"/>
      <c r="C737" s="194"/>
      <c r="D737" s="194"/>
      <c r="E737" s="194"/>
      <c r="F737" s="194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4"/>
      <c r="AA737" s="194"/>
      <c r="AB737" s="194"/>
      <c r="AC737" s="194"/>
      <c r="AD737" s="194"/>
    </row>
    <row r="738" customFormat="false" ht="15.75" hidden="false" customHeight="false" outlineLevel="0" collapsed="false">
      <c r="A738" s="194"/>
      <c r="B738" s="194"/>
      <c r="C738" s="194"/>
      <c r="D738" s="194"/>
      <c r="E738" s="194"/>
      <c r="F738" s="194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4"/>
      <c r="AA738" s="194"/>
      <c r="AB738" s="194"/>
      <c r="AC738" s="194"/>
      <c r="AD738" s="194"/>
    </row>
    <row r="739" customFormat="false" ht="15.75" hidden="false" customHeight="false" outlineLevel="0" collapsed="false">
      <c r="A739" s="194"/>
      <c r="B739" s="194"/>
      <c r="C739" s="194"/>
      <c r="D739" s="194"/>
      <c r="E739" s="194"/>
      <c r="F739" s="194"/>
      <c r="G739" s="194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4"/>
      <c r="AA739" s="194"/>
      <c r="AB739" s="194"/>
      <c r="AC739" s="194"/>
      <c r="AD739" s="194"/>
    </row>
    <row r="740" customFormat="false" ht="15.75" hidden="false" customHeight="false" outlineLevel="0" collapsed="false">
      <c r="A740" s="194"/>
      <c r="B740" s="194"/>
      <c r="C740" s="194"/>
      <c r="D740" s="194"/>
      <c r="E740" s="194"/>
      <c r="F740" s="194"/>
      <c r="G740" s="194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4"/>
      <c r="AA740" s="194"/>
      <c r="AB740" s="194"/>
      <c r="AC740" s="194"/>
      <c r="AD740" s="194"/>
    </row>
    <row r="741" customFormat="false" ht="15.75" hidden="false" customHeight="false" outlineLevel="0" collapsed="false">
      <c r="A741" s="194"/>
      <c r="B741" s="194"/>
      <c r="C741" s="194"/>
      <c r="D741" s="194"/>
      <c r="E741" s="194"/>
      <c r="F741" s="194"/>
      <c r="G741" s="194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4"/>
      <c r="AA741" s="194"/>
      <c r="AB741" s="194"/>
      <c r="AC741" s="194"/>
      <c r="AD741" s="194"/>
    </row>
    <row r="742" customFormat="false" ht="15.75" hidden="false" customHeight="false" outlineLevel="0" collapsed="false">
      <c r="A742" s="194"/>
      <c r="B742" s="194"/>
      <c r="C742" s="194"/>
      <c r="D742" s="194"/>
      <c r="E742" s="194"/>
      <c r="F742" s="194"/>
      <c r="G742" s="194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4"/>
      <c r="AA742" s="194"/>
      <c r="AB742" s="194"/>
      <c r="AC742" s="194"/>
      <c r="AD742" s="194"/>
    </row>
    <row r="743" customFormat="false" ht="15.75" hidden="false" customHeight="false" outlineLevel="0" collapsed="false">
      <c r="A743" s="194"/>
      <c r="B743" s="194"/>
      <c r="C743" s="194"/>
      <c r="D743" s="194"/>
      <c r="E743" s="194"/>
      <c r="F743" s="194"/>
      <c r="G743" s="194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4"/>
      <c r="AA743" s="194"/>
      <c r="AB743" s="194"/>
      <c r="AC743" s="194"/>
      <c r="AD743" s="194"/>
    </row>
    <row r="744" customFormat="false" ht="15.75" hidden="false" customHeight="false" outlineLevel="0" collapsed="false">
      <c r="A744" s="194"/>
      <c r="B744" s="194"/>
      <c r="C744" s="194"/>
      <c r="D744" s="194"/>
      <c r="E744" s="194"/>
      <c r="F744" s="194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4"/>
      <c r="AA744" s="194"/>
      <c r="AB744" s="194"/>
      <c r="AC744" s="194"/>
      <c r="AD744" s="194"/>
    </row>
    <row r="745" customFormat="false" ht="15.75" hidden="false" customHeight="false" outlineLevel="0" collapsed="false">
      <c r="A745" s="194"/>
      <c r="B745" s="194"/>
      <c r="C745" s="194"/>
      <c r="D745" s="194"/>
      <c r="E745" s="194"/>
      <c r="F745" s="194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4"/>
      <c r="AA745" s="194"/>
      <c r="AB745" s="194"/>
      <c r="AC745" s="194"/>
      <c r="AD745" s="194"/>
    </row>
    <row r="746" customFormat="false" ht="15.75" hidden="false" customHeight="false" outlineLevel="0" collapsed="false">
      <c r="A746" s="194"/>
      <c r="B746" s="194"/>
      <c r="C746" s="194"/>
      <c r="D746" s="194"/>
      <c r="E746" s="194"/>
      <c r="F746" s="194"/>
      <c r="G746" s="194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4"/>
      <c r="AA746" s="194"/>
      <c r="AB746" s="194"/>
      <c r="AC746" s="194"/>
      <c r="AD746" s="194"/>
    </row>
    <row r="747" customFormat="false" ht="15.75" hidden="false" customHeight="false" outlineLevel="0" collapsed="false">
      <c r="A747" s="194"/>
      <c r="B747" s="194"/>
      <c r="C747" s="194"/>
      <c r="D747" s="194"/>
      <c r="E747" s="194"/>
      <c r="F747" s="194"/>
      <c r="G747" s="194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4"/>
      <c r="AA747" s="194"/>
      <c r="AB747" s="194"/>
      <c r="AC747" s="194"/>
      <c r="AD747" s="194"/>
    </row>
    <row r="748" customFormat="false" ht="15.75" hidden="false" customHeight="false" outlineLevel="0" collapsed="false">
      <c r="A748" s="194"/>
      <c r="B748" s="194"/>
      <c r="C748" s="194"/>
      <c r="D748" s="194"/>
      <c r="E748" s="194"/>
      <c r="F748" s="194"/>
      <c r="G748" s="194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4"/>
      <c r="AA748" s="194"/>
      <c r="AB748" s="194"/>
      <c r="AC748" s="194"/>
      <c r="AD748" s="194"/>
    </row>
    <row r="749" customFormat="false" ht="15.75" hidden="false" customHeight="false" outlineLevel="0" collapsed="false">
      <c r="A749" s="194"/>
      <c r="B749" s="194"/>
      <c r="C749" s="194"/>
      <c r="D749" s="194"/>
      <c r="E749" s="194"/>
      <c r="F749" s="194"/>
      <c r="G749" s="194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4"/>
      <c r="AA749" s="194"/>
      <c r="AB749" s="194"/>
      <c r="AC749" s="194"/>
      <c r="AD749" s="194"/>
    </row>
    <row r="750" customFormat="false" ht="15.75" hidden="false" customHeight="false" outlineLevel="0" collapsed="false">
      <c r="A750" s="194"/>
      <c r="B750" s="194"/>
      <c r="C750" s="194"/>
      <c r="D750" s="194"/>
      <c r="E750" s="194"/>
      <c r="F750" s="194"/>
      <c r="G750" s="194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4"/>
      <c r="AA750" s="194"/>
      <c r="AB750" s="194"/>
      <c r="AC750" s="194"/>
      <c r="AD750" s="194"/>
    </row>
    <row r="751" customFormat="false" ht="15.75" hidden="false" customHeight="false" outlineLevel="0" collapsed="false">
      <c r="A751" s="194"/>
      <c r="B751" s="194"/>
      <c r="C751" s="194"/>
      <c r="D751" s="194"/>
      <c r="E751" s="194"/>
      <c r="F751" s="194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4"/>
      <c r="AA751" s="194"/>
      <c r="AB751" s="194"/>
      <c r="AC751" s="194"/>
      <c r="AD751" s="194"/>
    </row>
    <row r="752" customFormat="false" ht="15.75" hidden="false" customHeight="false" outlineLevel="0" collapsed="false">
      <c r="A752" s="194"/>
      <c r="B752" s="194"/>
      <c r="C752" s="194"/>
      <c r="D752" s="194"/>
      <c r="E752" s="194"/>
      <c r="F752" s="194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4"/>
      <c r="AA752" s="194"/>
      <c r="AB752" s="194"/>
      <c r="AC752" s="194"/>
      <c r="AD752" s="194"/>
    </row>
    <row r="753" customFormat="false" ht="15.75" hidden="false" customHeight="false" outlineLevel="0" collapsed="false">
      <c r="A753" s="194"/>
      <c r="B753" s="194"/>
      <c r="C753" s="194"/>
      <c r="D753" s="194"/>
      <c r="E753" s="194"/>
      <c r="F753" s="194"/>
      <c r="G753" s="194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4"/>
      <c r="AA753" s="194"/>
      <c r="AB753" s="194"/>
      <c r="AC753" s="194"/>
      <c r="AD753" s="194"/>
    </row>
    <row r="754" customFormat="false" ht="15.75" hidden="false" customHeight="false" outlineLevel="0" collapsed="false">
      <c r="A754" s="194"/>
      <c r="B754" s="194"/>
      <c r="C754" s="194"/>
      <c r="D754" s="194"/>
      <c r="E754" s="194"/>
      <c r="F754" s="194"/>
      <c r="G754" s="194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4"/>
      <c r="AA754" s="194"/>
      <c r="AB754" s="194"/>
      <c r="AC754" s="194"/>
      <c r="AD754" s="194"/>
    </row>
    <row r="755" customFormat="false" ht="15.75" hidden="false" customHeight="false" outlineLevel="0" collapsed="false">
      <c r="A755" s="194"/>
      <c r="B755" s="194"/>
      <c r="C755" s="194"/>
      <c r="D755" s="194"/>
      <c r="E755" s="194"/>
      <c r="F755" s="194"/>
      <c r="G755" s="194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4"/>
      <c r="AA755" s="194"/>
      <c r="AB755" s="194"/>
      <c r="AC755" s="194"/>
      <c r="AD755" s="194"/>
    </row>
    <row r="756" customFormat="false" ht="15.75" hidden="false" customHeight="false" outlineLevel="0" collapsed="false">
      <c r="A756" s="194"/>
      <c r="B756" s="194"/>
      <c r="C756" s="194"/>
      <c r="D756" s="194"/>
      <c r="E756" s="194"/>
      <c r="F756" s="194"/>
      <c r="G756" s="194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4"/>
      <c r="AA756" s="194"/>
      <c r="AB756" s="194"/>
      <c r="AC756" s="194"/>
      <c r="AD756" s="194"/>
    </row>
    <row r="757" customFormat="false" ht="15.75" hidden="false" customHeight="false" outlineLevel="0" collapsed="false">
      <c r="A757" s="194"/>
      <c r="B757" s="194"/>
      <c r="C757" s="194"/>
      <c r="D757" s="194"/>
      <c r="E757" s="194"/>
      <c r="F757" s="194"/>
      <c r="G757" s="194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4"/>
      <c r="AA757" s="194"/>
      <c r="AB757" s="194"/>
      <c r="AC757" s="194"/>
      <c r="AD757" s="194"/>
    </row>
    <row r="758" customFormat="false" ht="15.75" hidden="false" customHeight="false" outlineLevel="0" collapsed="false">
      <c r="A758" s="194"/>
      <c r="B758" s="194"/>
      <c r="C758" s="194"/>
      <c r="D758" s="194"/>
      <c r="E758" s="194"/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4"/>
      <c r="AA758" s="194"/>
      <c r="AB758" s="194"/>
      <c r="AC758" s="194"/>
      <c r="AD758" s="194"/>
    </row>
    <row r="759" customFormat="false" ht="15.75" hidden="false" customHeight="false" outlineLevel="0" collapsed="false">
      <c r="A759" s="194"/>
      <c r="B759" s="194"/>
      <c r="C759" s="194"/>
      <c r="D759" s="194"/>
      <c r="E759" s="194"/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4"/>
      <c r="AA759" s="194"/>
      <c r="AB759" s="194"/>
      <c r="AC759" s="194"/>
      <c r="AD759" s="194"/>
    </row>
    <row r="760" customFormat="false" ht="15.75" hidden="false" customHeight="false" outlineLevel="0" collapsed="false">
      <c r="A760" s="194"/>
      <c r="B760" s="194"/>
      <c r="C760" s="194"/>
      <c r="D760" s="194"/>
      <c r="E760" s="194"/>
      <c r="F760" s="194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4"/>
      <c r="AA760" s="194"/>
      <c r="AB760" s="194"/>
      <c r="AC760" s="194"/>
      <c r="AD760" s="194"/>
    </row>
    <row r="761" customFormat="false" ht="15.75" hidden="false" customHeight="false" outlineLevel="0" collapsed="false">
      <c r="A761" s="194"/>
      <c r="B761" s="194"/>
      <c r="C761" s="194"/>
      <c r="D761" s="194"/>
      <c r="E761" s="194"/>
      <c r="F761" s="194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4"/>
      <c r="AA761" s="194"/>
      <c r="AB761" s="194"/>
      <c r="AC761" s="194"/>
      <c r="AD761" s="194"/>
    </row>
    <row r="762" customFormat="false" ht="15.75" hidden="false" customHeight="false" outlineLevel="0" collapsed="false">
      <c r="A762" s="194"/>
      <c r="B762" s="194"/>
      <c r="C762" s="194"/>
      <c r="D762" s="194"/>
      <c r="E762" s="194"/>
      <c r="F762" s="194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4"/>
      <c r="AA762" s="194"/>
      <c r="AB762" s="194"/>
      <c r="AC762" s="194"/>
      <c r="AD762" s="194"/>
    </row>
    <row r="763" customFormat="false" ht="15.75" hidden="false" customHeight="false" outlineLevel="0" collapsed="false">
      <c r="A763" s="194"/>
      <c r="B763" s="194"/>
      <c r="C763" s="194"/>
      <c r="D763" s="194"/>
      <c r="E763" s="194"/>
      <c r="F763" s="194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4"/>
      <c r="AA763" s="194"/>
      <c r="AB763" s="194"/>
      <c r="AC763" s="194"/>
      <c r="AD763" s="194"/>
    </row>
    <row r="764" customFormat="false" ht="15.75" hidden="false" customHeight="false" outlineLevel="0" collapsed="false">
      <c r="A764" s="194"/>
      <c r="B764" s="194"/>
      <c r="C764" s="194"/>
      <c r="D764" s="194"/>
      <c r="E764" s="194"/>
      <c r="F764" s="194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4"/>
      <c r="AA764" s="194"/>
      <c r="AB764" s="194"/>
      <c r="AC764" s="194"/>
      <c r="AD764" s="194"/>
    </row>
    <row r="765" customFormat="false" ht="15.75" hidden="false" customHeight="false" outlineLevel="0" collapsed="false">
      <c r="A765" s="194"/>
      <c r="B765" s="194"/>
      <c r="C765" s="194"/>
      <c r="D765" s="194"/>
      <c r="E765" s="194"/>
      <c r="F765" s="194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4"/>
      <c r="AA765" s="194"/>
      <c r="AB765" s="194"/>
      <c r="AC765" s="194"/>
      <c r="AD765" s="194"/>
    </row>
    <row r="766" customFormat="false" ht="15.75" hidden="false" customHeight="false" outlineLevel="0" collapsed="false">
      <c r="A766" s="194"/>
      <c r="B766" s="194"/>
      <c r="C766" s="194"/>
      <c r="D766" s="194"/>
      <c r="E766" s="194"/>
      <c r="F766" s="194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4"/>
      <c r="AA766" s="194"/>
      <c r="AB766" s="194"/>
      <c r="AC766" s="194"/>
      <c r="AD766" s="194"/>
    </row>
    <row r="767" customFormat="false" ht="15.75" hidden="false" customHeight="false" outlineLevel="0" collapsed="false">
      <c r="A767" s="194"/>
      <c r="B767" s="194"/>
      <c r="C767" s="194"/>
      <c r="D767" s="194"/>
      <c r="E767" s="194"/>
      <c r="F767" s="194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4"/>
      <c r="AA767" s="194"/>
      <c r="AB767" s="194"/>
      <c r="AC767" s="194"/>
      <c r="AD767" s="194"/>
    </row>
    <row r="768" customFormat="false" ht="15.75" hidden="false" customHeight="false" outlineLevel="0" collapsed="false">
      <c r="A768" s="194"/>
      <c r="B768" s="194"/>
      <c r="C768" s="194"/>
      <c r="D768" s="194"/>
      <c r="E768" s="194"/>
      <c r="F768" s="194"/>
      <c r="G768" s="194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4"/>
      <c r="AA768" s="194"/>
      <c r="AB768" s="194"/>
      <c r="AC768" s="194"/>
      <c r="AD768" s="194"/>
    </row>
    <row r="769" customFormat="false" ht="15.75" hidden="false" customHeight="false" outlineLevel="0" collapsed="false">
      <c r="A769" s="194"/>
      <c r="B769" s="194"/>
      <c r="C769" s="194"/>
      <c r="D769" s="194"/>
      <c r="E769" s="194"/>
      <c r="F769" s="194"/>
      <c r="G769" s="194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4"/>
      <c r="AA769" s="194"/>
      <c r="AB769" s="194"/>
      <c r="AC769" s="194"/>
      <c r="AD769" s="194"/>
    </row>
    <row r="770" customFormat="false" ht="15.75" hidden="false" customHeight="false" outlineLevel="0" collapsed="false">
      <c r="A770" s="194"/>
      <c r="B770" s="194"/>
      <c r="C770" s="194"/>
      <c r="D770" s="194"/>
      <c r="E770" s="194"/>
      <c r="F770" s="194"/>
      <c r="G770" s="194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4"/>
      <c r="AA770" s="194"/>
      <c r="AB770" s="194"/>
      <c r="AC770" s="194"/>
      <c r="AD770" s="194"/>
    </row>
    <row r="771" customFormat="false" ht="15.75" hidden="false" customHeight="false" outlineLevel="0" collapsed="false">
      <c r="A771" s="194"/>
      <c r="B771" s="194"/>
      <c r="C771" s="194"/>
      <c r="D771" s="194"/>
      <c r="E771" s="194"/>
      <c r="F771" s="194"/>
      <c r="G771" s="194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4"/>
      <c r="AA771" s="194"/>
      <c r="AB771" s="194"/>
      <c r="AC771" s="194"/>
      <c r="AD771" s="194"/>
    </row>
    <row r="772" customFormat="false" ht="15.75" hidden="false" customHeight="false" outlineLevel="0" collapsed="false">
      <c r="A772" s="194"/>
      <c r="B772" s="194"/>
      <c r="C772" s="194"/>
      <c r="D772" s="194"/>
      <c r="E772" s="194"/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4"/>
      <c r="AA772" s="194"/>
      <c r="AB772" s="194"/>
      <c r="AC772" s="194"/>
      <c r="AD772" s="194"/>
    </row>
    <row r="773" customFormat="false" ht="15.75" hidden="false" customHeight="false" outlineLevel="0" collapsed="false">
      <c r="A773" s="194"/>
      <c r="B773" s="194"/>
      <c r="C773" s="194"/>
      <c r="D773" s="194"/>
      <c r="E773" s="194"/>
      <c r="F773" s="194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4"/>
      <c r="AA773" s="194"/>
      <c r="AB773" s="194"/>
      <c r="AC773" s="194"/>
      <c r="AD773" s="194"/>
    </row>
    <row r="774" customFormat="false" ht="15.75" hidden="false" customHeight="false" outlineLevel="0" collapsed="false">
      <c r="A774" s="194"/>
      <c r="B774" s="194"/>
      <c r="C774" s="194"/>
      <c r="D774" s="194"/>
      <c r="E774" s="194"/>
      <c r="F774" s="194"/>
      <c r="G774" s="194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4"/>
      <c r="AA774" s="194"/>
      <c r="AB774" s="194"/>
      <c r="AC774" s="194"/>
      <c r="AD774" s="194"/>
    </row>
    <row r="775" customFormat="false" ht="15.75" hidden="false" customHeight="false" outlineLevel="0" collapsed="false">
      <c r="A775" s="194"/>
      <c r="B775" s="194"/>
      <c r="C775" s="194"/>
      <c r="D775" s="194"/>
      <c r="E775" s="194"/>
      <c r="F775" s="194"/>
      <c r="G775" s="194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4"/>
      <c r="AA775" s="194"/>
      <c r="AB775" s="194"/>
      <c r="AC775" s="194"/>
      <c r="AD775" s="194"/>
    </row>
    <row r="776" customFormat="false" ht="15.75" hidden="false" customHeight="false" outlineLevel="0" collapsed="false">
      <c r="A776" s="194"/>
      <c r="B776" s="194"/>
      <c r="C776" s="194"/>
      <c r="D776" s="194"/>
      <c r="E776" s="194"/>
      <c r="F776" s="194"/>
      <c r="G776" s="194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4"/>
      <c r="AA776" s="194"/>
      <c r="AB776" s="194"/>
      <c r="AC776" s="194"/>
      <c r="AD776" s="194"/>
    </row>
    <row r="777" customFormat="false" ht="15.75" hidden="false" customHeight="false" outlineLevel="0" collapsed="false">
      <c r="A777" s="194"/>
      <c r="B777" s="194"/>
      <c r="C777" s="194"/>
      <c r="D777" s="194"/>
      <c r="E777" s="194"/>
      <c r="F777" s="194"/>
      <c r="G777" s="194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4"/>
      <c r="AA777" s="194"/>
      <c r="AB777" s="194"/>
      <c r="AC777" s="194"/>
      <c r="AD777" s="194"/>
    </row>
    <row r="778" customFormat="false" ht="15.75" hidden="false" customHeight="false" outlineLevel="0" collapsed="false">
      <c r="A778" s="194"/>
      <c r="B778" s="194"/>
      <c r="C778" s="194"/>
      <c r="D778" s="194"/>
      <c r="E778" s="194"/>
      <c r="F778" s="194"/>
      <c r="G778" s="194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4"/>
      <c r="AA778" s="194"/>
      <c r="AB778" s="194"/>
      <c r="AC778" s="194"/>
      <c r="AD778" s="194"/>
    </row>
    <row r="779" customFormat="false" ht="15.75" hidden="false" customHeight="false" outlineLevel="0" collapsed="false">
      <c r="A779" s="194"/>
      <c r="B779" s="194"/>
      <c r="C779" s="194"/>
      <c r="D779" s="194"/>
      <c r="E779" s="194"/>
      <c r="F779" s="194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4"/>
      <c r="AA779" s="194"/>
      <c r="AB779" s="194"/>
      <c r="AC779" s="194"/>
      <c r="AD779" s="194"/>
    </row>
    <row r="780" customFormat="false" ht="15.75" hidden="false" customHeight="false" outlineLevel="0" collapsed="false">
      <c r="A780" s="194"/>
      <c r="B780" s="194"/>
      <c r="C780" s="194"/>
      <c r="D780" s="194"/>
      <c r="E780" s="194"/>
      <c r="F780" s="194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4"/>
      <c r="AA780" s="194"/>
      <c r="AB780" s="194"/>
      <c r="AC780" s="194"/>
      <c r="AD780" s="194"/>
    </row>
    <row r="781" customFormat="false" ht="15.75" hidden="false" customHeight="false" outlineLevel="0" collapsed="false">
      <c r="A781" s="194"/>
      <c r="B781" s="194"/>
      <c r="C781" s="194"/>
      <c r="D781" s="194"/>
      <c r="E781" s="194"/>
      <c r="F781" s="194"/>
      <c r="G781" s="194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4"/>
      <c r="AA781" s="194"/>
      <c r="AB781" s="194"/>
      <c r="AC781" s="194"/>
      <c r="AD781" s="194"/>
    </row>
    <row r="782" customFormat="false" ht="15.75" hidden="false" customHeight="false" outlineLevel="0" collapsed="false">
      <c r="A782" s="194"/>
      <c r="B782" s="194"/>
      <c r="C782" s="194"/>
      <c r="D782" s="194"/>
      <c r="E782" s="194"/>
      <c r="F782" s="194"/>
      <c r="G782" s="194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4"/>
      <c r="AA782" s="194"/>
      <c r="AB782" s="194"/>
      <c r="AC782" s="194"/>
      <c r="AD782" s="194"/>
    </row>
    <row r="783" customFormat="false" ht="15.75" hidden="false" customHeight="false" outlineLevel="0" collapsed="false">
      <c r="A783" s="194"/>
      <c r="B783" s="194"/>
      <c r="C783" s="194"/>
      <c r="D783" s="194"/>
      <c r="E783" s="194"/>
      <c r="F783" s="194"/>
      <c r="G783" s="194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4"/>
      <c r="AA783" s="194"/>
      <c r="AB783" s="194"/>
      <c r="AC783" s="194"/>
      <c r="AD783" s="194"/>
    </row>
    <row r="784" customFormat="false" ht="15.75" hidden="false" customHeight="false" outlineLevel="0" collapsed="false">
      <c r="A784" s="194"/>
      <c r="B784" s="194"/>
      <c r="C784" s="194"/>
      <c r="D784" s="194"/>
      <c r="E784" s="194"/>
      <c r="F784" s="194"/>
      <c r="G784" s="194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4"/>
      <c r="AA784" s="194"/>
      <c r="AB784" s="194"/>
      <c r="AC784" s="194"/>
      <c r="AD784" s="194"/>
    </row>
    <row r="785" customFormat="false" ht="15.75" hidden="false" customHeight="false" outlineLevel="0" collapsed="false">
      <c r="A785" s="194"/>
      <c r="B785" s="194"/>
      <c r="C785" s="194"/>
      <c r="D785" s="194"/>
      <c r="E785" s="194"/>
      <c r="F785" s="194"/>
      <c r="G785" s="194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4"/>
      <c r="AA785" s="194"/>
      <c r="AB785" s="194"/>
      <c r="AC785" s="194"/>
      <c r="AD785" s="194"/>
    </row>
    <row r="786" customFormat="false" ht="15.75" hidden="false" customHeight="false" outlineLevel="0" collapsed="false">
      <c r="A786" s="194"/>
      <c r="B786" s="194"/>
      <c r="C786" s="194"/>
      <c r="D786" s="194"/>
      <c r="E786" s="194"/>
      <c r="F786" s="194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4"/>
      <c r="AA786" s="194"/>
      <c r="AB786" s="194"/>
      <c r="AC786" s="194"/>
      <c r="AD786" s="194"/>
    </row>
    <row r="787" customFormat="false" ht="15.75" hidden="false" customHeight="false" outlineLevel="0" collapsed="false">
      <c r="A787" s="194"/>
      <c r="B787" s="194"/>
      <c r="C787" s="194"/>
      <c r="D787" s="194"/>
      <c r="E787" s="194"/>
      <c r="F787" s="194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4"/>
      <c r="AA787" s="194"/>
      <c r="AB787" s="194"/>
      <c r="AC787" s="194"/>
      <c r="AD787" s="194"/>
    </row>
    <row r="788" customFormat="false" ht="15.75" hidden="false" customHeight="false" outlineLevel="0" collapsed="false">
      <c r="A788" s="194"/>
      <c r="B788" s="194"/>
      <c r="C788" s="194"/>
      <c r="D788" s="194"/>
      <c r="E788" s="194"/>
      <c r="F788" s="194"/>
      <c r="G788" s="194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4"/>
      <c r="AA788" s="194"/>
      <c r="AB788" s="194"/>
      <c r="AC788" s="194"/>
      <c r="AD788" s="194"/>
    </row>
    <row r="789" customFormat="false" ht="15.75" hidden="false" customHeight="false" outlineLevel="0" collapsed="false">
      <c r="A789" s="194"/>
      <c r="B789" s="194"/>
      <c r="C789" s="194"/>
      <c r="D789" s="194"/>
      <c r="E789" s="194"/>
      <c r="F789" s="194"/>
      <c r="G789" s="194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  <c r="AB789" s="194"/>
      <c r="AC789" s="194"/>
      <c r="AD789" s="194"/>
    </row>
    <row r="790" customFormat="false" ht="15.75" hidden="false" customHeight="false" outlineLevel="0" collapsed="false">
      <c r="A790" s="194"/>
      <c r="B790" s="194"/>
      <c r="C790" s="194"/>
      <c r="D790" s="194"/>
      <c r="E790" s="194"/>
      <c r="F790" s="194"/>
      <c r="G790" s="194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4"/>
      <c r="AA790" s="194"/>
      <c r="AB790" s="194"/>
      <c r="AC790" s="194"/>
      <c r="AD790" s="194"/>
    </row>
    <row r="791" customFormat="false" ht="15.75" hidden="false" customHeight="false" outlineLevel="0" collapsed="false">
      <c r="A791" s="194"/>
      <c r="B791" s="194"/>
      <c r="C791" s="194"/>
      <c r="D791" s="194"/>
      <c r="E791" s="194"/>
      <c r="F791" s="194"/>
      <c r="G791" s="194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4"/>
      <c r="AA791" s="194"/>
      <c r="AB791" s="194"/>
      <c r="AC791" s="194"/>
      <c r="AD791" s="194"/>
    </row>
    <row r="792" customFormat="false" ht="15.75" hidden="false" customHeight="false" outlineLevel="0" collapsed="false">
      <c r="A792" s="194"/>
      <c r="B792" s="194"/>
      <c r="C792" s="194"/>
      <c r="D792" s="194"/>
      <c r="E792" s="194"/>
      <c r="F792" s="194"/>
      <c r="G792" s="194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4"/>
      <c r="AA792" s="194"/>
      <c r="AB792" s="194"/>
      <c r="AC792" s="194"/>
      <c r="AD792" s="194"/>
    </row>
    <row r="793" customFormat="false" ht="15.75" hidden="false" customHeight="false" outlineLevel="0" collapsed="false">
      <c r="A793" s="194"/>
      <c r="B793" s="194"/>
      <c r="C793" s="194"/>
      <c r="D793" s="194"/>
      <c r="E793" s="194"/>
      <c r="F793" s="194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4"/>
      <c r="AA793" s="194"/>
      <c r="AB793" s="194"/>
      <c r="AC793" s="194"/>
      <c r="AD793" s="194"/>
    </row>
    <row r="794" customFormat="false" ht="15.75" hidden="false" customHeight="false" outlineLevel="0" collapsed="false">
      <c r="A794" s="194"/>
      <c r="B794" s="194"/>
      <c r="C794" s="194"/>
      <c r="D794" s="194"/>
      <c r="E794" s="194"/>
      <c r="F794" s="194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  <c r="AB794" s="194"/>
      <c r="AC794" s="194"/>
      <c r="AD794" s="194"/>
    </row>
    <row r="795" customFormat="false" ht="15.75" hidden="false" customHeight="false" outlineLevel="0" collapsed="false">
      <c r="A795" s="194"/>
      <c r="B795" s="194"/>
      <c r="C795" s="194"/>
      <c r="D795" s="194"/>
      <c r="E795" s="194"/>
      <c r="F795" s="194"/>
      <c r="G795" s="194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  <c r="AB795" s="194"/>
      <c r="AC795" s="194"/>
      <c r="AD795" s="194"/>
    </row>
    <row r="796" customFormat="false" ht="15.75" hidden="false" customHeight="false" outlineLevel="0" collapsed="false">
      <c r="A796" s="194"/>
      <c r="B796" s="194"/>
      <c r="C796" s="194"/>
      <c r="D796" s="194"/>
      <c r="E796" s="194"/>
      <c r="F796" s="194"/>
      <c r="G796" s="194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  <c r="AB796" s="194"/>
      <c r="AC796" s="194"/>
      <c r="AD796" s="194"/>
    </row>
    <row r="797" customFormat="false" ht="15.75" hidden="false" customHeight="false" outlineLevel="0" collapsed="false">
      <c r="A797" s="194"/>
      <c r="B797" s="194"/>
      <c r="C797" s="194"/>
      <c r="D797" s="194"/>
      <c r="E797" s="194"/>
      <c r="F797" s="194"/>
      <c r="G797" s="194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  <c r="AB797" s="194"/>
      <c r="AC797" s="194"/>
      <c r="AD797" s="194"/>
    </row>
    <row r="798" customFormat="false" ht="15.75" hidden="false" customHeight="false" outlineLevel="0" collapsed="false">
      <c r="A798" s="194"/>
      <c r="B798" s="194"/>
      <c r="C798" s="194"/>
      <c r="D798" s="194"/>
      <c r="E798" s="194"/>
      <c r="F798" s="194"/>
      <c r="G798" s="194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4"/>
      <c r="AA798" s="194"/>
      <c r="AB798" s="194"/>
      <c r="AC798" s="194"/>
      <c r="AD798" s="194"/>
    </row>
    <row r="799" customFormat="false" ht="15.75" hidden="false" customHeight="false" outlineLevel="0" collapsed="false">
      <c r="A799" s="194"/>
      <c r="B799" s="194"/>
      <c r="C799" s="194"/>
      <c r="D799" s="194"/>
      <c r="E799" s="194"/>
      <c r="F799" s="194"/>
      <c r="G799" s="194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4"/>
      <c r="AA799" s="194"/>
      <c r="AB799" s="194"/>
      <c r="AC799" s="194"/>
      <c r="AD799" s="194"/>
    </row>
    <row r="800" customFormat="false" ht="15.75" hidden="false" customHeight="false" outlineLevel="0" collapsed="false">
      <c r="A800" s="194"/>
      <c r="B800" s="194"/>
      <c r="C800" s="194"/>
      <c r="D800" s="194"/>
      <c r="E800" s="194"/>
      <c r="F800" s="194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4"/>
      <c r="AA800" s="194"/>
      <c r="AB800" s="194"/>
      <c r="AC800" s="194"/>
      <c r="AD800" s="194"/>
    </row>
    <row r="801" customFormat="false" ht="15.75" hidden="false" customHeight="false" outlineLevel="0" collapsed="false">
      <c r="A801" s="194"/>
      <c r="B801" s="194"/>
      <c r="C801" s="194"/>
      <c r="D801" s="194"/>
      <c r="E801" s="194"/>
      <c r="F801" s="194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4"/>
      <c r="AA801" s="194"/>
      <c r="AB801" s="194"/>
      <c r="AC801" s="194"/>
      <c r="AD801" s="194"/>
    </row>
    <row r="802" customFormat="false" ht="15.75" hidden="false" customHeight="false" outlineLevel="0" collapsed="false">
      <c r="A802" s="194"/>
      <c r="B802" s="194"/>
      <c r="C802" s="194"/>
      <c r="D802" s="194"/>
      <c r="E802" s="194"/>
      <c r="F802" s="194"/>
      <c r="G802" s="194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4"/>
      <c r="AA802" s="194"/>
      <c r="AB802" s="194"/>
      <c r="AC802" s="194"/>
      <c r="AD802" s="194"/>
    </row>
    <row r="803" customFormat="false" ht="15.75" hidden="false" customHeight="false" outlineLevel="0" collapsed="false">
      <c r="A803" s="194"/>
      <c r="B803" s="194"/>
      <c r="C803" s="194"/>
      <c r="D803" s="194"/>
      <c r="E803" s="194"/>
      <c r="F803" s="194"/>
      <c r="G803" s="194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4"/>
      <c r="AA803" s="194"/>
      <c r="AB803" s="194"/>
      <c r="AC803" s="194"/>
      <c r="AD803" s="194"/>
    </row>
    <row r="804" customFormat="false" ht="15.75" hidden="false" customHeight="false" outlineLevel="0" collapsed="false">
      <c r="A804" s="194"/>
      <c r="B804" s="194"/>
      <c r="C804" s="194"/>
      <c r="D804" s="194"/>
      <c r="E804" s="194"/>
      <c r="F804" s="194"/>
      <c r="G804" s="194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4"/>
      <c r="AA804" s="194"/>
      <c r="AB804" s="194"/>
      <c r="AC804" s="194"/>
      <c r="AD804" s="194"/>
    </row>
    <row r="805" customFormat="false" ht="15.75" hidden="false" customHeight="false" outlineLevel="0" collapsed="false">
      <c r="A805" s="194"/>
      <c r="B805" s="194"/>
      <c r="C805" s="194"/>
      <c r="D805" s="194"/>
      <c r="E805" s="194"/>
      <c r="F805" s="194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4"/>
      <c r="AA805" s="194"/>
      <c r="AB805" s="194"/>
      <c r="AC805" s="194"/>
      <c r="AD805" s="194"/>
    </row>
    <row r="806" customFormat="false" ht="15.75" hidden="false" customHeight="false" outlineLevel="0" collapsed="false">
      <c r="A806" s="194"/>
      <c r="B806" s="194"/>
      <c r="C806" s="194"/>
      <c r="D806" s="194"/>
      <c r="E806" s="194"/>
      <c r="F806" s="194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4"/>
      <c r="AA806" s="194"/>
      <c r="AB806" s="194"/>
      <c r="AC806" s="194"/>
      <c r="AD806" s="194"/>
    </row>
    <row r="807" customFormat="false" ht="15.75" hidden="false" customHeight="false" outlineLevel="0" collapsed="false">
      <c r="A807" s="194"/>
      <c r="B807" s="194"/>
      <c r="C807" s="194"/>
      <c r="D807" s="194"/>
      <c r="E807" s="194"/>
      <c r="F807" s="194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4"/>
      <c r="AA807" s="194"/>
      <c r="AB807" s="194"/>
      <c r="AC807" s="194"/>
      <c r="AD807" s="194"/>
    </row>
    <row r="808" customFormat="false" ht="15.75" hidden="false" customHeight="false" outlineLevel="0" collapsed="false">
      <c r="A808" s="194"/>
      <c r="B808" s="194"/>
      <c r="C808" s="194"/>
      <c r="D808" s="194"/>
      <c r="E808" s="194"/>
      <c r="F808" s="194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4"/>
      <c r="AA808" s="194"/>
      <c r="AB808" s="194"/>
      <c r="AC808" s="194"/>
      <c r="AD808" s="194"/>
    </row>
    <row r="809" customFormat="false" ht="15.75" hidden="false" customHeight="false" outlineLevel="0" collapsed="false">
      <c r="A809" s="194"/>
      <c r="B809" s="194"/>
      <c r="C809" s="194"/>
      <c r="D809" s="194"/>
      <c r="E809" s="194"/>
      <c r="F809" s="194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4"/>
      <c r="AA809" s="194"/>
      <c r="AB809" s="194"/>
      <c r="AC809" s="194"/>
      <c r="AD809" s="194"/>
    </row>
    <row r="810" customFormat="false" ht="15.75" hidden="false" customHeight="false" outlineLevel="0" collapsed="false">
      <c r="A810" s="194"/>
      <c r="B810" s="194"/>
      <c r="C810" s="194"/>
      <c r="D810" s="194"/>
      <c r="E810" s="194"/>
      <c r="F810" s="194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4"/>
      <c r="AA810" s="194"/>
      <c r="AB810" s="194"/>
      <c r="AC810" s="194"/>
      <c r="AD810" s="194"/>
    </row>
    <row r="811" customFormat="false" ht="15.75" hidden="false" customHeight="false" outlineLevel="0" collapsed="false">
      <c r="A811" s="194"/>
      <c r="B811" s="194"/>
      <c r="C811" s="194"/>
      <c r="D811" s="194"/>
      <c r="E811" s="194"/>
      <c r="F811" s="194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4"/>
      <c r="AA811" s="194"/>
      <c r="AB811" s="194"/>
      <c r="AC811" s="194"/>
      <c r="AD811" s="194"/>
    </row>
    <row r="812" customFormat="false" ht="15.75" hidden="false" customHeight="false" outlineLevel="0" collapsed="false">
      <c r="A812" s="194"/>
      <c r="B812" s="194"/>
      <c r="C812" s="194"/>
      <c r="D812" s="194"/>
      <c r="E812" s="194"/>
      <c r="F812" s="194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4"/>
      <c r="AA812" s="194"/>
      <c r="AB812" s="194"/>
      <c r="AC812" s="194"/>
      <c r="AD812" s="194"/>
    </row>
    <row r="813" customFormat="false" ht="15.75" hidden="false" customHeight="false" outlineLevel="0" collapsed="false">
      <c r="A813" s="194"/>
      <c r="B813" s="194"/>
      <c r="C813" s="194"/>
      <c r="D813" s="194"/>
      <c r="E813" s="194"/>
      <c r="F813" s="194"/>
      <c r="G813" s="194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4"/>
      <c r="AA813" s="194"/>
      <c r="AB813" s="194"/>
      <c r="AC813" s="194"/>
      <c r="AD813" s="194"/>
    </row>
    <row r="814" customFormat="false" ht="15.75" hidden="false" customHeight="false" outlineLevel="0" collapsed="false">
      <c r="A814" s="194"/>
      <c r="B814" s="194"/>
      <c r="C814" s="194"/>
      <c r="D814" s="194"/>
      <c r="E814" s="194"/>
      <c r="F814" s="194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4"/>
      <c r="AA814" s="194"/>
      <c r="AB814" s="194"/>
      <c r="AC814" s="194"/>
      <c r="AD814" s="194"/>
    </row>
    <row r="815" customFormat="false" ht="15.75" hidden="false" customHeight="false" outlineLevel="0" collapsed="false">
      <c r="A815" s="194"/>
      <c r="B815" s="194"/>
      <c r="C815" s="194"/>
      <c r="D815" s="194"/>
      <c r="E815" s="194"/>
      <c r="F815" s="194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4"/>
      <c r="AA815" s="194"/>
      <c r="AB815" s="194"/>
      <c r="AC815" s="194"/>
      <c r="AD815" s="194"/>
    </row>
    <row r="816" customFormat="false" ht="15.75" hidden="false" customHeight="false" outlineLevel="0" collapsed="false">
      <c r="A816" s="194"/>
      <c r="B816" s="194"/>
      <c r="C816" s="194"/>
      <c r="D816" s="194"/>
      <c r="E816" s="194"/>
      <c r="F816" s="194"/>
      <c r="G816" s="194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4"/>
      <c r="AA816" s="194"/>
      <c r="AB816" s="194"/>
      <c r="AC816" s="194"/>
      <c r="AD816" s="194"/>
    </row>
    <row r="817" customFormat="false" ht="15.75" hidden="false" customHeight="false" outlineLevel="0" collapsed="false">
      <c r="A817" s="194"/>
      <c r="B817" s="194"/>
      <c r="C817" s="194"/>
      <c r="D817" s="194"/>
      <c r="E817" s="194"/>
      <c r="F817" s="194"/>
      <c r="G817" s="194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4"/>
      <c r="AA817" s="194"/>
      <c r="AB817" s="194"/>
      <c r="AC817" s="194"/>
      <c r="AD817" s="194"/>
    </row>
    <row r="818" customFormat="false" ht="15.75" hidden="false" customHeight="false" outlineLevel="0" collapsed="false">
      <c r="A818" s="194"/>
      <c r="B818" s="194"/>
      <c r="C818" s="194"/>
      <c r="D818" s="194"/>
      <c r="E818" s="194"/>
      <c r="F818" s="194"/>
      <c r="G818" s="194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4"/>
      <c r="AA818" s="194"/>
      <c r="AB818" s="194"/>
      <c r="AC818" s="194"/>
      <c r="AD818" s="194"/>
    </row>
    <row r="819" customFormat="false" ht="15.75" hidden="false" customHeight="false" outlineLevel="0" collapsed="false">
      <c r="A819" s="194"/>
      <c r="B819" s="194"/>
      <c r="C819" s="194"/>
      <c r="D819" s="194"/>
      <c r="E819" s="194"/>
      <c r="F819" s="194"/>
      <c r="G819" s="194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4"/>
      <c r="AA819" s="194"/>
      <c r="AB819" s="194"/>
      <c r="AC819" s="194"/>
      <c r="AD819" s="194"/>
    </row>
    <row r="820" customFormat="false" ht="15.75" hidden="false" customHeight="false" outlineLevel="0" collapsed="false">
      <c r="A820" s="194"/>
      <c r="B820" s="194"/>
      <c r="C820" s="194"/>
      <c r="D820" s="194"/>
      <c r="E820" s="194"/>
      <c r="F820" s="194"/>
      <c r="G820" s="194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4"/>
      <c r="AA820" s="194"/>
      <c r="AB820" s="194"/>
      <c r="AC820" s="194"/>
      <c r="AD820" s="194"/>
    </row>
    <row r="821" customFormat="false" ht="15.75" hidden="false" customHeight="false" outlineLevel="0" collapsed="false">
      <c r="A821" s="194"/>
      <c r="B821" s="194"/>
      <c r="C821" s="194"/>
      <c r="D821" s="194"/>
      <c r="E821" s="194"/>
      <c r="F821" s="194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4"/>
      <c r="AA821" s="194"/>
      <c r="AB821" s="194"/>
      <c r="AC821" s="194"/>
      <c r="AD821" s="194"/>
    </row>
    <row r="822" customFormat="false" ht="15.75" hidden="false" customHeight="false" outlineLevel="0" collapsed="false">
      <c r="A822" s="194"/>
      <c r="B822" s="194"/>
      <c r="C822" s="194"/>
      <c r="D822" s="194"/>
      <c r="E822" s="194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4"/>
      <c r="AA822" s="194"/>
      <c r="AB822" s="194"/>
      <c r="AC822" s="194"/>
      <c r="AD822" s="194"/>
    </row>
    <row r="823" customFormat="false" ht="15.75" hidden="false" customHeight="false" outlineLevel="0" collapsed="false">
      <c r="A823" s="194"/>
      <c r="B823" s="194"/>
      <c r="C823" s="194"/>
      <c r="D823" s="194"/>
      <c r="E823" s="194"/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4"/>
      <c r="AA823" s="194"/>
      <c r="AB823" s="194"/>
      <c r="AC823" s="194"/>
      <c r="AD823" s="194"/>
    </row>
    <row r="824" customFormat="false" ht="15.75" hidden="false" customHeight="false" outlineLevel="0" collapsed="false">
      <c r="A824" s="194"/>
      <c r="B824" s="194"/>
      <c r="C824" s="194"/>
      <c r="D824" s="194"/>
      <c r="E824" s="194"/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4"/>
      <c r="AA824" s="194"/>
      <c r="AB824" s="194"/>
      <c r="AC824" s="194"/>
      <c r="AD824" s="194"/>
    </row>
    <row r="825" customFormat="false" ht="15.75" hidden="false" customHeight="false" outlineLevel="0" collapsed="false">
      <c r="A825" s="194"/>
      <c r="B825" s="194"/>
      <c r="C825" s="194"/>
      <c r="D825" s="194"/>
      <c r="E825" s="194"/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4"/>
      <c r="AA825" s="194"/>
      <c r="AB825" s="194"/>
      <c r="AC825" s="194"/>
      <c r="AD825" s="194"/>
    </row>
    <row r="826" customFormat="false" ht="15.75" hidden="false" customHeight="false" outlineLevel="0" collapsed="false">
      <c r="A826" s="194"/>
      <c r="B826" s="194"/>
      <c r="C826" s="194"/>
      <c r="D826" s="194"/>
      <c r="E826" s="194"/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4"/>
      <c r="AA826" s="194"/>
      <c r="AB826" s="194"/>
      <c r="AC826" s="194"/>
      <c r="AD826" s="194"/>
    </row>
    <row r="827" customFormat="false" ht="15.75" hidden="false" customHeight="false" outlineLevel="0" collapsed="false">
      <c r="A827" s="194"/>
      <c r="B827" s="194"/>
      <c r="C827" s="194"/>
      <c r="D827" s="194"/>
      <c r="E827" s="194"/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4"/>
      <c r="AA827" s="194"/>
      <c r="AB827" s="194"/>
      <c r="AC827" s="194"/>
      <c r="AD827" s="194"/>
    </row>
    <row r="828" customFormat="false" ht="15.75" hidden="false" customHeight="false" outlineLevel="0" collapsed="false">
      <c r="A828" s="194"/>
      <c r="B828" s="194"/>
      <c r="C828" s="194"/>
      <c r="D828" s="194"/>
      <c r="E828" s="194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4"/>
      <c r="AA828" s="194"/>
      <c r="AB828" s="194"/>
      <c r="AC828" s="194"/>
      <c r="AD828" s="194"/>
    </row>
    <row r="829" customFormat="false" ht="15.75" hidden="false" customHeight="false" outlineLevel="0" collapsed="false">
      <c r="A829" s="194"/>
      <c r="B829" s="194"/>
      <c r="C829" s="194"/>
      <c r="D829" s="194"/>
      <c r="E829" s="194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4"/>
      <c r="AA829" s="194"/>
      <c r="AB829" s="194"/>
      <c r="AC829" s="194"/>
      <c r="AD829" s="194"/>
    </row>
    <row r="830" customFormat="false" ht="15.75" hidden="false" customHeight="false" outlineLevel="0" collapsed="false">
      <c r="A830" s="194"/>
      <c r="B830" s="194"/>
      <c r="C830" s="194"/>
      <c r="D830" s="194"/>
      <c r="E830" s="194"/>
      <c r="F830" s="194"/>
      <c r="G830" s="194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4"/>
      <c r="AA830" s="194"/>
      <c r="AB830" s="194"/>
      <c r="AC830" s="194"/>
      <c r="AD830" s="194"/>
    </row>
    <row r="831" customFormat="false" ht="15.75" hidden="false" customHeight="false" outlineLevel="0" collapsed="false">
      <c r="A831" s="194"/>
      <c r="B831" s="194"/>
      <c r="C831" s="194"/>
      <c r="D831" s="194"/>
      <c r="E831" s="194"/>
      <c r="F831" s="194"/>
      <c r="G831" s="194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4"/>
      <c r="AA831" s="194"/>
      <c r="AB831" s="194"/>
      <c r="AC831" s="194"/>
      <c r="AD831" s="194"/>
    </row>
    <row r="832" customFormat="false" ht="15.75" hidden="false" customHeight="false" outlineLevel="0" collapsed="false">
      <c r="A832" s="194"/>
      <c r="B832" s="194"/>
      <c r="C832" s="194"/>
      <c r="D832" s="194"/>
      <c r="E832" s="194"/>
      <c r="F832" s="194"/>
      <c r="G832" s="194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4"/>
      <c r="AA832" s="194"/>
      <c r="AB832" s="194"/>
      <c r="AC832" s="194"/>
      <c r="AD832" s="194"/>
    </row>
    <row r="833" customFormat="false" ht="15.75" hidden="false" customHeight="false" outlineLevel="0" collapsed="false">
      <c r="A833" s="194"/>
      <c r="B833" s="194"/>
      <c r="C833" s="194"/>
      <c r="D833" s="194"/>
      <c r="E833" s="194"/>
      <c r="F833" s="194"/>
      <c r="G833" s="194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4"/>
      <c r="AA833" s="194"/>
      <c r="AB833" s="194"/>
      <c r="AC833" s="194"/>
      <c r="AD833" s="194"/>
    </row>
    <row r="834" customFormat="false" ht="15.75" hidden="false" customHeight="false" outlineLevel="0" collapsed="false">
      <c r="A834" s="194"/>
      <c r="B834" s="194"/>
      <c r="C834" s="194"/>
      <c r="D834" s="194"/>
      <c r="E834" s="194"/>
      <c r="F834" s="194"/>
      <c r="G834" s="194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4"/>
      <c r="AA834" s="194"/>
      <c r="AB834" s="194"/>
      <c r="AC834" s="194"/>
      <c r="AD834" s="194"/>
    </row>
    <row r="835" customFormat="false" ht="15.75" hidden="false" customHeight="false" outlineLevel="0" collapsed="false">
      <c r="A835" s="194"/>
      <c r="B835" s="194"/>
      <c r="C835" s="194"/>
      <c r="D835" s="194"/>
      <c r="E835" s="194"/>
      <c r="F835" s="194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4"/>
      <c r="AA835" s="194"/>
      <c r="AB835" s="194"/>
      <c r="AC835" s="194"/>
      <c r="AD835" s="194"/>
    </row>
    <row r="836" customFormat="false" ht="15.75" hidden="false" customHeight="false" outlineLevel="0" collapsed="false">
      <c r="A836" s="194"/>
      <c r="B836" s="194"/>
      <c r="C836" s="194"/>
      <c r="D836" s="194"/>
      <c r="E836" s="194"/>
      <c r="F836" s="194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4"/>
      <c r="AA836" s="194"/>
      <c r="AB836" s="194"/>
      <c r="AC836" s="194"/>
      <c r="AD836" s="194"/>
    </row>
    <row r="837" customFormat="false" ht="15.75" hidden="false" customHeight="false" outlineLevel="0" collapsed="false">
      <c r="A837" s="194"/>
      <c r="B837" s="194"/>
      <c r="C837" s="194"/>
      <c r="D837" s="194"/>
      <c r="E837" s="194"/>
      <c r="F837" s="194"/>
      <c r="G837" s="194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4"/>
      <c r="AA837" s="194"/>
      <c r="AB837" s="194"/>
      <c r="AC837" s="194"/>
      <c r="AD837" s="194"/>
    </row>
    <row r="838" customFormat="false" ht="15.75" hidden="false" customHeight="false" outlineLevel="0" collapsed="false">
      <c r="A838" s="194"/>
      <c r="B838" s="194"/>
      <c r="C838" s="194"/>
      <c r="D838" s="194"/>
      <c r="E838" s="194"/>
      <c r="F838" s="194"/>
      <c r="G838" s="194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4"/>
      <c r="AA838" s="194"/>
      <c r="AB838" s="194"/>
      <c r="AC838" s="194"/>
      <c r="AD838" s="194"/>
    </row>
    <row r="839" customFormat="false" ht="15.75" hidden="false" customHeight="false" outlineLevel="0" collapsed="false">
      <c r="A839" s="194"/>
      <c r="B839" s="194"/>
      <c r="C839" s="194"/>
      <c r="D839" s="194"/>
      <c r="E839" s="194"/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4"/>
      <c r="AA839" s="194"/>
      <c r="AB839" s="194"/>
      <c r="AC839" s="194"/>
      <c r="AD839" s="194"/>
    </row>
    <row r="840" customFormat="false" ht="15.75" hidden="false" customHeight="false" outlineLevel="0" collapsed="false">
      <c r="A840" s="194"/>
      <c r="B840" s="194"/>
      <c r="C840" s="194"/>
      <c r="D840" s="194"/>
      <c r="E840" s="194"/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4"/>
      <c r="AA840" s="194"/>
      <c r="AB840" s="194"/>
      <c r="AC840" s="194"/>
      <c r="AD840" s="194"/>
    </row>
    <row r="841" customFormat="false" ht="15.75" hidden="false" customHeight="false" outlineLevel="0" collapsed="false">
      <c r="A841" s="194"/>
      <c r="B841" s="194"/>
      <c r="C841" s="194"/>
      <c r="D841" s="194"/>
      <c r="E841" s="194"/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4"/>
      <c r="AA841" s="194"/>
      <c r="AB841" s="194"/>
      <c r="AC841" s="194"/>
      <c r="AD841" s="194"/>
    </row>
    <row r="842" customFormat="false" ht="15.75" hidden="false" customHeight="false" outlineLevel="0" collapsed="false">
      <c r="A842" s="194"/>
      <c r="B842" s="194"/>
      <c r="C842" s="194"/>
      <c r="D842" s="194"/>
      <c r="E842" s="194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4"/>
      <c r="AA842" s="194"/>
      <c r="AB842" s="194"/>
      <c r="AC842" s="194"/>
      <c r="AD842" s="194"/>
    </row>
    <row r="843" customFormat="false" ht="15.75" hidden="false" customHeight="false" outlineLevel="0" collapsed="false">
      <c r="A843" s="194"/>
      <c r="B843" s="194"/>
      <c r="C843" s="194"/>
      <c r="D843" s="194"/>
      <c r="E843" s="194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194"/>
      <c r="AD843" s="194"/>
    </row>
    <row r="844" customFormat="false" ht="15.75" hidden="false" customHeight="false" outlineLevel="0" collapsed="false">
      <c r="A844" s="194"/>
      <c r="B844" s="194"/>
      <c r="C844" s="194"/>
      <c r="D844" s="194"/>
      <c r="E844" s="194"/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4"/>
      <c r="AA844" s="194"/>
      <c r="AB844" s="194"/>
      <c r="AC844" s="194"/>
      <c r="AD844" s="194"/>
    </row>
    <row r="845" customFormat="false" ht="15.75" hidden="false" customHeight="false" outlineLevel="0" collapsed="false">
      <c r="A845" s="194"/>
      <c r="B845" s="194"/>
      <c r="C845" s="194"/>
      <c r="D845" s="194"/>
      <c r="E845" s="194"/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4"/>
      <c r="AA845" s="194"/>
      <c r="AB845" s="194"/>
      <c r="AC845" s="194"/>
      <c r="AD845" s="194"/>
    </row>
    <row r="846" customFormat="false" ht="15.75" hidden="false" customHeight="false" outlineLevel="0" collapsed="false">
      <c r="A846" s="194"/>
      <c r="B846" s="194"/>
      <c r="C846" s="194"/>
      <c r="D846" s="194"/>
      <c r="E846" s="194"/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4"/>
      <c r="AA846" s="194"/>
      <c r="AB846" s="194"/>
      <c r="AC846" s="194"/>
      <c r="AD846" s="194"/>
    </row>
    <row r="847" customFormat="false" ht="15.75" hidden="false" customHeight="false" outlineLevel="0" collapsed="false">
      <c r="A847" s="194"/>
      <c r="B847" s="194"/>
      <c r="C847" s="194"/>
      <c r="D847" s="194"/>
      <c r="E847" s="194"/>
      <c r="F847" s="194"/>
      <c r="G847" s="194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4"/>
      <c r="AA847" s="194"/>
      <c r="AB847" s="194"/>
      <c r="AC847" s="194"/>
      <c r="AD847" s="194"/>
    </row>
    <row r="848" customFormat="false" ht="15.75" hidden="false" customHeight="false" outlineLevel="0" collapsed="false">
      <c r="A848" s="194"/>
      <c r="B848" s="194"/>
      <c r="C848" s="194"/>
      <c r="D848" s="194"/>
      <c r="E848" s="194"/>
      <c r="F848" s="194"/>
      <c r="G848" s="194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4"/>
      <c r="AA848" s="194"/>
      <c r="AB848" s="194"/>
      <c r="AC848" s="194"/>
      <c r="AD848" s="194"/>
    </row>
    <row r="849" customFormat="false" ht="15.75" hidden="false" customHeight="false" outlineLevel="0" collapsed="false">
      <c r="A849" s="194"/>
      <c r="B849" s="194"/>
      <c r="C849" s="194"/>
      <c r="D849" s="194"/>
      <c r="E849" s="194"/>
      <c r="F849" s="194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4"/>
      <c r="AA849" s="194"/>
      <c r="AB849" s="194"/>
      <c r="AC849" s="194"/>
      <c r="AD849" s="194"/>
    </row>
    <row r="850" customFormat="false" ht="15.75" hidden="false" customHeight="false" outlineLevel="0" collapsed="false">
      <c r="A850" s="194"/>
      <c r="B850" s="194"/>
      <c r="C850" s="194"/>
      <c r="D850" s="194"/>
      <c r="E850" s="194"/>
      <c r="F850" s="194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4"/>
      <c r="AA850" s="194"/>
      <c r="AB850" s="194"/>
      <c r="AC850" s="194"/>
      <c r="AD850" s="194"/>
    </row>
    <row r="851" customFormat="false" ht="15.75" hidden="false" customHeight="false" outlineLevel="0" collapsed="false">
      <c r="A851" s="194"/>
      <c r="B851" s="194"/>
      <c r="C851" s="194"/>
      <c r="D851" s="194"/>
      <c r="E851" s="194"/>
      <c r="F851" s="194"/>
      <c r="G851" s="194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4"/>
      <c r="AA851" s="194"/>
      <c r="AB851" s="194"/>
      <c r="AC851" s="194"/>
      <c r="AD851" s="194"/>
    </row>
    <row r="852" customFormat="false" ht="15.75" hidden="false" customHeight="false" outlineLevel="0" collapsed="false">
      <c r="A852" s="194"/>
      <c r="B852" s="194"/>
      <c r="C852" s="194"/>
      <c r="D852" s="194"/>
      <c r="E852" s="194"/>
      <c r="F852" s="194"/>
      <c r="G852" s="194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4"/>
      <c r="AA852" s="194"/>
      <c r="AB852" s="194"/>
      <c r="AC852" s="194"/>
      <c r="AD852" s="194"/>
    </row>
    <row r="853" customFormat="false" ht="15.75" hidden="false" customHeight="false" outlineLevel="0" collapsed="false">
      <c r="A853" s="194"/>
      <c r="B853" s="194"/>
      <c r="C853" s="194"/>
      <c r="D853" s="194"/>
      <c r="E853" s="194"/>
      <c r="F853" s="194"/>
      <c r="G853" s="194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4"/>
      <c r="AA853" s="194"/>
      <c r="AB853" s="194"/>
      <c r="AC853" s="194"/>
      <c r="AD853" s="194"/>
    </row>
    <row r="854" customFormat="false" ht="15.75" hidden="false" customHeight="false" outlineLevel="0" collapsed="false">
      <c r="A854" s="194"/>
      <c r="B854" s="194"/>
      <c r="C854" s="194"/>
      <c r="D854" s="194"/>
      <c r="E854" s="194"/>
      <c r="F854" s="194"/>
      <c r="G854" s="194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4"/>
      <c r="AA854" s="194"/>
      <c r="AB854" s="194"/>
      <c r="AC854" s="194"/>
      <c r="AD854" s="194"/>
    </row>
    <row r="855" customFormat="false" ht="15.75" hidden="false" customHeight="false" outlineLevel="0" collapsed="false">
      <c r="A855" s="194"/>
      <c r="B855" s="194"/>
      <c r="C855" s="194"/>
      <c r="D855" s="194"/>
      <c r="E855" s="194"/>
      <c r="F855" s="194"/>
      <c r="G855" s="194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4"/>
      <c r="AA855" s="194"/>
      <c r="AB855" s="194"/>
      <c r="AC855" s="194"/>
      <c r="AD855" s="194"/>
    </row>
    <row r="856" customFormat="false" ht="15.75" hidden="false" customHeight="false" outlineLevel="0" collapsed="false">
      <c r="A856" s="194"/>
      <c r="B856" s="194"/>
      <c r="C856" s="194"/>
      <c r="D856" s="194"/>
      <c r="E856" s="194"/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4"/>
      <c r="AA856" s="194"/>
      <c r="AB856" s="194"/>
      <c r="AC856" s="194"/>
      <c r="AD856" s="194"/>
    </row>
    <row r="857" customFormat="false" ht="15.75" hidden="false" customHeight="false" outlineLevel="0" collapsed="false">
      <c r="A857" s="194"/>
      <c r="B857" s="194"/>
      <c r="C857" s="194"/>
      <c r="D857" s="194"/>
      <c r="E857" s="194"/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4"/>
      <c r="AA857" s="194"/>
      <c r="AB857" s="194"/>
      <c r="AC857" s="194"/>
      <c r="AD857" s="194"/>
    </row>
    <row r="858" customFormat="false" ht="15.75" hidden="false" customHeight="false" outlineLevel="0" collapsed="false">
      <c r="A858" s="194"/>
      <c r="B858" s="194"/>
      <c r="C858" s="194"/>
      <c r="D858" s="194"/>
      <c r="E858" s="194"/>
      <c r="F858" s="194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4"/>
      <c r="AA858" s="194"/>
      <c r="AB858" s="194"/>
      <c r="AC858" s="194"/>
      <c r="AD858" s="194"/>
    </row>
    <row r="859" customFormat="false" ht="15.75" hidden="false" customHeight="false" outlineLevel="0" collapsed="false">
      <c r="A859" s="194"/>
      <c r="B859" s="194"/>
      <c r="C859" s="194"/>
      <c r="D859" s="194"/>
      <c r="E859" s="194"/>
      <c r="F859" s="194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4"/>
      <c r="AA859" s="194"/>
      <c r="AB859" s="194"/>
      <c r="AC859" s="194"/>
      <c r="AD859" s="194"/>
    </row>
    <row r="860" customFormat="false" ht="15.75" hidden="false" customHeight="false" outlineLevel="0" collapsed="false">
      <c r="A860" s="194"/>
      <c r="B860" s="194"/>
      <c r="C860" s="194"/>
      <c r="D860" s="194"/>
      <c r="E860" s="194"/>
      <c r="F860" s="194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4"/>
      <c r="AA860" s="194"/>
      <c r="AB860" s="194"/>
      <c r="AC860" s="194"/>
      <c r="AD860" s="194"/>
    </row>
    <row r="861" customFormat="false" ht="15.75" hidden="false" customHeight="false" outlineLevel="0" collapsed="false">
      <c r="A861" s="194"/>
      <c r="B861" s="194"/>
      <c r="C861" s="194"/>
      <c r="D861" s="194"/>
      <c r="E861" s="194"/>
      <c r="F861" s="194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194"/>
      <c r="AD861" s="194"/>
    </row>
    <row r="862" customFormat="false" ht="15.75" hidden="false" customHeight="false" outlineLevel="0" collapsed="false">
      <c r="A862" s="194"/>
      <c r="B862" s="194"/>
      <c r="C862" s="194"/>
      <c r="D862" s="194"/>
      <c r="E862" s="194"/>
      <c r="F862" s="194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4"/>
      <c r="AA862" s="194"/>
      <c r="AB862" s="194"/>
      <c r="AC862" s="194"/>
      <c r="AD862" s="194"/>
    </row>
    <row r="863" customFormat="false" ht="15.75" hidden="false" customHeight="false" outlineLevel="0" collapsed="false">
      <c r="A863" s="194"/>
      <c r="B863" s="194"/>
      <c r="C863" s="194"/>
      <c r="D863" s="194"/>
      <c r="E863" s="194"/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4"/>
      <c r="AA863" s="194"/>
      <c r="AB863" s="194"/>
      <c r="AC863" s="194"/>
      <c r="AD863" s="194"/>
    </row>
    <row r="864" customFormat="false" ht="15.75" hidden="false" customHeight="false" outlineLevel="0" collapsed="false">
      <c r="A864" s="194"/>
      <c r="B864" s="194"/>
      <c r="C864" s="194"/>
      <c r="D864" s="194"/>
      <c r="E864" s="194"/>
      <c r="F864" s="194"/>
      <c r="G864" s="194"/>
      <c r="H864" s="194"/>
      <c r="I864" s="194"/>
      <c r="J864" s="194"/>
      <c r="K864" s="194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4"/>
      <c r="AA864" s="194"/>
      <c r="AB864" s="194"/>
      <c r="AC864" s="194"/>
      <c r="AD864" s="194"/>
    </row>
    <row r="865" customFormat="false" ht="15.75" hidden="false" customHeight="false" outlineLevel="0" collapsed="false">
      <c r="A865" s="194"/>
      <c r="B865" s="194"/>
      <c r="C865" s="194"/>
      <c r="D865" s="194"/>
      <c r="E865" s="194"/>
      <c r="F865" s="194"/>
      <c r="G865" s="194"/>
      <c r="H865" s="194"/>
      <c r="I865" s="194"/>
      <c r="J865" s="194"/>
      <c r="K865" s="194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4"/>
      <c r="AA865" s="194"/>
      <c r="AB865" s="194"/>
      <c r="AC865" s="194"/>
      <c r="AD865" s="194"/>
    </row>
    <row r="866" customFormat="false" ht="15.75" hidden="false" customHeight="false" outlineLevel="0" collapsed="false">
      <c r="A866" s="194"/>
      <c r="B866" s="194"/>
      <c r="C866" s="194"/>
      <c r="D866" s="194"/>
      <c r="E866" s="194"/>
      <c r="F866" s="194"/>
      <c r="G866" s="194"/>
      <c r="H866" s="194"/>
      <c r="I866" s="194"/>
      <c r="J866" s="194"/>
      <c r="K866" s="194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4"/>
      <c r="AA866" s="194"/>
      <c r="AB866" s="194"/>
      <c r="AC866" s="194"/>
      <c r="AD866" s="194"/>
    </row>
    <row r="867" customFormat="false" ht="15.75" hidden="false" customHeight="false" outlineLevel="0" collapsed="false">
      <c r="A867" s="194"/>
      <c r="B867" s="194"/>
      <c r="C867" s="194"/>
      <c r="D867" s="194"/>
      <c r="E867" s="194"/>
      <c r="F867" s="194"/>
      <c r="G867" s="194"/>
      <c r="H867" s="194"/>
      <c r="I867" s="194"/>
      <c r="J867" s="194"/>
      <c r="K867" s="194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4"/>
      <c r="AA867" s="194"/>
      <c r="AB867" s="194"/>
      <c r="AC867" s="194"/>
      <c r="AD867" s="194"/>
    </row>
    <row r="868" customFormat="false" ht="15.75" hidden="false" customHeight="false" outlineLevel="0" collapsed="false">
      <c r="A868" s="194"/>
      <c r="B868" s="194"/>
      <c r="C868" s="194"/>
      <c r="D868" s="194"/>
      <c r="E868" s="194"/>
      <c r="F868" s="194"/>
      <c r="G868" s="194"/>
      <c r="H868" s="194"/>
      <c r="I868" s="194"/>
      <c r="J868" s="194"/>
      <c r="K868" s="194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4"/>
      <c r="AA868" s="194"/>
      <c r="AB868" s="194"/>
      <c r="AC868" s="194"/>
      <c r="AD868" s="194"/>
    </row>
    <row r="869" customFormat="false" ht="15.75" hidden="false" customHeight="false" outlineLevel="0" collapsed="false">
      <c r="A869" s="194"/>
      <c r="B869" s="194"/>
      <c r="C869" s="194"/>
      <c r="D869" s="194"/>
      <c r="E869" s="194"/>
      <c r="F869" s="194"/>
      <c r="G869" s="194"/>
      <c r="H869" s="194"/>
      <c r="I869" s="194"/>
      <c r="J869" s="194"/>
      <c r="K869" s="194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4"/>
      <c r="AA869" s="194"/>
      <c r="AB869" s="194"/>
      <c r="AC869" s="194"/>
      <c r="AD869" s="194"/>
    </row>
    <row r="870" customFormat="false" ht="15.75" hidden="false" customHeight="false" outlineLevel="0" collapsed="false">
      <c r="A870" s="194"/>
      <c r="B870" s="194"/>
      <c r="C870" s="194"/>
      <c r="D870" s="194"/>
      <c r="E870" s="194"/>
      <c r="F870" s="194"/>
      <c r="G870" s="194"/>
      <c r="H870" s="194"/>
      <c r="I870" s="194"/>
      <c r="J870" s="194"/>
      <c r="K870" s="194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4"/>
      <c r="AA870" s="194"/>
      <c r="AB870" s="194"/>
      <c r="AC870" s="194"/>
      <c r="AD870" s="194"/>
    </row>
    <row r="871" customFormat="false" ht="15.75" hidden="false" customHeight="false" outlineLevel="0" collapsed="false">
      <c r="A871" s="194"/>
      <c r="B871" s="194"/>
      <c r="C871" s="194"/>
      <c r="D871" s="194"/>
      <c r="E871" s="194"/>
      <c r="F871" s="194"/>
      <c r="G871" s="194"/>
      <c r="H871" s="194"/>
      <c r="I871" s="194"/>
      <c r="J871" s="194"/>
      <c r="K871" s="194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4"/>
      <c r="AA871" s="194"/>
      <c r="AB871" s="194"/>
      <c r="AC871" s="194"/>
      <c r="AD871" s="194"/>
    </row>
    <row r="872" customFormat="false" ht="15.75" hidden="false" customHeight="false" outlineLevel="0" collapsed="false">
      <c r="A872" s="194"/>
      <c r="B872" s="194"/>
      <c r="C872" s="194"/>
      <c r="D872" s="194"/>
      <c r="E872" s="194"/>
      <c r="F872" s="194"/>
      <c r="G872" s="194"/>
      <c r="H872" s="194"/>
      <c r="I872" s="194"/>
      <c r="J872" s="194"/>
      <c r="K872" s="194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4"/>
      <c r="AA872" s="194"/>
      <c r="AB872" s="194"/>
      <c r="AC872" s="194"/>
      <c r="AD872" s="194"/>
    </row>
    <row r="873" customFormat="false" ht="15.75" hidden="false" customHeight="false" outlineLevel="0" collapsed="false">
      <c r="A873" s="194"/>
      <c r="B873" s="194"/>
      <c r="C873" s="194"/>
      <c r="D873" s="194"/>
      <c r="E873" s="194"/>
      <c r="F873" s="194"/>
      <c r="G873" s="194"/>
      <c r="H873" s="194"/>
      <c r="I873" s="194"/>
      <c r="J873" s="194"/>
      <c r="K873" s="194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4"/>
      <c r="AA873" s="194"/>
      <c r="AB873" s="194"/>
      <c r="AC873" s="194"/>
      <c r="AD873" s="194"/>
    </row>
    <row r="874" customFormat="false" ht="15.75" hidden="false" customHeight="false" outlineLevel="0" collapsed="false">
      <c r="A874" s="194"/>
      <c r="B874" s="194"/>
      <c r="C874" s="194"/>
      <c r="D874" s="194"/>
      <c r="E874" s="194"/>
      <c r="F874" s="194"/>
      <c r="G874" s="194"/>
      <c r="H874" s="194"/>
      <c r="I874" s="194"/>
      <c r="J874" s="194"/>
      <c r="K874" s="194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4"/>
      <c r="AA874" s="194"/>
      <c r="AB874" s="194"/>
      <c r="AC874" s="194"/>
      <c r="AD874" s="194"/>
    </row>
    <row r="875" customFormat="false" ht="15.75" hidden="false" customHeight="false" outlineLevel="0" collapsed="false">
      <c r="A875" s="194"/>
      <c r="B875" s="194"/>
      <c r="C875" s="194"/>
      <c r="D875" s="194"/>
      <c r="E875" s="194"/>
      <c r="F875" s="194"/>
      <c r="G875" s="194"/>
      <c r="H875" s="194"/>
      <c r="I875" s="194"/>
      <c r="J875" s="194"/>
      <c r="K875" s="194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4"/>
      <c r="AA875" s="194"/>
      <c r="AB875" s="194"/>
      <c r="AC875" s="194"/>
      <c r="AD875" s="194"/>
    </row>
    <row r="876" customFormat="false" ht="15.75" hidden="false" customHeight="false" outlineLevel="0" collapsed="false">
      <c r="A876" s="194"/>
      <c r="B876" s="194"/>
      <c r="C876" s="194"/>
      <c r="D876" s="194"/>
      <c r="E876" s="194"/>
      <c r="F876" s="194"/>
      <c r="G876" s="194"/>
      <c r="H876" s="194"/>
      <c r="I876" s="194"/>
      <c r="J876" s="194"/>
      <c r="K876" s="194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4"/>
      <c r="AA876" s="194"/>
      <c r="AB876" s="194"/>
      <c r="AC876" s="194"/>
      <c r="AD876" s="194"/>
    </row>
    <row r="877" customFormat="false" ht="15.75" hidden="false" customHeight="false" outlineLevel="0" collapsed="false">
      <c r="A877" s="194"/>
      <c r="B877" s="194"/>
      <c r="C877" s="194"/>
      <c r="D877" s="194"/>
      <c r="E877" s="194"/>
      <c r="F877" s="194"/>
      <c r="G877" s="194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4"/>
      <c r="AA877" s="194"/>
      <c r="AB877" s="194"/>
      <c r="AC877" s="194"/>
      <c r="AD877" s="194"/>
    </row>
    <row r="878" customFormat="false" ht="15.75" hidden="false" customHeight="false" outlineLevel="0" collapsed="false">
      <c r="A878" s="194"/>
      <c r="B878" s="194"/>
      <c r="C878" s="194"/>
      <c r="D878" s="194"/>
      <c r="E878" s="194"/>
      <c r="F878" s="194"/>
      <c r="G878" s="194"/>
      <c r="H878" s="194"/>
      <c r="I878" s="194"/>
      <c r="J878" s="194"/>
      <c r="K878" s="194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4"/>
      <c r="AA878" s="194"/>
      <c r="AB878" s="194"/>
      <c r="AC878" s="194"/>
      <c r="AD878" s="194"/>
    </row>
    <row r="879" customFormat="false" ht="15.75" hidden="false" customHeight="false" outlineLevel="0" collapsed="false">
      <c r="A879" s="194"/>
      <c r="B879" s="194"/>
      <c r="C879" s="194"/>
      <c r="D879" s="194"/>
      <c r="E879" s="194"/>
      <c r="F879" s="194"/>
      <c r="G879" s="194"/>
      <c r="H879" s="194"/>
      <c r="I879" s="194"/>
      <c r="J879" s="194"/>
      <c r="K879" s="194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4"/>
      <c r="AA879" s="194"/>
      <c r="AB879" s="194"/>
      <c r="AC879" s="194"/>
      <c r="AD879" s="194"/>
    </row>
    <row r="880" customFormat="false" ht="15.75" hidden="false" customHeight="false" outlineLevel="0" collapsed="false">
      <c r="A880" s="194"/>
      <c r="B880" s="194"/>
      <c r="C880" s="194"/>
      <c r="D880" s="194"/>
      <c r="E880" s="194"/>
      <c r="F880" s="194"/>
      <c r="G880" s="194"/>
      <c r="H880" s="194"/>
      <c r="I880" s="194"/>
      <c r="J880" s="194"/>
      <c r="K880" s="194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4"/>
      <c r="AA880" s="194"/>
      <c r="AB880" s="194"/>
      <c r="AC880" s="194"/>
      <c r="AD880" s="194"/>
    </row>
    <row r="881" customFormat="false" ht="15.75" hidden="false" customHeight="false" outlineLevel="0" collapsed="false">
      <c r="A881" s="194"/>
      <c r="B881" s="194"/>
      <c r="C881" s="194"/>
      <c r="D881" s="194"/>
      <c r="E881" s="194"/>
      <c r="F881" s="194"/>
      <c r="G881" s="194"/>
      <c r="H881" s="194"/>
      <c r="I881" s="194"/>
      <c r="J881" s="194"/>
      <c r="K881" s="194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4"/>
      <c r="AA881" s="194"/>
      <c r="AB881" s="194"/>
      <c r="AC881" s="194"/>
      <c r="AD881" s="194"/>
    </row>
    <row r="882" customFormat="false" ht="15.75" hidden="false" customHeight="false" outlineLevel="0" collapsed="false">
      <c r="A882" s="194"/>
      <c r="B882" s="194"/>
      <c r="C882" s="194"/>
      <c r="D882" s="194"/>
      <c r="E882" s="194"/>
      <c r="F882" s="194"/>
      <c r="G882" s="194"/>
      <c r="H882" s="194"/>
      <c r="I882" s="194"/>
      <c r="J882" s="194"/>
      <c r="K882" s="194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4"/>
      <c r="AA882" s="194"/>
      <c r="AB882" s="194"/>
      <c r="AC882" s="194"/>
      <c r="AD882" s="194"/>
    </row>
    <row r="883" customFormat="false" ht="15.75" hidden="false" customHeight="false" outlineLevel="0" collapsed="false">
      <c r="A883" s="194"/>
      <c r="B883" s="194"/>
      <c r="C883" s="194"/>
      <c r="D883" s="194"/>
      <c r="E883" s="194"/>
      <c r="F883" s="194"/>
      <c r="G883" s="194"/>
      <c r="H883" s="194"/>
      <c r="I883" s="194"/>
      <c r="J883" s="194"/>
      <c r="K883" s="194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4"/>
      <c r="AA883" s="194"/>
      <c r="AB883" s="194"/>
      <c r="AC883" s="194"/>
      <c r="AD883" s="194"/>
    </row>
    <row r="884" customFormat="false" ht="15.75" hidden="false" customHeight="false" outlineLevel="0" collapsed="false">
      <c r="A884" s="194"/>
      <c r="B884" s="194"/>
      <c r="C884" s="194"/>
      <c r="D884" s="194"/>
      <c r="E884" s="194"/>
      <c r="F884" s="194"/>
      <c r="G884" s="194"/>
      <c r="H884" s="194"/>
      <c r="I884" s="194"/>
      <c r="J884" s="194"/>
      <c r="K884" s="194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4"/>
      <c r="AA884" s="194"/>
      <c r="AB884" s="194"/>
      <c r="AC884" s="194"/>
      <c r="AD884" s="194"/>
    </row>
    <row r="885" customFormat="false" ht="15.75" hidden="false" customHeight="false" outlineLevel="0" collapsed="false">
      <c r="A885" s="194"/>
      <c r="B885" s="194"/>
      <c r="C885" s="194"/>
      <c r="D885" s="194"/>
      <c r="E885" s="194"/>
      <c r="F885" s="194"/>
      <c r="G885" s="194"/>
      <c r="H885" s="194"/>
      <c r="I885" s="194"/>
      <c r="J885" s="194"/>
      <c r="K885" s="194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4"/>
      <c r="AA885" s="194"/>
      <c r="AB885" s="194"/>
      <c r="AC885" s="194"/>
      <c r="AD885" s="194"/>
    </row>
    <row r="886" customFormat="false" ht="15.75" hidden="false" customHeight="false" outlineLevel="0" collapsed="false">
      <c r="A886" s="194"/>
      <c r="B886" s="194"/>
      <c r="C886" s="194"/>
      <c r="D886" s="194"/>
      <c r="E886" s="194"/>
      <c r="F886" s="194"/>
      <c r="G886" s="194"/>
      <c r="H886" s="194"/>
      <c r="I886" s="194"/>
      <c r="J886" s="194"/>
      <c r="K886" s="194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4"/>
      <c r="AA886" s="194"/>
      <c r="AB886" s="194"/>
      <c r="AC886" s="194"/>
      <c r="AD886" s="194"/>
    </row>
    <row r="887" customFormat="false" ht="15.75" hidden="false" customHeight="false" outlineLevel="0" collapsed="false">
      <c r="A887" s="194"/>
      <c r="B887" s="194"/>
      <c r="C887" s="194"/>
      <c r="D887" s="194"/>
      <c r="E887" s="194"/>
      <c r="F887" s="194"/>
      <c r="G887" s="194"/>
      <c r="H887" s="194"/>
      <c r="I887" s="194"/>
      <c r="J887" s="194"/>
      <c r="K887" s="194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4"/>
      <c r="AA887" s="194"/>
      <c r="AB887" s="194"/>
      <c r="AC887" s="194"/>
      <c r="AD887" s="194"/>
    </row>
    <row r="888" customFormat="false" ht="15.75" hidden="false" customHeight="false" outlineLevel="0" collapsed="false">
      <c r="A888" s="194"/>
      <c r="B888" s="194"/>
      <c r="C888" s="194"/>
      <c r="D888" s="194"/>
      <c r="E888" s="194"/>
      <c r="F888" s="194"/>
      <c r="G888" s="194"/>
      <c r="H888" s="194"/>
      <c r="I888" s="194"/>
      <c r="J888" s="194"/>
      <c r="K888" s="194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4"/>
      <c r="AA888" s="194"/>
      <c r="AB888" s="194"/>
      <c r="AC888" s="194"/>
      <c r="AD888" s="194"/>
    </row>
    <row r="889" customFormat="false" ht="15.75" hidden="false" customHeight="false" outlineLevel="0" collapsed="false">
      <c r="A889" s="194"/>
      <c r="B889" s="194"/>
      <c r="C889" s="194"/>
      <c r="D889" s="194"/>
      <c r="E889" s="194"/>
      <c r="F889" s="194"/>
      <c r="G889" s="194"/>
      <c r="H889" s="194"/>
      <c r="I889" s="194"/>
      <c r="J889" s="194"/>
      <c r="K889" s="194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4"/>
      <c r="AA889" s="194"/>
      <c r="AB889" s="194"/>
      <c r="AC889" s="194"/>
      <c r="AD889" s="194"/>
    </row>
    <row r="890" customFormat="false" ht="15.75" hidden="false" customHeight="false" outlineLevel="0" collapsed="false">
      <c r="A890" s="194"/>
      <c r="B890" s="194"/>
      <c r="C890" s="194"/>
      <c r="D890" s="194"/>
      <c r="E890" s="194"/>
      <c r="F890" s="194"/>
      <c r="G890" s="194"/>
      <c r="H890" s="194"/>
      <c r="I890" s="194"/>
      <c r="J890" s="194"/>
      <c r="K890" s="194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4"/>
      <c r="AA890" s="194"/>
      <c r="AB890" s="194"/>
      <c r="AC890" s="194"/>
      <c r="AD890" s="194"/>
    </row>
    <row r="891" customFormat="false" ht="15.75" hidden="false" customHeight="false" outlineLevel="0" collapsed="false">
      <c r="A891" s="194"/>
      <c r="B891" s="194"/>
      <c r="C891" s="194"/>
      <c r="D891" s="194"/>
      <c r="E891" s="194"/>
      <c r="F891" s="194"/>
      <c r="G891" s="194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4"/>
      <c r="AA891" s="194"/>
      <c r="AB891" s="194"/>
      <c r="AC891" s="194"/>
      <c r="AD891" s="194"/>
    </row>
    <row r="892" customFormat="false" ht="15.75" hidden="false" customHeight="false" outlineLevel="0" collapsed="false">
      <c r="A892" s="194"/>
      <c r="B892" s="194"/>
      <c r="C892" s="194"/>
      <c r="D892" s="194"/>
      <c r="E892" s="194"/>
      <c r="F892" s="194"/>
      <c r="G892" s="194"/>
      <c r="H892" s="194"/>
      <c r="I892" s="194"/>
      <c r="J892" s="194"/>
      <c r="K892" s="194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4"/>
      <c r="AA892" s="194"/>
      <c r="AB892" s="194"/>
      <c r="AC892" s="194"/>
      <c r="AD892" s="194"/>
    </row>
    <row r="893" customFormat="false" ht="15.75" hidden="false" customHeight="false" outlineLevel="0" collapsed="false">
      <c r="A893" s="194"/>
      <c r="B893" s="194"/>
      <c r="C893" s="194"/>
      <c r="D893" s="194"/>
      <c r="E893" s="194"/>
      <c r="F893" s="194"/>
      <c r="G893" s="194"/>
      <c r="H893" s="194"/>
      <c r="I893" s="194"/>
      <c r="J893" s="194"/>
      <c r="K893" s="194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4"/>
      <c r="AA893" s="194"/>
      <c r="AB893" s="194"/>
      <c r="AC893" s="194"/>
      <c r="AD893" s="194"/>
    </row>
    <row r="894" customFormat="false" ht="15.75" hidden="false" customHeight="false" outlineLevel="0" collapsed="false">
      <c r="A894" s="194"/>
      <c r="B894" s="194"/>
      <c r="C894" s="194"/>
      <c r="D894" s="194"/>
      <c r="E894" s="194"/>
      <c r="F894" s="194"/>
      <c r="G894" s="194"/>
      <c r="H894" s="194"/>
      <c r="I894" s="194"/>
      <c r="J894" s="194"/>
      <c r="K894" s="194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4"/>
      <c r="AA894" s="194"/>
      <c r="AB894" s="194"/>
      <c r="AC894" s="194"/>
      <c r="AD894" s="194"/>
    </row>
    <row r="895" customFormat="false" ht="15.75" hidden="false" customHeight="false" outlineLevel="0" collapsed="false">
      <c r="A895" s="194"/>
      <c r="B895" s="194"/>
      <c r="C895" s="194"/>
      <c r="D895" s="194"/>
      <c r="E895" s="194"/>
      <c r="F895" s="194"/>
      <c r="G895" s="194"/>
      <c r="H895" s="194"/>
      <c r="I895" s="194"/>
      <c r="J895" s="194"/>
      <c r="K895" s="194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4"/>
      <c r="AA895" s="194"/>
      <c r="AB895" s="194"/>
      <c r="AC895" s="194"/>
      <c r="AD895" s="194"/>
    </row>
    <row r="896" customFormat="false" ht="15.75" hidden="false" customHeight="false" outlineLevel="0" collapsed="false">
      <c r="A896" s="194"/>
      <c r="B896" s="194"/>
      <c r="C896" s="194"/>
      <c r="D896" s="194"/>
      <c r="E896" s="194"/>
      <c r="F896" s="194"/>
      <c r="G896" s="194"/>
      <c r="H896" s="194"/>
      <c r="I896" s="194"/>
      <c r="J896" s="194"/>
      <c r="K896" s="194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4"/>
      <c r="AA896" s="194"/>
      <c r="AB896" s="194"/>
      <c r="AC896" s="194"/>
      <c r="AD896" s="194"/>
    </row>
    <row r="897" customFormat="false" ht="15.75" hidden="false" customHeight="false" outlineLevel="0" collapsed="false">
      <c r="A897" s="194"/>
      <c r="B897" s="194"/>
      <c r="C897" s="194"/>
      <c r="D897" s="194"/>
      <c r="E897" s="194"/>
      <c r="F897" s="194"/>
      <c r="G897" s="194"/>
      <c r="H897" s="194"/>
      <c r="I897" s="194"/>
      <c r="J897" s="194"/>
      <c r="K897" s="194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4"/>
      <c r="AA897" s="194"/>
      <c r="AB897" s="194"/>
      <c r="AC897" s="194"/>
      <c r="AD897" s="194"/>
    </row>
    <row r="898" customFormat="false" ht="15.75" hidden="false" customHeight="false" outlineLevel="0" collapsed="false">
      <c r="A898" s="194"/>
      <c r="B898" s="194"/>
      <c r="C898" s="194"/>
      <c r="D898" s="194"/>
      <c r="E898" s="194"/>
      <c r="F898" s="194"/>
      <c r="G898" s="194"/>
      <c r="H898" s="194"/>
      <c r="I898" s="194"/>
      <c r="J898" s="194"/>
      <c r="K898" s="194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4"/>
      <c r="AA898" s="194"/>
      <c r="AB898" s="194"/>
      <c r="AC898" s="194"/>
      <c r="AD898" s="194"/>
    </row>
    <row r="899" customFormat="false" ht="15.75" hidden="false" customHeight="false" outlineLevel="0" collapsed="false">
      <c r="A899" s="194"/>
      <c r="B899" s="194"/>
      <c r="C899" s="194"/>
      <c r="D899" s="194"/>
      <c r="E899" s="194"/>
      <c r="F899" s="194"/>
      <c r="G899" s="194"/>
      <c r="H899" s="194"/>
      <c r="I899" s="194"/>
      <c r="J899" s="194"/>
      <c r="K899" s="194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4"/>
      <c r="AA899" s="194"/>
      <c r="AB899" s="194"/>
      <c r="AC899" s="194"/>
      <c r="AD899" s="194"/>
    </row>
    <row r="900" customFormat="false" ht="15.75" hidden="false" customHeight="false" outlineLevel="0" collapsed="false">
      <c r="A900" s="194"/>
      <c r="B900" s="194"/>
      <c r="C900" s="194"/>
      <c r="D900" s="194"/>
      <c r="E900" s="194"/>
      <c r="F900" s="194"/>
      <c r="G900" s="194"/>
      <c r="H900" s="194"/>
      <c r="I900" s="194"/>
      <c r="J900" s="194"/>
      <c r="K900" s="194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4"/>
      <c r="AA900" s="194"/>
      <c r="AB900" s="194"/>
      <c r="AC900" s="194"/>
      <c r="AD900" s="194"/>
    </row>
    <row r="901" customFormat="false" ht="15.75" hidden="false" customHeight="false" outlineLevel="0" collapsed="false">
      <c r="A901" s="194"/>
      <c r="B901" s="194"/>
      <c r="C901" s="194"/>
      <c r="D901" s="194"/>
      <c r="E901" s="194"/>
      <c r="F901" s="194"/>
      <c r="G901" s="194"/>
      <c r="H901" s="194"/>
      <c r="I901" s="194"/>
      <c r="J901" s="194"/>
      <c r="K901" s="194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4"/>
      <c r="AA901" s="194"/>
      <c r="AB901" s="194"/>
      <c r="AC901" s="194"/>
      <c r="AD901" s="194"/>
    </row>
    <row r="902" customFormat="false" ht="15.75" hidden="false" customHeight="false" outlineLevel="0" collapsed="false">
      <c r="A902" s="194"/>
      <c r="B902" s="194"/>
      <c r="C902" s="194"/>
      <c r="D902" s="194"/>
      <c r="E902" s="194"/>
      <c r="F902" s="194"/>
      <c r="G902" s="194"/>
      <c r="H902" s="194"/>
      <c r="I902" s="194"/>
      <c r="J902" s="194"/>
      <c r="K902" s="194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4"/>
      <c r="AA902" s="194"/>
      <c r="AB902" s="194"/>
      <c r="AC902" s="194"/>
      <c r="AD902" s="194"/>
    </row>
    <row r="903" customFormat="false" ht="15.75" hidden="false" customHeight="false" outlineLevel="0" collapsed="false">
      <c r="A903" s="194"/>
      <c r="B903" s="194"/>
      <c r="C903" s="194"/>
      <c r="D903" s="194"/>
      <c r="E903" s="194"/>
      <c r="F903" s="194"/>
      <c r="G903" s="194"/>
      <c r="H903" s="194"/>
      <c r="I903" s="194"/>
      <c r="J903" s="194"/>
      <c r="K903" s="194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4"/>
      <c r="AA903" s="194"/>
      <c r="AB903" s="194"/>
      <c r="AC903" s="194"/>
      <c r="AD903" s="194"/>
    </row>
    <row r="904" customFormat="false" ht="15.75" hidden="false" customHeight="false" outlineLevel="0" collapsed="false">
      <c r="A904" s="194"/>
      <c r="B904" s="194"/>
      <c r="C904" s="194"/>
      <c r="D904" s="194"/>
      <c r="E904" s="194"/>
      <c r="F904" s="194"/>
      <c r="G904" s="194"/>
      <c r="H904" s="194"/>
      <c r="I904" s="194"/>
      <c r="J904" s="194"/>
      <c r="K904" s="194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4"/>
      <c r="AA904" s="194"/>
      <c r="AB904" s="194"/>
      <c r="AC904" s="194"/>
      <c r="AD904" s="194"/>
    </row>
    <row r="905" customFormat="false" ht="15.75" hidden="false" customHeight="false" outlineLevel="0" collapsed="false">
      <c r="A905" s="194"/>
      <c r="B905" s="194"/>
      <c r="C905" s="194"/>
      <c r="D905" s="194"/>
      <c r="E905" s="194"/>
      <c r="F905" s="194"/>
      <c r="G905" s="194"/>
      <c r="H905" s="194"/>
      <c r="I905" s="194"/>
      <c r="J905" s="194"/>
      <c r="K905" s="194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4"/>
      <c r="AA905" s="194"/>
      <c r="AB905" s="194"/>
      <c r="AC905" s="194"/>
      <c r="AD905" s="194"/>
    </row>
    <row r="906" customFormat="false" ht="15.75" hidden="false" customHeight="false" outlineLevel="0" collapsed="false">
      <c r="A906" s="194"/>
      <c r="B906" s="194"/>
      <c r="C906" s="194"/>
      <c r="D906" s="194"/>
      <c r="E906" s="194"/>
      <c r="F906" s="194"/>
      <c r="G906" s="194"/>
      <c r="H906" s="194"/>
      <c r="I906" s="194"/>
      <c r="J906" s="194"/>
      <c r="K906" s="194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4"/>
      <c r="AA906" s="194"/>
      <c r="AB906" s="194"/>
      <c r="AC906" s="194"/>
      <c r="AD906" s="194"/>
    </row>
    <row r="907" customFormat="false" ht="15.75" hidden="false" customHeight="false" outlineLevel="0" collapsed="false">
      <c r="A907" s="194"/>
      <c r="B907" s="194"/>
      <c r="C907" s="194"/>
      <c r="D907" s="194"/>
      <c r="E907" s="194"/>
      <c r="F907" s="194"/>
      <c r="G907" s="194"/>
      <c r="H907" s="194"/>
      <c r="I907" s="194"/>
      <c r="J907" s="194"/>
      <c r="K907" s="194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4"/>
      <c r="AA907" s="194"/>
      <c r="AB907" s="194"/>
      <c r="AC907" s="194"/>
      <c r="AD907" s="194"/>
    </row>
    <row r="908" customFormat="false" ht="15.75" hidden="false" customHeight="false" outlineLevel="0" collapsed="false">
      <c r="A908" s="194"/>
      <c r="B908" s="194"/>
      <c r="C908" s="194"/>
      <c r="D908" s="194"/>
      <c r="E908" s="194"/>
      <c r="F908" s="194"/>
      <c r="G908" s="194"/>
      <c r="H908" s="194"/>
      <c r="I908" s="194"/>
      <c r="J908" s="194"/>
      <c r="K908" s="194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4"/>
      <c r="AA908" s="194"/>
      <c r="AB908" s="194"/>
      <c r="AC908" s="194"/>
      <c r="AD908" s="194"/>
    </row>
    <row r="909" customFormat="false" ht="15.75" hidden="false" customHeight="false" outlineLevel="0" collapsed="false">
      <c r="A909" s="194"/>
      <c r="B909" s="194"/>
      <c r="C909" s="194"/>
      <c r="D909" s="194"/>
      <c r="E909" s="194"/>
      <c r="F909" s="194"/>
      <c r="G909" s="194"/>
      <c r="H909" s="194"/>
      <c r="I909" s="194"/>
      <c r="J909" s="194"/>
      <c r="K909" s="194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4"/>
      <c r="AA909" s="194"/>
      <c r="AB909" s="194"/>
      <c r="AC909" s="194"/>
      <c r="AD909" s="194"/>
    </row>
    <row r="910" customFormat="false" ht="15.75" hidden="false" customHeight="false" outlineLevel="0" collapsed="false">
      <c r="A910" s="194"/>
      <c r="B910" s="194"/>
      <c r="C910" s="194"/>
      <c r="D910" s="194"/>
      <c r="E910" s="194"/>
      <c r="F910" s="194"/>
      <c r="G910" s="194"/>
      <c r="H910" s="194"/>
      <c r="I910" s="194"/>
      <c r="J910" s="194"/>
      <c r="K910" s="194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4"/>
      <c r="AA910" s="194"/>
      <c r="AB910" s="194"/>
      <c r="AC910" s="194"/>
      <c r="AD910" s="194"/>
    </row>
    <row r="911" customFormat="false" ht="15.75" hidden="false" customHeight="false" outlineLevel="0" collapsed="false">
      <c r="A911" s="194"/>
      <c r="B911" s="194"/>
      <c r="C911" s="194"/>
      <c r="D911" s="194"/>
      <c r="E911" s="194"/>
      <c r="F911" s="194"/>
      <c r="G911" s="194"/>
      <c r="H911" s="194"/>
      <c r="I911" s="194"/>
      <c r="J911" s="194"/>
      <c r="K911" s="194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4"/>
      <c r="AA911" s="194"/>
      <c r="AB911" s="194"/>
      <c r="AC911" s="194"/>
      <c r="AD911" s="194"/>
    </row>
    <row r="912" customFormat="false" ht="15.75" hidden="false" customHeight="false" outlineLevel="0" collapsed="false">
      <c r="A912" s="194"/>
      <c r="B912" s="194"/>
      <c r="C912" s="194"/>
      <c r="D912" s="194"/>
      <c r="E912" s="194"/>
      <c r="F912" s="194"/>
      <c r="G912" s="194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4"/>
      <c r="AA912" s="194"/>
      <c r="AB912" s="194"/>
      <c r="AC912" s="194"/>
      <c r="AD912" s="194"/>
    </row>
    <row r="913" customFormat="false" ht="15.75" hidden="false" customHeight="false" outlineLevel="0" collapsed="false">
      <c r="A913" s="194"/>
      <c r="B913" s="194"/>
      <c r="C913" s="194"/>
      <c r="D913" s="194"/>
      <c r="E913" s="194"/>
      <c r="F913" s="194"/>
      <c r="G913" s="194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4"/>
      <c r="AA913" s="194"/>
      <c r="AB913" s="194"/>
      <c r="AC913" s="194"/>
      <c r="AD913" s="194"/>
    </row>
    <row r="914" customFormat="false" ht="15.75" hidden="false" customHeight="false" outlineLevel="0" collapsed="false">
      <c r="A914" s="194"/>
      <c r="B914" s="194"/>
      <c r="C914" s="194"/>
      <c r="D914" s="194"/>
      <c r="E914" s="194"/>
      <c r="F914" s="194"/>
      <c r="G914" s="194"/>
      <c r="H914" s="194"/>
      <c r="I914" s="194"/>
      <c r="J914" s="194"/>
      <c r="K914" s="194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4"/>
      <c r="AA914" s="194"/>
      <c r="AB914" s="194"/>
      <c r="AC914" s="194"/>
      <c r="AD914" s="194"/>
    </row>
    <row r="915" customFormat="false" ht="15.75" hidden="false" customHeight="false" outlineLevel="0" collapsed="false">
      <c r="A915" s="194"/>
      <c r="B915" s="194"/>
      <c r="C915" s="194"/>
      <c r="D915" s="194"/>
      <c r="E915" s="194"/>
      <c r="F915" s="194"/>
      <c r="G915" s="194"/>
      <c r="H915" s="194"/>
      <c r="I915" s="194"/>
      <c r="J915" s="194"/>
      <c r="K915" s="194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4"/>
      <c r="AA915" s="194"/>
      <c r="AB915" s="194"/>
      <c r="AC915" s="194"/>
      <c r="AD915" s="194"/>
    </row>
    <row r="916" customFormat="false" ht="15.75" hidden="false" customHeight="false" outlineLevel="0" collapsed="false">
      <c r="A916" s="194"/>
      <c r="B916" s="194"/>
      <c r="C916" s="194"/>
      <c r="D916" s="194"/>
      <c r="E916" s="194"/>
      <c r="F916" s="194"/>
      <c r="G916" s="194"/>
      <c r="H916" s="194"/>
      <c r="I916" s="194"/>
      <c r="J916" s="194"/>
      <c r="K916" s="194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4"/>
      <c r="AA916" s="194"/>
      <c r="AB916" s="194"/>
      <c r="AC916" s="194"/>
      <c r="AD916" s="194"/>
    </row>
    <row r="917" customFormat="false" ht="15.75" hidden="false" customHeight="false" outlineLevel="0" collapsed="false">
      <c r="A917" s="194"/>
      <c r="B917" s="194"/>
      <c r="C917" s="194"/>
      <c r="D917" s="194"/>
      <c r="E917" s="194"/>
      <c r="F917" s="194"/>
      <c r="G917" s="194"/>
      <c r="H917" s="194"/>
      <c r="I917" s="194"/>
      <c r="J917" s="194"/>
      <c r="K917" s="194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4"/>
      <c r="AA917" s="194"/>
      <c r="AB917" s="194"/>
      <c r="AC917" s="194"/>
      <c r="AD917" s="194"/>
    </row>
    <row r="918" customFormat="false" ht="15.75" hidden="false" customHeight="false" outlineLevel="0" collapsed="false">
      <c r="A918" s="194"/>
      <c r="B918" s="194"/>
      <c r="C918" s="194"/>
      <c r="D918" s="194"/>
      <c r="E918" s="194"/>
      <c r="F918" s="194"/>
      <c r="G918" s="194"/>
      <c r="H918" s="194"/>
      <c r="I918" s="194"/>
      <c r="J918" s="194"/>
      <c r="K918" s="194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4"/>
      <c r="AA918" s="194"/>
      <c r="AB918" s="194"/>
      <c r="AC918" s="194"/>
      <c r="AD918" s="194"/>
    </row>
    <row r="919" customFormat="false" ht="15.75" hidden="false" customHeight="false" outlineLevel="0" collapsed="false">
      <c r="A919" s="194"/>
      <c r="B919" s="194"/>
      <c r="C919" s="194"/>
      <c r="D919" s="194"/>
      <c r="E919" s="194"/>
      <c r="F919" s="194"/>
      <c r="G919" s="194"/>
      <c r="H919" s="194"/>
      <c r="I919" s="194"/>
      <c r="J919" s="194"/>
      <c r="K919" s="194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4"/>
      <c r="AA919" s="194"/>
      <c r="AB919" s="194"/>
      <c r="AC919" s="194"/>
      <c r="AD919" s="194"/>
    </row>
    <row r="920" customFormat="false" ht="15.75" hidden="false" customHeight="false" outlineLevel="0" collapsed="false">
      <c r="A920" s="194"/>
      <c r="B920" s="194"/>
      <c r="C920" s="194"/>
      <c r="D920" s="194"/>
      <c r="E920" s="194"/>
      <c r="F920" s="194"/>
      <c r="G920" s="194"/>
      <c r="H920" s="194"/>
      <c r="I920" s="194"/>
      <c r="J920" s="194"/>
      <c r="K920" s="194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4"/>
      <c r="AA920" s="194"/>
      <c r="AB920" s="194"/>
      <c r="AC920" s="194"/>
      <c r="AD920" s="194"/>
    </row>
    <row r="921" customFormat="false" ht="15.75" hidden="false" customHeight="false" outlineLevel="0" collapsed="false">
      <c r="A921" s="194"/>
      <c r="B921" s="194"/>
      <c r="C921" s="194"/>
      <c r="D921" s="194"/>
      <c r="E921" s="194"/>
      <c r="F921" s="194"/>
      <c r="G921" s="194"/>
      <c r="H921" s="194"/>
      <c r="I921" s="194"/>
      <c r="J921" s="194"/>
      <c r="K921" s="194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4"/>
      <c r="AA921" s="194"/>
      <c r="AB921" s="194"/>
      <c r="AC921" s="194"/>
      <c r="AD921" s="194"/>
    </row>
    <row r="922" customFormat="false" ht="15.75" hidden="false" customHeight="false" outlineLevel="0" collapsed="false">
      <c r="A922" s="194"/>
      <c r="B922" s="194"/>
      <c r="C922" s="194"/>
      <c r="D922" s="194"/>
      <c r="E922" s="194"/>
      <c r="F922" s="194"/>
      <c r="G922" s="194"/>
      <c r="H922" s="194"/>
      <c r="I922" s="194"/>
      <c r="J922" s="194"/>
      <c r="K922" s="194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4"/>
      <c r="AA922" s="194"/>
      <c r="AB922" s="194"/>
      <c r="AC922" s="194"/>
      <c r="AD922" s="194"/>
    </row>
    <row r="923" customFormat="false" ht="15.75" hidden="false" customHeight="false" outlineLevel="0" collapsed="false">
      <c r="A923" s="194"/>
      <c r="B923" s="194"/>
      <c r="C923" s="194"/>
      <c r="D923" s="194"/>
      <c r="E923" s="194"/>
      <c r="F923" s="194"/>
      <c r="G923" s="194"/>
      <c r="H923" s="194"/>
      <c r="I923" s="194"/>
      <c r="J923" s="194"/>
      <c r="K923" s="194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4"/>
      <c r="AA923" s="194"/>
      <c r="AB923" s="194"/>
      <c r="AC923" s="194"/>
      <c r="AD923" s="194"/>
    </row>
    <row r="924" customFormat="false" ht="15.75" hidden="false" customHeight="false" outlineLevel="0" collapsed="false">
      <c r="A924" s="194"/>
      <c r="B924" s="194"/>
      <c r="C924" s="194"/>
      <c r="D924" s="194"/>
      <c r="E924" s="194"/>
      <c r="F924" s="194"/>
      <c r="G924" s="194"/>
      <c r="H924" s="194"/>
      <c r="I924" s="194"/>
      <c r="J924" s="194"/>
      <c r="K924" s="194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4"/>
      <c r="AA924" s="194"/>
      <c r="AB924" s="194"/>
      <c r="AC924" s="194"/>
      <c r="AD924" s="194"/>
    </row>
    <row r="925" customFormat="false" ht="15.75" hidden="false" customHeight="false" outlineLevel="0" collapsed="false">
      <c r="A925" s="194"/>
      <c r="B925" s="194"/>
      <c r="C925" s="194"/>
      <c r="D925" s="194"/>
      <c r="E925" s="194"/>
      <c r="F925" s="194"/>
      <c r="G925" s="194"/>
      <c r="H925" s="194"/>
      <c r="I925" s="194"/>
      <c r="J925" s="194"/>
      <c r="K925" s="194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4"/>
      <c r="AA925" s="194"/>
      <c r="AB925" s="194"/>
      <c r="AC925" s="194"/>
      <c r="AD925" s="194"/>
    </row>
    <row r="926" customFormat="false" ht="15.75" hidden="false" customHeight="false" outlineLevel="0" collapsed="false">
      <c r="A926" s="194"/>
      <c r="B926" s="194"/>
      <c r="C926" s="194"/>
      <c r="D926" s="194"/>
      <c r="E926" s="194"/>
      <c r="F926" s="194"/>
      <c r="G926" s="194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4"/>
      <c r="AA926" s="194"/>
      <c r="AB926" s="194"/>
      <c r="AC926" s="194"/>
      <c r="AD926" s="194"/>
    </row>
    <row r="927" customFormat="false" ht="15.75" hidden="false" customHeight="false" outlineLevel="0" collapsed="false">
      <c r="A927" s="194"/>
      <c r="B927" s="194"/>
      <c r="C927" s="194"/>
      <c r="D927" s="194"/>
      <c r="E927" s="194"/>
      <c r="F927" s="194"/>
      <c r="G927" s="194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4"/>
      <c r="AA927" s="194"/>
      <c r="AB927" s="194"/>
      <c r="AC927" s="194"/>
      <c r="AD927" s="194"/>
    </row>
    <row r="928" customFormat="false" ht="15.75" hidden="false" customHeight="false" outlineLevel="0" collapsed="false">
      <c r="A928" s="194"/>
      <c r="B928" s="194"/>
      <c r="C928" s="194"/>
      <c r="D928" s="194"/>
      <c r="E928" s="194"/>
      <c r="F928" s="194"/>
      <c r="G928" s="194"/>
      <c r="H928" s="194"/>
      <c r="I928" s="194"/>
      <c r="J928" s="194"/>
      <c r="K928" s="194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4"/>
      <c r="AA928" s="194"/>
      <c r="AB928" s="194"/>
      <c r="AC928" s="194"/>
      <c r="AD928" s="194"/>
    </row>
    <row r="929" customFormat="false" ht="15.75" hidden="false" customHeight="false" outlineLevel="0" collapsed="false">
      <c r="A929" s="194"/>
      <c r="B929" s="194"/>
      <c r="C929" s="194"/>
      <c r="D929" s="194"/>
      <c r="E929" s="194"/>
      <c r="F929" s="194"/>
      <c r="G929" s="194"/>
      <c r="H929" s="194"/>
      <c r="I929" s="194"/>
      <c r="J929" s="194"/>
      <c r="K929" s="194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4"/>
      <c r="AA929" s="194"/>
      <c r="AB929" s="194"/>
      <c r="AC929" s="194"/>
      <c r="AD929" s="194"/>
    </row>
    <row r="930" customFormat="false" ht="15.75" hidden="false" customHeight="false" outlineLevel="0" collapsed="false">
      <c r="A930" s="194"/>
      <c r="B930" s="194"/>
      <c r="C930" s="194"/>
      <c r="D930" s="194"/>
      <c r="E930" s="194"/>
      <c r="F930" s="194"/>
      <c r="G930" s="194"/>
      <c r="H930" s="194"/>
      <c r="I930" s="194"/>
      <c r="J930" s="194"/>
      <c r="K930" s="194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4"/>
      <c r="AA930" s="194"/>
      <c r="AB930" s="194"/>
      <c r="AC930" s="194"/>
      <c r="AD930" s="194"/>
    </row>
    <row r="931" customFormat="false" ht="15.75" hidden="false" customHeight="false" outlineLevel="0" collapsed="false">
      <c r="A931" s="194"/>
      <c r="B931" s="194"/>
      <c r="C931" s="194"/>
      <c r="D931" s="194"/>
      <c r="E931" s="194"/>
      <c r="F931" s="194"/>
      <c r="G931" s="194"/>
      <c r="H931" s="194"/>
      <c r="I931" s="194"/>
      <c r="J931" s="194"/>
      <c r="K931" s="194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4"/>
      <c r="AA931" s="194"/>
      <c r="AB931" s="194"/>
      <c r="AC931" s="194"/>
      <c r="AD931" s="194"/>
    </row>
    <row r="932" customFormat="false" ht="15.75" hidden="false" customHeight="false" outlineLevel="0" collapsed="false">
      <c r="A932" s="194"/>
      <c r="B932" s="194"/>
      <c r="C932" s="194"/>
      <c r="D932" s="194"/>
      <c r="E932" s="194"/>
      <c r="F932" s="194"/>
      <c r="G932" s="194"/>
      <c r="H932" s="194"/>
      <c r="I932" s="194"/>
      <c r="J932" s="194"/>
      <c r="K932" s="194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4"/>
      <c r="AA932" s="194"/>
      <c r="AB932" s="194"/>
      <c r="AC932" s="194"/>
      <c r="AD932" s="194"/>
    </row>
    <row r="933" customFormat="false" ht="15.75" hidden="false" customHeight="false" outlineLevel="0" collapsed="false">
      <c r="A933" s="194"/>
      <c r="B933" s="194"/>
      <c r="C933" s="194"/>
      <c r="D933" s="194"/>
      <c r="E933" s="194"/>
      <c r="F933" s="194"/>
      <c r="G933" s="194"/>
      <c r="H933" s="194"/>
      <c r="I933" s="194"/>
      <c r="J933" s="194"/>
      <c r="K933" s="194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4"/>
      <c r="AA933" s="194"/>
      <c r="AB933" s="194"/>
      <c r="AC933" s="194"/>
      <c r="AD933" s="194"/>
    </row>
    <row r="934" customFormat="false" ht="15.75" hidden="false" customHeight="false" outlineLevel="0" collapsed="false">
      <c r="A934" s="194"/>
      <c r="B934" s="194"/>
      <c r="C934" s="194"/>
      <c r="D934" s="194"/>
      <c r="E934" s="194"/>
      <c r="F934" s="194"/>
      <c r="G934" s="194"/>
      <c r="H934" s="194"/>
      <c r="I934" s="194"/>
      <c r="J934" s="194"/>
      <c r="K934" s="194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4"/>
      <c r="AA934" s="194"/>
      <c r="AB934" s="194"/>
      <c r="AC934" s="194"/>
      <c r="AD934" s="194"/>
    </row>
    <row r="935" customFormat="false" ht="15.75" hidden="false" customHeight="false" outlineLevel="0" collapsed="false">
      <c r="A935" s="194"/>
      <c r="B935" s="194"/>
      <c r="C935" s="194"/>
      <c r="D935" s="194"/>
      <c r="E935" s="194"/>
      <c r="F935" s="194"/>
      <c r="G935" s="194"/>
      <c r="H935" s="194"/>
      <c r="I935" s="194"/>
      <c r="J935" s="194"/>
      <c r="K935" s="194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4"/>
      <c r="AA935" s="194"/>
      <c r="AB935" s="194"/>
      <c r="AC935" s="194"/>
      <c r="AD935" s="194"/>
    </row>
    <row r="936" customFormat="false" ht="15.75" hidden="false" customHeight="false" outlineLevel="0" collapsed="false">
      <c r="A936" s="194"/>
      <c r="B936" s="194"/>
      <c r="C936" s="194"/>
      <c r="D936" s="194"/>
      <c r="E936" s="194"/>
      <c r="F936" s="194"/>
      <c r="G936" s="194"/>
      <c r="H936" s="194"/>
      <c r="I936" s="194"/>
      <c r="J936" s="194"/>
      <c r="K936" s="194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4"/>
      <c r="AA936" s="194"/>
      <c r="AB936" s="194"/>
      <c r="AC936" s="194"/>
      <c r="AD936" s="194"/>
    </row>
    <row r="937" customFormat="false" ht="15.75" hidden="false" customHeight="false" outlineLevel="0" collapsed="false">
      <c r="A937" s="194"/>
      <c r="B937" s="194"/>
      <c r="C937" s="194"/>
      <c r="D937" s="194"/>
      <c r="E937" s="194"/>
      <c r="F937" s="194"/>
      <c r="G937" s="194"/>
      <c r="H937" s="194"/>
      <c r="I937" s="194"/>
      <c r="J937" s="194"/>
      <c r="K937" s="194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4"/>
      <c r="AA937" s="194"/>
      <c r="AB937" s="194"/>
      <c r="AC937" s="194"/>
      <c r="AD937" s="194"/>
    </row>
    <row r="938" customFormat="false" ht="15.75" hidden="false" customHeight="false" outlineLevel="0" collapsed="false">
      <c r="A938" s="194"/>
      <c r="B938" s="194"/>
      <c r="C938" s="194"/>
      <c r="D938" s="194"/>
      <c r="E938" s="194"/>
      <c r="F938" s="194"/>
      <c r="G938" s="194"/>
      <c r="H938" s="194"/>
      <c r="I938" s="194"/>
      <c r="J938" s="194"/>
      <c r="K938" s="194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4"/>
      <c r="AA938" s="194"/>
      <c r="AB938" s="194"/>
      <c r="AC938" s="194"/>
      <c r="AD938" s="194"/>
    </row>
    <row r="939" customFormat="false" ht="15.75" hidden="false" customHeight="false" outlineLevel="0" collapsed="false">
      <c r="A939" s="194"/>
      <c r="B939" s="194"/>
      <c r="C939" s="194"/>
      <c r="D939" s="194"/>
      <c r="E939" s="194"/>
      <c r="F939" s="194"/>
      <c r="G939" s="194"/>
      <c r="H939" s="194"/>
      <c r="I939" s="194"/>
      <c r="J939" s="194"/>
      <c r="K939" s="194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4"/>
      <c r="AA939" s="194"/>
      <c r="AB939" s="194"/>
      <c r="AC939" s="194"/>
      <c r="AD939" s="194"/>
    </row>
    <row r="940" customFormat="false" ht="15.75" hidden="false" customHeight="false" outlineLevel="0" collapsed="false">
      <c r="A940" s="194"/>
      <c r="B940" s="194"/>
      <c r="C940" s="194"/>
      <c r="D940" s="194"/>
      <c r="E940" s="194"/>
      <c r="F940" s="194"/>
      <c r="G940" s="194"/>
      <c r="H940" s="194"/>
      <c r="I940" s="194"/>
      <c r="J940" s="194"/>
      <c r="K940" s="194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4"/>
      <c r="AA940" s="194"/>
      <c r="AB940" s="194"/>
      <c r="AC940" s="194"/>
      <c r="AD940" s="194"/>
    </row>
    <row r="941" customFormat="false" ht="15.75" hidden="false" customHeight="false" outlineLevel="0" collapsed="false">
      <c r="A941" s="194"/>
      <c r="B941" s="194"/>
      <c r="C941" s="194"/>
      <c r="D941" s="194"/>
      <c r="E941" s="194"/>
      <c r="F941" s="194"/>
      <c r="G941" s="194"/>
      <c r="H941" s="194"/>
      <c r="I941" s="194"/>
      <c r="J941" s="194"/>
      <c r="K941" s="194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4"/>
      <c r="AA941" s="194"/>
      <c r="AB941" s="194"/>
      <c r="AC941" s="194"/>
      <c r="AD941" s="194"/>
    </row>
    <row r="942" customFormat="false" ht="15.75" hidden="false" customHeight="false" outlineLevel="0" collapsed="false">
      <c r="A942" s="194"/>
      <c r="B942" s="194"/>
      <c r="C942" s="194"/>
      <c r="D942" s="194"/>
      <c r="E942" s="194"/>
      <c r="F942" s="194"/>
      <c r="G942" s="194"/>
      <c r="H942" s="194"/>
      <c r="I942" s="194"/>
      <c r="J942" s="194"/>
      <c r="K942" s="194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4"/>
      <c r="AA942" s="194"/>
      <c r="AB942" s="194"/>
      <c r="AC942" s="194"/>
      <c r="AD942" s="194"/>
    </row>
    <row r="943" customFormat="false" ht="15.75" hidden="false" customHeight="false" outlineLevel="0" collapsed="false">
      <c r="A943" s="194"/>
      <c r="B943" s="194"/>
      <c r="C943" s="194"/>
      <c r="D943" s="194"/>
      <c r="E943" s="194"/>
      <c r="F943" s="194"/>
      <c r="G943" s="194"/>
      <c r="H943" s="194"/>
      <c r="I943" s="194"/>
      <c r="J943" s="194"/>
      <c r="K943" s="194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4"/>
      <c r="AA943" s="194"/>
      <c r="AB943" s="194"/>
      <c r="AC943" s="194"/>
      <c r="AD943" s="194"/>
    </row>
    <row r="944" customFormat="false" ht="15.75" hidden="false" customHeight="false" outlineLevel="0" collapsed="false">
      <c r="A944" s="194"/>
      <c r="B944" s="194"/>
      <c r="C944" s="194"/>
      <c r="D944" s="194"/>
      <c r="E944" s="194"/>
      <c r="F944" s="194"/>
      <c r="G944" s="194"/>
      <c r="H944" s="194"/>
      <c r="I944" s="194"/>
      <c r="J944" s="194"/>
      <c r="K944" s="194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4"/>
      <c r="AA944" s="194"/>
      <c r="AB944" s="194"/>
      <c r="AC944" s="194"/>
      <c r="AD944" s="194"/>
    </row>
    <row r="945" customFormat="false" ht="15.75" hidden="false" customHeight="false" outlineLevel="0" collapsed="false">
      <c r="A945" s="194"/>
      <c r="B945" s="194"/>
      <c r="C945" s="194"/>
      <c r="D945" s="194"/>
      <c r="E945" s="194"/>
      <c r="F945" s="194"/>
      <c r="G945" s="194"/>
      <c r="H945" s="194"/>
      <c r="I945" s="194"/>
      <c r="J945" s="194"/>
      <c r="K945" s="194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4"/>
      <c r="AA945" s="194"/>
      <c r="AB945" s="194"/>
      <c r="AC945" s="194"/>
      <c r="AD945" s="194"/>
    </row>
    <row r="946" customFormat="false" ht="15.75" hidden="false" customHeight="false" outlineLevel="0" collapsed="false">
      <c r="A946" s="194"/>
      <c r="B946" s="194"/>
      <c r="C946" s="194"/>
      <c r="D946" s="194"/>
      <c r="E946" s="194"/>
      <c r="F946" s="194"/>
      <c r="G946" s="194"/>
      <c r="H946" s="194"/>
      <c r="I946" s="194"/>
      <c r="J946" s="194"/>
      <c r="K946" s="194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4"/>
      <c r="AA946" s="194"/>
      <c r="AB946" s="194"/>
      <c r="AC946" s="194"/>
      <c r="AD946" s="194"/>
    </row>
    <row r="947" customFormat="false" ht="15.75" hidden="false" customHeight="false" outlineLevel="0" collapsed="false">
      <c r="A947" s="194"/>
      <c r="B947" s="194"/>
      <c r="C947" s="194"/>
      <c r="D947" s="194"/>
      <c r="E947" s="194"/>
      <c r="F947" s="194"/>
      <c r="G947" s="194"/>
      <c r="H947" s="194"/>
      <c r="I947" s="194"/>
      <c r="J947" s="194"/>
      <c r="K947" s="194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4"/>
      <c r="AA947" s="194"/>
      <c r="AB947" s="194"/>
      <c r="AC947" s="194"/>
      <c r="AD947" s="194"/>
    </row>
    <row r="948" customFormat="false" ht="15.75" hidden="false" customHeight="false" outlineLevel="0" collapsed="false">
      <c r="A948" s="194"/>
      <c r="B948" s="194"/>
      <c r="C948" s="194"/>
      <c r="D948" s="194"/>
      <c r="E948" s="194"/>
      <c r="F948" s="194"/>
      <c r="G948" s="194"/>
      <c r="H948" s="194"/>
      <c r="I948" s="194"/>
      <c r="J948" s="194"/>
      <c r="K948" s="194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4"/>
      <c r="AA948" s="194"/>
      <c r="AB948" s="194"/>
      <c r="AC948" s="194"/>
      <c r="AD948" s="194"/>
    </row>
    <row r="949" customFormat="false" ht="15.75" hidden="false" customHeight="false" outlineLevel="0" collapsed="false">
      <c r="A949" s="194"/>
      <c r="B949" s="194"/>
      <c r="C949" s="194"/>
      <c r="D949" s="194"/>
      <c r="E949" s="194"/>
      <c r="F949" s="194"/>
      <c r="G949" s="194"/>
      <c r="H949" s="194"/>
      <c r="I949" s="194"/>
      <c r="J949" s="194"/>
      <c r="K949" s="194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4"/>
      <c r="AA949" s="194"/>
      <c r="AB949" s="194"/>
      <c r="AC949" s="194"/>
      <c r="AD949" s="194"/>
    </row>
    <row r="950" customFormat="false" ht="15.75" hidden="false" customHeight="false" outlineLevel="0" collapsed="false">
      <c r="A950" s="194"/>
      <c r="B950" s="194"/>
      <c r="C950" s="194"/>
      <c r="D950" s="194"/>
      <c r="E950" s="194"/>
      <c r="F950" s="194"/>
      <c r="G950" s="194"/>
      <c r="H950" s="194"/>
      <c r="I950" s="194"/>
      <c r="J950" s="194"/>
      <c r="K950" s="194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4"/>
      <c r="AA950" s="194"/>
      <c r="AB950" s="194"/>
      <c r="AC950" s="194"/>
      <c r="AD950" s="194"/>
    </row>
    <row r="951" customFormat="false" ht="15.75" hidden="false" customHeight="false" outlineLevel="0" collapsed="false">
      <c r="A951" s="194"/>
      <c r="B951" s="194"/>
      <c r="C951" s="194"/>
      <c r="D951" s="194"/>
      <c r="E951" s="194"/>
      <c r="F951" s="194"/>
      <c r="G951" s="194"/>
      <c r="H951" s="194"/>
      <c r="I951" s="194"/>
      <c r="J951" s="194"/>
      <c r="K951" s="194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4"/>
      <c r="AA951" s="194"/>
      <c r="AB951" s="194"/>
      <c r="AC951" s="194"/>
      <c r="AD951" s="194"/>
    </row>
    <row r="952" customFormat="false" ht="15.75" hidden="false" customHeight="false" outlineLevel="0" collapsed="false">
      <c r="A952" s="194"/>
      <c r="B952" s="194"/>
      <c r="C952" s="194"/>
      <c r="D952" s="194"/>
      <c r="E952" s="194"/>
      <c r="F952" s="194"/>
      <c r="G952" s="194"/>
      <c r="H952" s="194"/>
      <c r="I952" s="194"/>
      <c r="J952" s="194"/>
      <c r="K952" s="194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4"/>
      <c r="AA952" s="194"/>
      <c r="AB952" s="194"/>
      <c r="AC952" s="194"/>
      <c r="AD952" s="194"/>
    </row>
    <row r="953" customFormat="false" ht="15.75" hidden="false" customHeight="false" outlineLevel="0" collapsed="false">
      <c r="A953" s="194"/>
      <c r="B953" s="194"/>
      <c r="C953" s="194"/>
      <c r="D953" s="194"/>
      <c r="E953" s="194"/>
      <c r="F953" s="194"/>
      <c r="G953" s="194"/>
      <c r="H953" s="194"/>
      <c r="I953" s="194"/>
      <c r="J953" s="194"/>
      <c r="K953" s="194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4"/>
      <c r="AA953" s="194"/>
      <c r="AB953" s="194"/>
      <c r="AC953" s="194"/>
      <c r="AD953" s="194"/>
    </row>
    <row r="954" customFormat="false" ht="15.75" hidden="false" customHeight="false" outlineLevel="0" collapsed="false">
      <c r="A954" s="194"/>
      <c r="B954" s="194"/>
      <c r="C954" s="194"/>
      <c r="D954" s="194"/>
      <c r="E954" s="194"/>
      <c r="F954" s="194"/>
      <c r="G954" s="194"/>
      <c r="H954" s="194"/>
      <c r="I954" s="194"/>
      <c r="J954" s="194"/>
      <c r="K954" s="194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4"/>
      <c r="AA954" s="194"/>
      <c r="AB954" s="194"/>
      <c r="AC954" s="194"/>
      <c r="AD954" s="194"/>
    </row>
    <row r="955" customFormat="false" ht="15.75" hidden="false" customHeight="false" outlineLevel="0" collapsed="false">
      <c r="A955" s="194"/>
      <c r="B955" s="194"/>
      <c r="C955" s="194"/>
      <c r="D955" s="194"/>
      <c r="E955" s="194"/>
      <c r="F955" s="194"/>
      <c r="G955" s="194"/>
      <c r="H955" s="194"/>
      <c r="I955" s="194"/>
      <c r="J955" s="194"/>
      <c r="K955" s="194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4"/>
      <c r="AA955" s="194"/>
      <c r="AB955" s="194"/>
      <c r="AC955" s="194"/>
      <c r="AD955" s="194"/>
    </row>
    <row r="956" customFormat="false" ht="15.75" hidden="false" customHeight="false" outlineLevel="0" collapsed="false">
      <c r="A956" s="194"/>
      <c r="B956" s="194"/>
      <c r="C956" s="194"/>
      <c r="D956" s="194"/>
      <c r="E956" s="194"/>
      <c r="F956" s="194"/>
      <c r="G956" s="194"/>
      <c r="H956" s="194"/>
      <c r="I956" s="194"/>
      <c r="J956" s="194"/>
      <c r="K956" s="194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4"/>
      <c r="AA956" s="194"/>
      <c r="AB956" s="194"/>
      <c r="AC956" s="194"/>
      <c r="AD956" s="194"/>
    </row>
    <row r="957" customFormat="false" ht="15.75" hidden="false" customHeight="false" outlineLevel="0" collapsed="false">
      <c r="A957" s="194"/>
      <c r="B957" s="194"/>
      <c r="C957" s="194"/>
      <c r="D957" s="194"/>
      <c r="E957" s="194"/>
      <c r="F957" s="194"/>
      <c r="G957" s="194"/>
      <c r="H957" s="194"/>
      <c r="I957" s="194"/>
      <c r="J957" s="194"/>
      <c r="K957" s="194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4"/>
      <c r="AA957" s="194"/>
      <c r="AB957" s="194"/>
      <c r="AC957" s="194"/>
      <c r="AD957" s="194"/>
    </row>
    <row r="958" customFormat="false" ht="15.75" hidden="false" customHeight="false" outlineLevel="0" collapsed="false">
      <c r="A958" s="194"/>
      <c r="B958" s="194"/>
      <c r="C958" s="194"/>
      <c r="D958" s="194"/>
      <c r="E958" s="194"/>
      <c r="F958" s="194"/>
      <c r="G958" s="194"/>
      <c r="H958" s="194"/>
      <c r="I958" s="194"/>
      <c r="J958" s="194"/>
      <c r="K958" s="194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4"/>
      <c r="AA958" s="194"/>
      <c r="AB958" s="194"/>
      <c r="AC958" s="194"/>
      <c r="AD958" s="194"/>
    </row>
    <row r="959" customFormat="false" ht="15.75" hidden="false" customHeight="false" outlineLevel="0" collapsed="false">
      <c r="A959" s="194"/>
      <c r="B959" s="194"/>
      <c r="C959" s="194"/>
      <c r="D959" s="194"/>
      <c r="E959" s="194"/>
      <c r="F959" s="194"/>
      <c r="G959" s="194"/>
      <c r="H959" s="194"/>
      <c r="I959" s="194"/>
      <c r="J959" s="194"/>
      <c r="K959" s="194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4"/>
      <c r="AA959" s="194"/>
      <c r="AB959" s="194"/>
      <c r="AC959" s="194"/>
      <c r="AD959" s="194"/>
    </row>
    <row r="960" customFormat="false" ht="15.75" hidden="false" customHeight="false" outlineLevel="0" collapsed="false">
      <c r="A960" s="194"/>
      <c r="B960" s="194"/>
      <c r="C960" s="194"/>
      <c r="D960" s="194"/>
      <c r="E960" s="194"/>
      <c r="F960" s="194"/>
      <c r="G960" s="194"/>
      <c r="H960" s="194"/>
      <c r="I960" s="194"/>
      <c r="J960" s="194"/>
      <c r="K960" s="194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4"/>
      <c r="AA960" s="194"/>
      <c r="AB960" s="194"/>
      <c r="AC960" s="194"/>
      <c r="AD960" s="194"/>
    </row>
    <row r="961" customFormat="false" ht="15.75" hidden="false" customHeight="false" outlineLevel="0" collapsed="false">
      <c r="A961" s="194"/>
      <c r="B961" s="194"/>
      <c r="C961" s="194"/>
      <c r="D961" s="194"/>
      <c r="E961" s="194"/>
      <c r="F961" s="194"/>
      <c r="G961" s="194"/>
      <c r="H961" s="194"/>
      <c r="I961" s="194"/>
      <c r="J961" s="194"/>
      <c r="K961" s="194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4"/>
      <c r="AA961" s="194"/>
      <c r="AB961" s="194"/>
      <c r="AC961" s="194"/>
      <c r="AD961" s="194"/>
    </row>
    <row r="962" customFormat="false" ht="15.75" hidden="false" customHeight="false" outlineLevel="0" collapsed="false">
      <c r="A962" s="194"/>
      <c r="B962" s="194"/>
      <c r="C962" s="194"/>
      <c r="D962" s="194"/>
      <c r="E962" s="194"/>
      <c r="F962" s="194"/>
      <c r="G962" s="194"/>
      <c r="H962" s="194"/>
      <c r="I962" s="194"/>
      <c r="J962" s="194"/>
      <c r="K962" s="194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4"/>
      <c r="AA962" s="194"/>
      <c r="AB962" s="194"/>
      <c r="AC962" s="194"/>
      <c r="AD962" s="194"/>
    </row>
    <row r="963" customFormat="false" ht="15.75" hidden="false" customHeight="false" outlineLevel="0" collapsed="false">
      <c r="A963" s="194"/>
      <c r="B963" s="194"/>
      <c r="C963" s="194"/>
      <c r="D963" s="194"/>
      <c r="E963" s="194"/>
      <c r="F963" s="194"/>
      <c r="G963" s="194"/>
      <c r="H963" s="194"/>
      <c r="I963" s="194"/>
      <c r="J963" s="194"/>
      <c r="K963" s="194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4"/>
      <c r="AA963" s="194"/>
      <c r="AB963" s="194"/>
      <c r="AC963" s="194"/>
      <c r="AD963" s="194"/>
    </row>
    <row r="964" customFormat="false" ht="15.75" hidden="false" customHeight="false" outlineLevel="0" collapsed="false">
      <c r="A964" s="194"/>
      <c r="B964" s="194"/>
      <c r="C964" s="194"/>
      <c r="D964" s="194"/>
      <c r="E964" s="194"/>
      <c r="F964" s="194"/>
      <c r="G964" s="194"/>
      <c r="H964" s="194"/>
      <c r="I964" s="194"/>
      <c r="J964" s="194"/>
      <c r="K964" s="194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4"/>
      <c r="AA964" s="194"/>
      <c r="AB964" s="194"/>
      <c r="AC964" s="194"/>
      <c r="AD964" s="194"/>
    </row>
    <row r="965" customFormat="false" ht="15.75" hidden="false" customHeight="false" outlineLevel="0" collapsed="false">
      <c r="A965" s="194"/>
      <c r="B965" s="194"/>
      <c r="C965" s="194"/>
      <c r="D965" s="194"/>
      <c r="E965" s="194"/>
      <c r="F965" s="194"/>
      <c r="G965" s="194"/>
      <c r="H965" s="194"/>
      <c r="I965" s="194"/>
      <c r="J965" s="194"/>
      <c r="K965" s="194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4"/>
      <c r="AA965" s="194"/>
      <c r="AB965" s="194"/>
      <c r="AC965" s="194"/>
      <c r="AD965" s="194"/>
    </row>
    <row r="966" customFormat="false" ht="15.75" hidden="false" customHeight="false" outlineLevel="0" collapsed="false">
      <c r="A966" s="194"/>
      <c r="B966" s="194"/>
      <c r="C966" s="194"/>
      <c r="D966" s="194"/>
      <c r="E966" s="194"/>
      <c r="F966" s="194"/>
      <c r="G966" s="194"/>
      <c r="H966" s="194"/>
      <c r="I966" s="194"/>
      <c r="J966" s="194"/>
      <c r="K966" s="194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4"/>
      <c r="AA966" s="194"/>
      <c r="AB966" s="194"/>
      <c r="AC966" s="194"/>
      <c r="AD966" s="194"/>
    </row>
    <row r="967" customFormat="false" ht="15.75" hidden="false" customHeight="false" outlineLevel="0" collapsed="false">
      <c r="A967" s="194"/>
      <c r="B967" s="194"/>
      <c r="C967" s="194"/>
      <c r="D967" s="194"/>
      <c r="E967" s="194"/>
      <c r="F967" s="194"/>
      <c r="G967" s="194"/>
      <c r="H967" s="194"/>
      <c r="I967" s="194"/>
      <c r="J967" s="194"/>
      <c r="K967" s="194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4"/>
      <c r="AA967" s="194"/>
      <c r="AB967" s="194"/>
      <c r="AC967" s="194"/>
      <c r="AD967" s="194"/>
    </row>
    <row r="968" customFormat="false" ht="15.75" hidden="false" customHeight="false" outlineLevel="0" collapsed="false">
      <c r="A968" s="194"/>
      <c r="B968" s="194"/>
      <c r="C968" s="194"/>
      <c r="D968" s="194"/>
      <c r="E968" s="194"/>
      <c r="F968" s="194"/>
      <c r="G968" s="194"/>
      <c r="H968" s="194"/>
      <c r="I968" s="194"/>
      <c r="J968" s="194"/>
      <c r="K968" s="194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4"/>
      <c r="AA968" s="194"/>
      <c r="AB968" s="194"/>
      <c r="AC968" s="194"/>
      <c r="AD968" s="194"/>
    </row>
    <row r="969" customFormat="false" ht="15.75" hidden="false" customHeight="false" outlineLevel="0" collapsed="false">
      <c r="A969" s="194"/>
      <c r="B969" s="194"/>
      <c r="C969" s="194"/>
      <c r="D969" s="194"/>
      <c r="E969" s="194"/>
      <c r="F969" s="194"/>
      <c r="G969" s="194"/>
      <c r="H969" s="194"/>
      <c r="I969" s="194"/>
      <c r="J969" s="194"/>
      <c r="K969" s="194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4"/>
      <c r="AA969" s="194"/>
      <c r="AB969" s="194"/>
      <c r="AC969" s="194"/>
      <c r="AD969" s="194"/>
    </row>
    <row r="970" customFormat="false" ht="15.75" hidden="false" customHeight="false" outlineLevel="0" collapsed="false">
      <c r="A970" s="194"/>
      <c r="B970" s="194"/>
      <c r="C970" s="194"/>
      <c r="D970" s="194"/>
      <c r="E970" s="194"/>
      <c r="F970" s="194"/>
      <c r="G970" s="194"/>
      <c r="H970" s="194"/>
      <c r="I970" s="194"/>
      <c r="J970" s="194"/>
      <c r="K970" s="194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4"/>
      <c r="AA970" s="194"/>
      <c r="AB970" s="194"/>
      <c r="AC970" s="194"/>
      <c r="AD970" s="194"/>
    </row>
    <row r="971" customFormat="false" ht="15.75" hidden="false" customHeight="false" outlineLevel="0" collapsed="false">
      <c r="A971" s="194"/>
      <c r="B971" s="194"/>
      <c r="C971" s="194"/>
      <c r="D971" s="194"/>
      <c r="E971" s="194"/>
      <c r="F971" s="194"/>
      <c r="G971" s="194"/>
      <c r="H971" s="194"/>
      <c r="I971" s="194"/>
      <c r="J971" s="194"/>
      <c r="K971" s="194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4"/>
      <c r="AA971" s="194"/>
      <c r="AB971" s="194"/>
      <c r="AC971" s="194"/>
      <c r="AD971" s="194"/>
    </row>
    <row r="972" customFormat="false" ht="15.75" hidden="false" customHeight="false" outlineLevel="0" collapsed="false">
      <c r="A972" s="194"/>
      <c r="B972" s="194"/>
      <c r="C972" s="194"/>
      <c r="D972" s="194"/>
      <c r="E972" s="194"/>
      <c r="F972" s="194"/>
      <c r="G972" s="194"/>
      <c r="H972" s="194"/>
      <c r="I972" s="194"/>
      <c r="J972" s="194"/>
      <c r="K972" s="194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4"/>
      <c r="AA972" s="194"/>
      <c r="AB972" s="194"/>
      <c r="AC972" s="194"/>
      <c r="AD972" s="194"/>
    </row>
    <row r="973" customFormat="false" ht="15.75" hidden="false" customHeight="false" outlineLevel="0" collapsed="false">
      <c r="A973" s="194"/>
      <c r="B973" s="194"/>
      <c r="C973" s="194"/>
      <c r="D973" s="194"/>
      <c r="E973" s="194"/>
      <c r="F973" s="194"/>
      <c r="G973" s="194"/>
      <c r="H973" s="194"/>
      <c r="I973" s="194"/>
      <c r="J973" s="194"/>
      <c r="K973" s="194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4"/>
      <c r="AA973" s="194"/>
      <c r="AB973" s="194"/>
      <c r="AC973" s="194"/>
      <c r="AD973" s="194"/>
    </row>
    <row r="974" customFormat="false" ht="15.75" hidden="false" customHeight="false" outlineLevel="0" collapsed="false">
      <c r="A974" s="194"/>
      <c r="B974" s="194"/>
      <c r="C974" s="194"/>
      <c r="D974" s="194"/>
      <c r="E974" s="194"/>
      <c r="F974" s="194"/>
      <c r="G974" s="194"/>
      <c r="H974" s="194"/>
      <c r="I974" s="194"/>
      <c r="J974" s="194"/>
      <c r="K974" s="194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4"/>
      <c r="AA974" s="194"/>
      <c r="AB974" s="194"/>
      <c r="AC974" s="194"/>
      <c r="AD974" s="194"/>
    </row>
    <row r="975" customFormat="false" ht="15.75" hidden="false" customHeight="false" outlineLevel="0" collapsed="false">
      <c r="A975" s="194"/>
      <c r="B975" s="194"/>
      <c r="C975" s="194"/>
      <c r="D975" s="194"/>
      <c r="E975" s="194"/>
      <c r="F975" s="194"/>
      <c r="G975" s="194"/>
      <c r="H975" s="194"/>
      <c r="I975" s="194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4"/>
      <c r="AA975" s="194"/>
      <c r="AB975" s="194"/>
      <c r="AC975" s="194"/>
      <c r="AD975" s="194"/>
    </row>
    <row r="976" customFormat="false" ht="15.75" hidden="false" customHeight="false" outlineLevel="0" collapsed="false">
      <c r="A976" s="194"/>
      <c r="B976" s="194"/>
      <c r="C976" s="194"/>
      <c r="D976" s="194"/>
      <c r="E976" s="194"/>
      <c r="F976" s="194"/>
      <c r="G976" s="194"/>
      <c r="H976" s="194"/>
      <c r="I976" s="194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4"/>
      <c r="AA976" s="194"/>
      <c r="AB976" s="194"/>
      <c r="AC976" s="194"/>
      <c r="AD976" s="194"/>
    </row>
    <row r="977" customFormat="false" ht="15.75" hidden="false" customHeight="false" outlineLevel="0" collapsed="false">
      <c r="A977" s="194"/>
      <c r="B977" s="194"/>
      <c r="C977" s="194"/>
      <c r="D977" s="194"/>
      <c r="E977" s="194"/>
      <c r="F977" s="194"/>
      <c r="G977" s="194"/>
      <c r="H977" s="194"/>
      <c r="I977" s="194"/>
      <c r="J977" s="194"/>
      <c r="K977" s="194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4"/>
      <c r="AA977" s="194"/>
      <c r="AB977" s="194"/>
      <c r="AC977" s="194"/>
      <c r="AD977" s="194"/>
    </row>
    <row r="978" customFormat="false" ht="15.75" hidden="false" customHeight="false" outlineLevel="0" collapsed="false">
      <c r="A978" s="194"/>
      <c r="B978" s="194"/>
      <c r="C978" s="194"/>
      <c r="D978" s="194"/>
      <c r="E978" s="194"/>
      <c r="F978" s="194"/>
      <c r="G978" s="194"/>
      <c r="H978" s="194"/>
      <c r="I978" s="194"/>
      <c r="J978" s="194"/>
      <c r="K978" s="194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4"/>
      <c r="AA978" s="194"/>
      <c r="AB978" s="194"/>
      <c r="AC978" s="194"/>
      <c r="AD978" s="194"/>
    </row>
    <row r="979" customFormat="false" ht="15.75" hidden="false" customHeight="false" outlineLevel="0" collapsed="false">
      <c r="A979" s="194"/>
      <c r="B979" s="194"/>
      <c r="C979" s="194"/>
      <c r="D979" s="194"/>
      <c r="E979" s="194"/>
      <c r="F979" s="194"/>
      <c r="G979" s="194"/>
      <c r="H979" s="194"/>
      <c r="I979" s="194"/>
      <c r="J979" s="194"/>
      <c r="K979" s="194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4"/>
      <c r="AA979" s="194"/>
      <c r="AB979" s="194"/>
      <c r="AC979" s="194"/>
      <c r="AD979" s="194"/>
    </row>
    <row r="980" customFormat="false" ht="15.75" hidden="false" customHeight="false" outlineLevel="0" collapsed="false">
      <c r="A980" s="194"/>
      <c r="B980" s="194"/>
      <c r="C980" s="194"/>
      <c r="D980" s="194"/>
      <c r="E980" s="194"/>
      <c r="F980" s="194"/>
      <c r="G980" s="194"/>
      <c r="H980" s="194"/>
      <c r="I980" s="194"/>
      <c r="J980" s="194"/>
      <c r="K980" s="194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4"/>
      <c r="AA980" s="194"/>
      <c r="AB980" s="194"/>
      <c r="AC980" s="194"/>
      <c r="AD980" s="194"/>
    </row>
    <row r="981" customFormat="false" ht="15.75" hidden="false" customHeight="false" outlineLevel="0" collapsed="false">
      <c r="A981" s="194"/>
      <c r="B981" s="194"/>
      <c r="C981" s="194"/>
      <c r="D981" s="194"/>
      <c r="E981" s="194"/>
      <c r="F981" s="194"/>
      <c r="G981" s="194"/>
      <c r="H981" s="194"/>
      <c r="I981" s="194"/>
      <c r="J981" s="194"/>
      <c r="K981" s="194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4"/>
      <c r="AA981" s="194"/>
      <c r="AB981" s="194"/>
      <c r="AC981" s="194"/>
      <c r="AD981" s="194"/>
    </row>
    <row r="982" customFormat="false" ht="15.75" hidden="false" customHeight="false" outlineLevel="0" collapsed="false">
      <c r="A982" s="194"/>
      <c r="B982" s="194"/>
      <c r="C982" s="194"/>
      <c r="D982" s="194"/>
      <c r="E982" s="194"/>
      <c r="F982" s="194"/>
      <c r="G982" s="194"/>
      <c r="H982" s="194"/>
      <c r="I982" s="194"/>
      <c r="J982" s="194"/>
      <c r="K982" s="194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4"/>
      <c r="AA982" s="194"/>
      <c r="AB982" s="194"/>
      <c r="AC982" s="194"/>
      <c r="AD982" s="194"/>
    </row>
    <row r="983" customFormat="false" ht="15.75" hidden="false" customHeight="false" outlineLevel="0" collapsed="false">
      <c r="A983" s="194"/>
      <c r="B983" s="194"/>
      <c r="C983" s="194"/>
      <c r="D983" s="194"/>
      <c r="E983" s="194"/>
      <c r="F983" s="194"/>
      <c r="G983" s="194"/>
      <c r="H983" s="194"/>
      <c r="I983" s="194"/>
      <c r="J983" s="194"/>
      <c r="K983" s="194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4"/>
      <c r="AA983" s="194"/>
      <c r="AB983" s="194"/>
      <c r="AC983" s="194"/>
      <c r="AD983" s="194"/>
    </row>
    <row r="984" customFormat="false" ht="15.75" hidden="false" customHeight="false" outlineLevel="0" collapsed="false">
      <c r="A984" s="194"/>
      <c r="B984" s="194"/>
      <c r="C984" s="194"/>
      <c r="D984" s="194"/>
      <c r="E984" s="194"/>
      <c r="F984" s="194"/>
      <c r="G984" s="194"/>
      <c r="H984" s="194"/>
      <c r="I984" s="194"/>
      <c r="J984" s="194"/>
      <c r="K984" s="194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4"/>
      <c r="AA984" s="194"/>
      <c r="AB984" s="194"/>
      <c r="AC984" s="194"/>
      <c r="AD984" s="194"/>
    </row>
    <row r="985" customFormat="false" ht="15.75" hidden="false" customHeight="false" outlineLevel="0" collapsed="false">
      <c r="A985" s="194"/>
      <c r="B985" s="194"/>
      <c r="C985" s="194"/>
      <c r="D985" s="194"/>
      <c r="E985" s="194"/>
      <c r="F985" s="194"/>
      <c r="G985" s="194"/>
      <c r="H985" s="194"/>
      <c r="I985" s="194"/>
      <c r="J985" s="194"/>
      <c r="K985" s="194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4"/>
      <c r="AA985" s="194"/>
      <c r="AB985" s="194"/>
      <c r="AC985" s="194"/>
      <c r="AD985" s="194"/>
    </row>
    <row r="986" customFormat="false" ht="15.75" hidden="false" customHeight="false" outlineLevel="0" collapsed="false">
      <c r="A986" s="194"/>
      <c r="B986" s="194"/>
      <c r="C986" s="194"/>
      <c r="D986" s="194"/>
      <c r="E986" s="194"/>
      <c r="F986" s="194"/>
      <c r="G986" s="194"/>
      <c r="H986" s="194"/>
      <c r="I986" s="194"/>
      <c r="J986" s="194"/>
      <c r="K986" s="194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4"/>
      <c r="AA986" s="194"/>
      <c r="AB986" s="194"/>
      <c r="AC986" s="194"/>
      <c r="AD986" s="194"/>
    </row>
    <row r="987" customFormat="false" ht="15.75" hidden="false" customHeight="false" outlineLevel="0" collapsed="false">
      <c r="A987" s="194"/>
      <c r="B987" s="194"/>
      <c r="C987" s="194"/>
      <c r="D987" s="194"/>
      <c r="E987" s="194"/>
      <c r="F987" s="194"/>
      <c r="G987" s="194"/>
      <c r="H987" s="194"/>
      <c r="I987" s="194"/>
      <c r="J987" s="194"/>
      <c r="K987" s="194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4"/>
      <c r="AA987" s="194"/>
      <c r="AB987" s="194"/>
      <c r="AC987" s="194"/>
      <c r="AD987" s="194"/>
    </row>
    <row r="988" customFormat="false" ht="15.75" hidden="false" customHeight="false" outlineLevel="0" collapsed="false">
      <c r="A988" s="194"/>
      <c r="B988" s="194"/>
      <c r="C988" s="194"/>
      <c r="D988" s="194"/>
      <c r="E988" s="194"/>
      <c r="F988" s="194"/>
      <c r="G988" s="194"/>
      <c r="H988" s="194"/>
      <c r="I988" s="194"/>
      <c r="J988" s="194"/>
      <c r="K988" s="194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4"/>
      <c r="AA988" s="194"/>
      <c r="AB988" s="194"/>
      <c r="AC988" s="194"/>
      <c r="AD988" s="194"/>
    </row>
    <row r="989" customFormat="false" ht="15.75" hidden="false" customHeight="false" outlineLevel="0" collapsed="false">
      <c r="A989" s="194"/>
      <c r="B989" s="194"/>
      <c r="C989" s="194"/>
      <c r="D989" s="194"/>
      <c r="E989" s="194"/>
      <c r="F989" s="194"/>
      <c r="G989" s="194"/>
      <c r="H989" s="194"/>
      <c r="I989" s="194"/>
      <c r="J989" s="194"/>
      <c r="K989" s="194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4"/>
      <c r="AA989" s="194"/>
      <c r="AB989" s="194"/>
      <c r="AC989" s="194"/>
      <c r="AD989" s="194"/>
    </row>
    <row r="990" customFormat="false" ht="15.75" hidden="false" customHeight="false" outlineLevel="0" collapsed="false">
      <c r="A990" s="194"/>
      <c r="B990" s="194"/>
      <c r="C990" s="194"/>
      <c r="D990" s="194"/>
      <c r="E990" s="194"/>
      <c r="F990" s="194"/>
      <c r="G990" s="194"/>
      <c r="H990" s="194"/>
      <c r="I990" s="194"/>
      <c r="J990" s="194"/>
      <c r="K990" s="194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4"/>
      <c r="AA990" s="194"/>
      <c r="AB990" s="194"/>
      <c r="AC990" s="194"/>
      <c r="AD990" s="194"/>
    </row>
    <row r="991" customFormat="false" ht="15.75" hidden="false" customHeight="false" outlineLevel="0" collapsed="false">
      <c r="A991" s="194"/>
      <c r="B991" s="194"/>
      <c r="C991" s="194"/>
      <c r="D991" s="194"/>
      <c r="E991" s="194"/>
      <c r="F991" s="194"/>
      <c r="G991" s="194"/>
      <c r="H991" s="194"/>
      <c r="I991" s="194"/>
      <c r="J991" s="194"/>
      <c r="K991" s="194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4"/>
      <c r="AA991" s="194"/>
      <c r="AB991" s="194"/>
      <c r="AC991" s="194"/>
      <c r="AD991" s="194"/>
    </row>
    <row r="992" customFormat="false" ht="15.75" hidden="false" customHeight="false" outlineLevel="0" collapsed="false">
      <c r="A992" s="194"/>
      <c r="B992" s="194"/>
      <c r="C992" s="194"/>
      <c r="D992" s="194"/>
      <c r="E992" s="194"/>
      <c r="F992" s="194"/>
      <c r="G992" s="194"/>
      <c r="H992" s="194"/>
      <c r="I992" s="194"/>
      <c r="J992" s="194"/>
      <c r="K992" s="194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4"/>
      <c r="AA992" s="194"/>
      <c r="AB992" s="194"/>
      <c r="AC992" s="194"/>
      <c r="AD992" s="194"/>
    </row>
    <row r="993" customFormat="false" ht="15.75" hidden="false" customHeight="false" outlineLevel="0" collapsed="false">
      <c r="A993" s="194"/>
      <c r="B993" s="194"/>
      <c r="C993" s="194"/>
      <c r="D993" s="194"/>
      <c r="E993" s="194"/>
      <c r="F993" s="194"/>
      <c r="G993" s="194"/>
      <c r="H993" s="194"/>
      <c r="I993" s="194"/>
      <c r="J993" s="194"/>
      <c r="K993" s="194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4"/>
      <c r="AA993" s="194"/>
      <c r="AB993" s="194"/>
      <c r="AC993" s="194"/>
      <c r="AD993" s="194"/>
    </row>
    <row r="994" customFormat="false" ht="15.75" hidden="false" customHeight="false" outlineLevel="0" collapsed="false">
      <c r="A994" s="194"/>
      <c r="B994" s="194"/>
      <c r="C994" s="194"/>
      <c r="D994" s="194"/>
      <c r="E994" s="194"/>
      <c r="F994" s="194"/>
      <c r="G994" s="194"/>
      <c r="H994" s="194"/>
      <c r="I994" s="194"/>
      <c r="J994" s="194"/>
      <c r="K994" s="194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4"/>
      <c r="AA994" s="194"/>
      <c r="AB994" s="194"/>
      <c r="AC994" s="194"/>
      <c r="AD994" s="194"/>
    </row>
    <row r="995" customFormat="false" ht="15.75" hidden="false" customHeight="false" outlineLevel="0" collapsed="false">
      <c r="A995" s="194"/>
      <c r="B995" s="194"/>
      <c r="C995" s="194"/>
      <c r="D995" s="194"/>
      <c r="E995" s="194"/>
      <c r="F995" s="194"/>
      <c r="G995" s="194"/>
      <c r="H995" s="194"/>
      <c r="I995" s="194"/>
      <c r="J995" s="194"/>
      <c r="K995" s="194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4"/>
      <c r="AA995" s="194"/>
      <c r="AB995" s="194"/>
      <c r="AC995" s="194"/>
      <c r="AD995" s="194"/>
    </row>
    <row r="996" customFormat="false" ht="15.75" hidden="false" customHeight="false" outlineLevel="0" collapsed="false">
      <c r="A996" s="194"/>
      <c r="B996" s="194"/>
      <c r="C996" s="194"/>
      <c r="D996" s="194"/>
      <c r="E996" s="194"/>
      <c r="F996" s="194"/>
      <c r="G996" s="194"/>
      <c r="H996" s="194"/>
      <c r="I996" s="194"/>
      <c r="J996" s="194"/>
      <c r="K996" s="194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4"/>
      <c r="AA996" s="194"/>
      <c r="AB996" s="194"/>
      <c r="AC996" s="194"/>
      <c r="AD996" s="194"/>
    </row>
    <row r="997" customFormat="false" ht="15.75" hidden="false" customHeight="false" outlineLevel="0" collapsed="false">
      <c r="A997" s="194"/>
      <c r="B997" s="194"/>
      <c r="C997" s="194"/>
      <c r="D997" s="194"/>
      <c r="E997" s="194"/>
      <c r="F997" s="194"/>
      <c r="G997" s="194"/>
      <c r="H997" s="194"/>
      <c r="I997" s="194"/>
      <c r="J997" s="194"/>
      <c r="K997" s="194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4"/>
      <c r="AA997" s="194"/>
      <c r="AB997" s="194"/>
      <c r="AC997" s="194"/>
      <c r="AD997" s="194"/>
    </row>
    <row r="998" customFormat="false" ht="15.75" hidden="false" customHeight="false" outlineLevel="0" collapsed="false">
      <c r="A998" s="194"/>
      <c r="B998" s="194"/>
      <c r="C998" s="194"/>
      <c r="D998" s="194"/>
      <c r="E998" s="194"/>
      <c r="F998" s="194"/>
      <c r="G998" s="194"/>
      <c r="H998" s="194"/>
      <c r="I998" s="194"/>
      <c r="J998" s="194"/>
      <c r="K998" s="194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4"/>
      <c r="AA998" s="194"/>
      <c r="AB998" s="194"/>
      <c r="AC998" s="194"/>
      <c r="AD998" s="194"/>
    </row>
    <row r="999" customFormat="false" ht="15.75" hidden="false" customHeight="false" outlineLevel="0" collapsed="false">
      <c r="A999" s="194"/>
      <c r="B999" s="194"/>
      <c r="C999" s="194"/>
      <c r="D999" s="194"/>
      <c r="E999" s="194"/>
      <c r="F999" s="194"/>
      <c r="G999" s="194"/>
      <c r="H999" s="194"/>
      <c r="I999" s="194"/>
      <c r="J999" s="194"/>
      <c r="K999" s="194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4"/>
      <c r="AA999" s="194"/>
      <c r="AB999" s="194"/>
      <c r="AC999" s="194"/>
      <c r="AD999" s="194"/>
    </row>
    <row r="1000" customFormat="false" ht="15.75" hidden="false" customHeight="false" outlineLevel="0" collapsed="false">
      <c r="A1000" s="194"/>
      <c r="B1000" s="194"/>
      <c r="C1000" s="194"/>
      <c r="D1000" s="194"/>
      <c r="E1000" s="194"/>
      <c r="F1000" s="194"/>
      <c r="G1000" s="194"/>
      <c r="H1000" s="194"/>
      <c r="I1000" s="194"/>
      <c r="J1000" s="194"/>
      <c r="K1000" s="194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4"/>
      <c r="AA1000" s="194"/>
      <c r="AB1000" s="194"/>
      <c r="AC1000" s="194"/>
      <c r="AD1000" s="194"/>
    </row>
    <row r="1001" customFormat="false" ht="15.75" hidden="false" customHeight="false" outlineLevel="0" collapsed="false">
      <c r="A1001" s="194"/>
      <c r="B1001" s="194"/>
      <c r="C1001" s="194"/>
      <c r="D1001" s="194"/>
      <c r="E1001" s="194"/>
      <c r="F1001" s="194"/>
      <c r="G1001" s="194"/>
      <c r="H1001" s="194"/>
      <c r="I1001" s="194"/>
      <c r="J1001" s="194"/>
      <c r="K1001" s="194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4"/>
      <c r="AA1001" s="194"/>
      <c r="AB1001" s="194"/>
      <c r="AC1001" s="194"/>
      <c r="AD1001" s="194"/>
    </row>
    <row r="1002" customFormat="false" ht="15.75" hidden="false" customHeight="false" outlineLevel="0" collapsed="false">
      <c r="A1002" s="194"/>
      <c r="B1002" s="194"/>
      <c r="C1002" s="194"/>
      <c r="D1002" s="194"/>
      <c r="E1002" s="194"/>
      <c r="F1002" s="194"/>
      <c r="G1002" s="194"/>
      <c r="H1002" s="194"/>
      <c r="I1002" s="194"/>
      <c r="J1002" s="194"/>
      <c r="K1002" s="194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4"/>
      <c r="AA1002" s="194"/>
      <c r="AB1002" s="194"/>
      <c r="AC1002" s="194"/>
      <c r="AD1002" s="194"/>
    </row>
    <row r="1003" customFormat="false" ht="15.75" hidden="false" customHeight="false" outlineLevel="0" collapsed="false">
      <c r="A1003" s="194"/>
      <c r="B1003" s="194"/>
      <c r="C1003" s="194"/>
      <c r="D1003" s="194"/>
      <c r="E1003" s="194"/>
      <c r="F1003" s="194"/>
      <c r="G1003" s="194"/>
      <c r="H1003" s="194"/>
      <c r="I1003" s="194"/>
      <c r="J1003" s="194"/>
      <c r="K1003" s="194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4"/>
      <c r="AA1003" s="194"/>
      <c r="AB1003" s="194"/>
      <c r="AC1003" s="194"/>
      <c r="AD1003" s="194"/>
    </row>
    <row r="1004" customFormat="false" ht="15.75" hidden="false" customHeight="false" outlineLevel="0" collapsed="false">
      <c r="A1004" s="194"/>
      <c r="B1004" s="194"/>
      <c r="C1004" s="194"/>
      <c r="D1004" s="194"/>
      <c r="E1004" s="194"/>
      <c r="F1004" s="194"/>
      <c r="G1004" s="194"/>
      <c r="H1004" s="194"/>
      <c r="I1004" s="194"/>
      <c r="J1004" s="194"/>
      <c r="K1004" s="194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4"/>
      <c r="AA1004" s="194"/>
      <c r="AB1004" s="194"/>
      <c r="AC1004" s="194"/>
      <c r="AD1004" s="194"/>
    </row>
    <row r="1005" customFormat="false" ht="15.75" hidden="false" customHeight="false" outlineLevel="0" collapsed="false">
      <c r="A1005" s="194"/>
      <c r="B1005" s="194"/>
      <c r="C1005" s="194"/>
      <c r="D1005" s="194"/>
      <c r="E1005" s="194"/>
      <c r="F1005" s="194"/>
      <c r="G1005" s="194"/>
      <c r="H1005" s="194"/>
      <c r="I1005" s="194"/>
      <c r="J1005" s="194"/>
      <c r="K1005" s="194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4"/>
      <c r="AA1005" s="194"/>
      <c r="AB1005" s="194"/>
      <c r="AC1005" s="194"/>
      <c r="AD1005" s="194"/>
    </row>
    <row r="1006" customFormat="false" ht="15.75" hidden="false" customHeight="false" outlineLevel="0" collapsed="false">
      <c r="A1006" s="194"/>
      <c r="B1006" s="194"/>
      <c r="C1006" s="194"/>
      <c r="D1006" s="194"/>
      <c r="E1006" s="194"/>
      <c r="F1006" s="194"/>
      <c r="G1006" s="194"/>
      <c r="H1006" s="194"/>
      <c r="I1006" s="194"/>
      <c r="J1006" s="194"/>
      <c r="K1006" s="194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4"/>
      <c r="AA1006" s="194"/>
      <c r="AB1006" s="194"/>
      <c r="AC1006" s="194"/>
      <c r="AD1006" s="194"/>
    </row>
    <row r="1007" customFormat="false" ht="15.75" hidden="false" customHeight="false" outlineLevel="0" collapsed="false">
      <c r="A1007" s="194"/>
      <c r="B1007" s="194"/>
      <c r="C1007" s="194"/>
      <c r="D1007" s="194"/>
      <c r="E1007" s="194"/>
      <c r="F1007" s="194"/>
      <c r="G1007" s="194"/>
      <c r="H1007" s="194"/>
      <c r="I1007" s="194"/>
      <c r="J1007" s="194"/>
      <c r="K1007" s="194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4"/>
      <c r="AA1007" s="194"/>
      <c r="AB1007" s="194"/>
      <c r="AC1007" s="194"/>
      <c r="AD1007" s="194"/>
    </row>
    <row r="1008" customFormat="false" ht="15.75" hidden="false" customHeight="false" outlineLevel="0" collapsed="false">
      <c r="A1008" s="194"/>
      <c r="B1008" s="194"/>
      <c r="C1008" s="194"/>
      <c r="D1008" s="194"/>
      <c r="E1008" s="194"/>
      <c r="F1008" s="194"/>
      <c r="G1008" s="194"/>
      <c r="H1008" s="194"/>
      <c r="I1008" s="194"/>
      <c r="J1008" s="194"/>
      <c r="K1008" s="194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4"/>
      <c r="AA1008" s="194"/>
      <c r="AB1008" s="194"/>
      <c r="AC1008" s="194"/>
      <c r="AD1008" s="194"/>
    </row>
    <row r="1009" customFormat="false" ht="15.75" hidden="false" customHeight="false" outlineLevel="0" collapsed="false">
      <c r="A1009" s="194"/>
      <c r="B1009" s="194"/>
      <c r="C1009" s="194"/>
      <c r="D1009" s="194"/>
      <c r="E1009" s="194"/>
      <c r="F1009" s="194"/>
      <c r="G1009" s="194"/>
      <c r="H1009" s="194"/>
      <c r="I1009" s="194"/>
      <c r="J1009" s="194"/>
      <c r="K1009" s="194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4"/>
      <c r="AA1009" s="194"/>
      <c r="AB1009" s="194"/>
      <c r="AC1009" s="194"/>
      <c r="AD1009" s="194"/>
    </row>
    <row r="1010" customFormat="false" ht="15.75" hidden="false" customHeight="false" outlineLevel="0" collapsed="false">
      <c r="A1010" s="194"/>
      <c r="B1010" s="194"/>
      <c r="C1010" s="194"/>
      <c r="D1010" s="194"/>
      <c r="E1010" s="194"/>
      <c r="F1010" s="194"/>
      <c r="G1010" s="194"/>
      <c r="H1010" s="194"/>
      <c r="I1010" s="194"/>
      <c r="J1010" s="194"/>
      <c r="K1010" s="194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4"/>
      <c r="AA1010" s="194"/>
      <c r="AB1010" s="194"/>
      <c r="AC1010" s="194"/>
      <c r="AD1010" s="194"/>
    </row>
    <row r="1011" customFormat="false" ht="15.75" hidden="false" customHeight="false" outlineLevel="0" collapsed="false">
      <c r="A1011" s="194"/>
      <c r="B1011" s="194"/>
      <c r="C1011" s="194"/>
      <c r="D1011" s="194"/>
      <c r="E1011" s="194"/>
      <c r="F1011" s="194"/>
      <c r="G1011" s="194"/>
      <c r="H1011" s="194"/>
      <c r="I1011" s="194"/>
      <c r="J1011" s="194"/>
      <c r="K1011" s="194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4"/>
      <c r="AA1011" s="194"/>
      <c r="AB1011" s="194"/>
      <c r="AC1011" s="194"/>
      <c r="AD1011" s="194"/>
    </row>
    <row r="1012" customFormat="false" ht="15.75" hidden="false" customHeight="false" outlineLevel="0" collapsed="false">
      <c r="A1012" s="194"/>
      <c r="B1012" s="194"/>
      <c r="C1012" s="194"/>
      <c r="D1012" s="194"/>
      <c r="E1012" s="194"/>
      <c r="F1012" s="194"/>
      <c r="G1012" s="194"/>
      <c r="H1012" s="194"/>
      <c r="I1012" s="194"/>
      <c r="J1012" s="194"/>
      <c r="K1012" s="194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4"/>
      <c r="AA1012" s="194"/>
      <c r="AB1012" s="194"/>
      <c r="AC1012" s="194"/>
      <c r="AD1012" s="194"/>
    </row>
  </sheetData>
  <mergeCells count="20">
    <mergeCell ref="B2:E2"/>
    <mergeCell ref="M2:P2"/>
    <mergeCell ref="C3:E3"/>
    <mergeCell ref="N3:P3"/>
    <mergeCell ref="C4:E4"/>
    <mergeCell ref="N4:P4"/>
    <mergeCell ref="C5:E5"/>
    <mergeCell ref="N5:P5"/>
    <mergeCell ref="C9:E9"/>
    <mergeCell ref="N9:P9"/>
    <mergeCell ref="C10:E10"/>
    <mergeCell ref="N10:P10"/>
    <mergeCell ref="C11:E11"/>
    <mergeCell ref="N11:P11"/>
    <mergeCell ref="C12:E12"/>
    <mergeCell ref="N12:P12"/>
    <mergeCell ref="G13:H13"/>
    <mergeCell ref="J13:K13"/>
    <mergeCell ref="G15:H15"/>
    <mergeCell ref="J15:K15"/>
  </mergeCells>
  <conditionalFormatting sqref="G13:H13 J13:K13">
    <cfRule type="cellIs" priority="2" operator="equal" aboveAverage="0" equalAverage="0" bottom="0" percent="0" rank="0" text="" dxfId="13">
      <formula>"SUCCESS"</formula>
    </cfRule>
  </conditionalFormatting>
  <conditionalFormatting sqref="G13:H13 J13:K13">
    <cfRule type="cellIs" priority="3" operator="equal" aboveAverage="0" equalAverage="0" bottom="0" percent="0" rank="0" text="" dxfId="14">
      <formula>"FAILURE"</formula>
    </cfRule>
  </conditionalFormatting>
  <dataValidations count="4">
    <dataValidation allowBlank="true" errorStyle="stop" operator="between" showDropDown="false" showErrorMessage="true" showInputMessage="false" sqref="C3" type="list">
      <formula1>"2025,2024"</formula1>
      <formula2>0</formula2>
    </dataValidation>
    <dataValidation allowBlank="true" errorStyle="stop" operator="between" showDropDown="false" showErrorMessage="true" showInputMessage="false" sqref="H2 K2" type="list">
      <formula1>'All Contracts'!$B:$B</formula1>
      <formula2>0</formula2>
    </dataValidation>
    <dataValidation allowBlank="true" errorStyle="stop" operator="between" showDropDown="false" showErrorMessage="true" showInputMessage="false" sqref="J4:J11" type="list">
      <formula1>'Salary Matching Calculator'!$J$21:$J$42</formula1>
      <formula2>0</formula2>
    </dataValidation>
    <dataValidation allowBlank="true" errorStyle="stop" operator="between" showDropDown="false" showErrorMessage="true" showInputMessage="false" sqref="G4:G11" type="list">
      <formula1>'Salary Matching Calculator'!$G$21:$G$42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2025-06-20T15:35:41Z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