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66925"/>
  <mc:AlternateContent xmlns:mc="http://schemas.openxmlformats.org/markup-compatibility/2006">
    <mc:Choice Requires="x15">
      <x15ac:absPath xmlns:x15ac="http://schemas.microsoft.com/office/spreadsheetml/2010/11/ac" url="/Users/erik/Documents/Microfluidics/Microfluidics Calculator/"/>
    </mc:Choice>
  </mc:AlternateContent>
  <xr:revisionPtr revIDLastSave="0" documentId="13_ncr:1_{D3CF3BD2-6E16-254A-A030-C6EE2D77C1B9}" xr6:coauthVersionLast="45" xr6:coauthVersionMax="45" xr10:uidLastSave="{00000000-0000-0000-0000-000000000000}"/>
  <workbookProtection workbookAlgorithmName="SHA-512" workbookHashValue="rPKzg37gSdVyJlyE45AmaqbDeavM/sjefXSf6Wr2cddjWsMq7f9OzdTog0toh7P3dJ4LHwwsEeveuZFrmyppBA==" workbookSaltValue="g9pw8xJMaVbNLc1ZKgtL1Q==" workbookSpinCount="100000" lockStructure="1"/>
  <bookViews>
    <workbookView xWindow="0" yWindow="460" windowWidth="32160" windowHeight="18400" activeTab="5" xr2:uid="{00000000-000D-0000-FFFF-FFFF00000000}"/>
  </bookViews>
  <sheets>
    <sheet name="Material Properties" sheetId="8" r:id="rId1"/>
    <sheet name="Hydraulic Resistance" sheetId="2" r:id="rId2"/>
    <sheet name="Flow Rate and Shear Stress" sheetId="3" r:id="rId3"/>
    <sheet name="Switching Frequency" sheetId="6" r:id="rId4"/>
    <sheet name="Volume Conversions" sheetId="5" r:id="rId5"/>
    <sheet name="About" sheetId="7" r:id="rId6"/>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16" i="2" l="1"/>
  <c r="I15" i="2"/>
  <c r="H17" i="2"/>
  <c r="H23" i="3" l="1"/>
  <c r="I16" i="3"/>
  <c r="I23" i="3"/>
  <c r="F16" i="3"/>
  <c r="G16" i="3"/>
  <c r="O17" i="2"/>
  <c r="I24" i="3"/>
  <c r="I25" i="3"/>
  <c r="I26" i="3"/>
  <c r="I27" i="3"/>
  <c r="H24" i="3"/>
  <c r="H25" i="3"/>
  <c r="H26" i="3"/>
  <c r="H27" i="3"/>
  <c r="D8" i="3"/>
  <c r="F17" i="3"/>
  <c r="G17" i="3"/>
  <c r="F18" i="3"/>
  <c r="G18" i="3"/>
  <c r="F19" i="3"/>
  <c r="J19" i="3" s="1"/>
  <c r="G19" i="3"/>
  <c r="H19" i="3" s="1"/>
  <c r="F20" i="3"/>
  <c r="G20" i="3"/>
  <c r="Q16" i="2"/>
  <c r="D19" i="6"/>
  <c r="D23" i="6"/>
  <c r="D21" i="6"/>
  <c r="D13" i="6"/>
  <c r="D11" i="6"/>
  <c r="D14" i="6"/>
  <c r="D15" i="6" s="1"/>
  <c r="G7" i="5"/>
  <c r="H7" i="5" s="1"/>
  <c r="G6" i="5"/>
  <c r="J6" i="5" s="1"/>
  <c r="G5" i="5"/>
  <c r="H5" i="5" s="1"/>
  <c r="H6" i="5"/>
  <c r="I6" i="5"/>
  <c r="J18" i="3"/>
  <c r="K18" i="3"/>
  <c r="J20" i="3"/>
  <c r="K20" i="3"/>
  <c r="P15" i="2"/>
  <c r="C18" i="2"/>
  <c r="D18" i="2"/>
  <c r="I17" i="3"/>
  <c r="I31" i="3" s="1"/>
  <c r="I18" i="3"/>
  <c r="I19" i="3"/>
  <c r="I20" i="3"/>
  <c r="C19" i="2"/>
  <c r="D19" i="2"/>
  <c r="D15" i="2" s="1"/>
  <c r="K19" i="3" l="1"/>
  <c r="H20" i="3"/>
  <c r="H18" i="3"/>
  <c r="H11" i="6"/>
  <c r="D26" i="6"/>
  <c r="D25" i="6"/>
  <c r="H17" i="3"/>
  <c r="H16" i="3"/>
  <c r="H26" i="6"/>
  <c r="H14" i="6"/>
  <c r="H29" i="6"/>
  <c r="H25" i="6"/>
  <c r="H21" i="6"/>
  <c r="H17" i="6"/>
  <c r="H13" i="6"/>
  <c r="H30" i="6"/>
  <c r="H18" i="6"/>
  <c r="H28" i="6"/>
  <c r="H24" i="6"/>
  <c r="H20" i="6"/>
  <c r="H16" i="6"/>
  <c r="H12" i="6"/>
  <c r="H22" i="6"/>
  <c r="H10" i="6"/>
  <c r="H27" i="6"/>
  <c r="H23" i="6"/>
  <c r="H19" i="6"/>
  <c r="H15" i="6"/>
  <c r="C20" i="2"/>
  <c r="I5" i="5"/>
  <c r="J5" i="5"/>
  <c r="I7" i="5"/>
  <c r="J7" i="5"/>
  <c r="D28" i="6" l="1"/>
  <c r="D29" i="6" s="1"/>
  <c r="H31" i="3"/>
  <c r="H33" i="3" s="1"/>
  <c r="L24" i="3" l="1"/>
  <c r="L23" i="3"/>
  <c r="L20" i="3"/>
  <c r="L17" i="3"/>
  <c r="L18" i="3"/>
  <c r="L19" i="3"/>
  <c r="L25" i="3"/>
  <c r="L26" i="3"/>
  <c r="L27" i="3"/>
  <c r="J16" i="3"/>
  <c r="K16" i="3" s="1"/>
  <c r="L16" i="3"/>
  <c r="H34" i="3"/>
  <c r="H35" i="3" s="1"/>
  <c r="H36" i="3" s="1"/>
  <c r="J17" i="3"/>
  <c r="K17" i="3" s="1"/>
</calcChain>
</file>

<file path=xl/sharedStrings.xml><?xml version="1.0" encoding="utf-8"?>
<sst xmlns="http://schemas.openxmlformats.org/spreadsheetml/2006/main" count="170" uniqueCount="114">
  <si>
    <t>hydraulic resistance</t>
  </si>
  <si>
    <t>r [mm]</t>
  </si>
  <si>
    <t>channel radius</t>
  </si>
  <si>
    <t>L [mm]</t>
  </si>
  <si>
    <t>channel length</t>
  </si>
  <si>
    <t>Hc [mm]</t>
  </si>
  <si>
    <t>corrected height (w &gt; h)</t>
  </si>
  <si>
    <t>Wc [mm]</t>
  </si>
  <si>
    <t>corrected width (w &gt; h)</t>
  </si>
  <si>
    <t>H [mm]</t>
  </si>
  <si>
    <t>channel height</t>
  </si>
  <si>
    <t>W [mm]</t>
  </si>
  <si>
    <t>channel width</t>
  </si>
  <si>
    <t>Rh = (12 * μ * l) / ( (w * h^3) * (1 - ( ( 0.630 * h) / w ) ) )</t>
  </si>
  <si>
    <t>Rectangular channel</t>
  </si>
  <si>
    <t xml:space="preserve">Rh = ( 8 * μ * L )  /  ( 3.14 * ( r^4 ) ) </t>
  </si>
  <si>
    <t>μ (Dynamic Viscosity)</t>
  </si>
  <si>
    <t>Water (20ºC)</t>
  </si>
  <si>
    <t>Air (20ºC)</t>
  </si>
  <si>
    <t>https://www.engineeringtoolbox.com/dynamic-absolute-kinematic-viscosity-d_412.html</t>
  </si>
  <si>
    <t>Olive Oil</t>
  </si>
  <si>
    <t>Glycerol</t>
  </si>
  <si>
    <t>Common Dynamic Viscosities [Pa*s]</t>
  </si>
  <si>
    <t>Width [mm]</t>
  </si>
  <si>
    <t>Height [mm]</t>
  </si>
  <si>
    <t>Length [mm]</t>
  </si>
  <si>
    <t>Wc</t>
  </si>
  <si>
    <t>Hc</t>
  </si>
  <si>
    <t>Rh [kg*m-4*s-1]</t>
  </si>
  <si>
    <t>Volume [uL]</t>
  </si>
  <si>
    <t>Pressure Drop</t>
  </si>
  <si>
    <t>[Pa]</t>
  </si>
  <si>
    <t>Solving for:</t>
  </si>
  <si>
    <t xml:space="preserve">Rh Rectangular: </t>
  </si>
  <si>
    <t xml:space="preserve">Cylindrical channel				</t>
  </si>
  <si>
    <t>Parameters:</t>
  </si>
  <si>
    <t>Equations:</t>
  </si>
  <si>
    <t>Qv = dP/Rh</t>
  </si>
  <si>
    <t>N</t>
  </si>
  <si>
    <t>Cylinder</t>
  </si>
  <si>
    <t>Radius [mm]</t>
  </si>
  <si>
    <t>Volume [mL]</t>
  </si>
  <si>
    <t>Volume [nL]</t>
  </si>
  <si>
    <t>Volume [pL]</t>
  </si>
  <si>
    <t>Rectangular Prism</t>
  </si>
  <si>
    <t>Sphere</t>
  </si>
  <si>
    <t>Shape</t>
  </si>
  <si>
    <t>P1 (Vacuum)</t>
  </si>
  <si>
    <t>P2 (Atmosphere)</t>
  </si>
  <si>
    <t>[kg*m-4*s-1]</t>
  </si>
  <si>
    <t>Hydraulic Resistance</t>
  </si>
  <si>
    <t>Valve Opening Threshold</t>
  </si>
  <si>
    <t>Valve Closing Threshold</t>
  </si>
  <si>
    <t>Volume</t>
  </si>
  <si>
    <t>[uL], [mm3]</t>
  </si>
  <si>
    <t>[psia]</t>
  </si>
  <si>
    <t>[psig]</t>
  </si>
  <si>
    <t>Tau Open</t>
  </si>
  <si>
    <t>Tau Close</t>
  </si>
  <si>
    <t>Period</t>
  </si>
  <si>
    <t>Frequency</t>
  </si>
  <si>
    <t>[Hz]</t>
  </si>
  <si>
    <t>[s]</t>
  </si>
  <si>
    <t>[m3]</t>
  </si>
  <si>
    <t>[psi] =</t>
  </si>
  <si>
    <t>Erik Werner</t>
  </si>
  <si>
    <t>Written by:</t>
  </si>
  <si>
    <t>Segment</t>
  </si>
  <si>
    <t>Rh = (8* μ * l) / (π * r^4)</t>
  </si>
  <si>
    <t>Last update:</t>
  </si>
  <si>
    <t>Version:</t>
  </si>
  <si>
    <t>Other R</t>
  </si>
  <si>
    <t>Total R, Total V</t>
  </si>
  <si>
    <t>Qv [m3/s]</t>
  </si>
  <si>
    <t>Qv [m3/min]</t>
  </si>
  <si>
    <t>Qv [lpm]</t>
  </si>
  <si>
    <t>Qv [ccm]</t>
  </si>
  <si>
    <r>
      <rPr>
        <b/>
        <sz val="12"/>
        <color theme="1"/>
        <rFont val="Calibri"/>
        <family val="2"/>
        <scheme val="minor"/>
      </rPr>
      <t>Instructions:</t>
    </r>
    <r>
      <rPr>
        <sz val="12"/>
        <color theme="1"/>
        <rFont val="Calibri"/>
        <family val="2"/>
        <scheme val="minor"/>
      </rPr>
      <t xml:space="preserve"> </t>
    </r>
    <r>
      <rPr>
        <b/>
        <sz val="12"/>
        <color theme="5"/>
        <rFont val="Calibri (Body)"/>
      </rPr>
      <t>Orange</t>
    </r>
    <r>
      <rPr>
        <sz val="12"/>
        <color theme="1"/>
        <rFont val="Calibri"/>
        <family val="2"/>
        <scheme val="minor"/>
      </rPr>
      <t xml:space="preserve"> cells are input values and </t>
    </r>
    <r>
      <rPr>
        <b/>
        <sz val="12"/>
        <color theme="1" tint="0.499984740745262"/>
        <rFont val="Calibri (Body)"/>
      </rPr>
      <t>grey</t>
    </r>
    <r>
      <rPr>
        <sz val="12"/>
        <color theme="1"/>
        <rFont val="Calibri"/>
        <family val="2"/>
        <scheme val="minor"/>
      </rPr>
      <t xml:space="preserve"> cells are the calculated output values. Enter all required dimensions for a shape in a row to calculate the volume of that shape. To edit protected cells, select "unprotect sheet" from the review tab. There is no password.</t>
    </r>
  </si>
  <si>
    <t>t [s]</t>
  </si>
  <si>
    <t>p(t) [Pa]</t>
  </si>
  <si>
    <t>Param</t>
  </si>
  <si>
    <t>Units</t>
  </si>
  <si>
    <t>April 23 2021</t>
  </si>
  <si>
    <t>Source</t>
  </si>
  <si>
    <t>Material</t>
  </si>
  <si>
    <t>Value</t>
  </si>
  <si>
    <t>updated switching frequency calculations</t>
  </si>
  <si>
    <t>moved material properties to a new tab</t>
  </si>
  <si>
    <t>added shear stress calculations and updated instructions</t>
  </si>
  <si>
    <t>Changes:</t>
  </si>
  <si>
    <t>Name</t>
  </si>
  <si>
    <t>Source:</t>
  </si>
  <si>
    <t>DOI: 10.1039/c1lc20658c</t>
  </si>
  <si>
    <t>h [mm]</t>
  </si>
  <si>
    <t xml:space="preserve">Rh Cylinder: </t>
  </si>
  <si>
    <t>Rh Square:</t>
  </si>
  <si>
    <t>Rh = (12 * μ * l) / ( (w * h^3) * (1 - ( 0.630 * h / w ) ) )</t>
  </si>
  <si>
    <t>Square channel</t>
  </si>
  <si>
    <t xml:space="preserve">Rh = ( 28.4 * μ * L )  /  (h^4 ) ) </t>
  </si>
  <si>
    <r>
      <rPr>
        <b/>
        <sz val="14"/>
        <color theme="1"/>
        <rFont val="Calibri"/>
        <family val="2"/>
        <scheme val="minor"/>
      </rPr>
      <t>Instructions:</t>
    </r>
    <r>
      <rPr>
        <sz val="14"/>
        <color theme="1"/>
        <rFont val="Calibri"/>
        <family val="2"/>
        <scheme val="minor"/>
      </rPr>
      <t xml:space="preserve"> Select the variable to solve for and complete the inputs for that column. Check the value of the viscosity parameter in the </t>
    </r>
    <r>
      <rPr>
        <b/>
        <sz val="14"/>
        <color theme="7" tint="-0.249977111117893"/>
        <rFont val="Calibri (Body)"/>
      </rPr>
      <t>yellow</t>
    </r>
    <r>
      <rPr>
        <b/>
        <sz val="14"/>
        <color theme="7" tint="-0.249977111117893"/>
        <rFont val="Calibri"/>
        <family val="2"/>
        <scheme val="minor"/>
      </rPr>
      <t xml:space="preserve"> cell </t>
    </r>
    <r>
      <rPr>
        <sz val="14"/>
        <color theme="1"/>
        <rFont val="Calibri"/>
        <family val="2"/>
        <scheme val="minor"/>
      </rPr>
      <t xml:space="preserve">(common values are available in the Material Properties tab.) The result wll be displayed in </t>
    </r>
    <r>
      <rPr>
        <b/>
        <sz val="14"/>
        <color theme="1" tint="0.499984740745262"/>
        <rFont val="Calibri (Body)"/>
      </rPr>
      <t>grey text</t>
    </r>
    <r>
      <rPr>
        <sz val="14"/>
        <color theme="1"/>
        <rFont val="Calibri"/>
        <family val="2"/>
        <scheme val="minor"/>
      </rPr>
      <t xml:space="preserve"> in a grey box of that column. </t>
    </r>
    <r>
      <rPr>
        <b/>
        <sz val="14"/>
        <color theme="5"/>
        <rFont val="Calibri (Body)"/>
      </rPr>
      <t>Orange</t>
    </r>
    <r>
      <rPr>
        <b/>
        <sz val="14"/>
        <color theme="5"/>
        <rFont val="Calibri"/>
        <family val="2"/>
        <scheme val="minor"/>
      </rPr>
      <t xml:space="preserve"> cells</t>
    </r>
    <r>
      <rPr>
        <sz val="14"/>
        <color theme="1"/>
        <rFont val="Calibri"/>
        <family val="2"/>
        <scheme val="minor"/>
      </rPr>
      <t xml:space="preserve"> are input values and </t>
    </r>
    <r>
      <rPr>
        <b/>
        <sz val="14"/>
        <color theme="1" tint="0.499984740745262"/>
        <rFont val="Calibri (Body)"/>
      </rPr>
      <t>grey</t>
    </r>
    <r>
      <rPr>
        <b/>
        <sz val="14"/>
        <color theme="1" tint="0.499984740745262"/>
        <rFont val="Calibri"/>
        <family val="2"/>
        <scheme val="minor"/>
      </rPr>
      <t xml:space="preserve"> cells</t>
    </r>
    <r>
      <rPr>
        <sz val="14"/>
        <color theme="1"/>
        <rFont val="Calibri"/>
        <family val="2"/>
        <scheme val="minor"/>
      </rPr>
      <t xml:space="preserve"> are the calculated output values. Column headers show the variable to be solved for. To edit protected cells, select "unprotect sheet" from the review tab. There is no password.</t>
    </r>
  </si>
  <si>
    <t>tau = 4 * μ * Q / (π * r^3)</t>
  </si>
  <si>
    <t>Shear Stress [N * m-2]</t>
  </si>
  <si>
    <t>1 N * m-2 =</t>
  </si>
  <si>
    <t>10 dyne * cm-2</t>
  </si>
  <si>
    <t>Pace [s * mm-1]</t>
  </si>
  <si>
    <t>Velocity [mm * s-1]</t>
  </si>
  <si>
    <r>
      <rPr>
        <b/>
        <sz val="11"/>
        <color theme="1"/>
        <rFont val="Calibri"/>
        <family val="2"/>
        <scheme val="minor"/>
      </rPr>
      <t>Instructions:</t>
    </r>
    <r>
      <rPr>
        <b/>
        <sz val="11"/>
        <color theme="5"/>
        <rFont val="Calibri"/>
        <family val="2"/>
        <scheme val="minor"/>
      </rPr>
      <t xml:space="preserve"> </t>
    </r>
    <r>
      <rPr>
        <b/>
        <sz val="11"/>
        <color theme="5"/>
        <rFont val="Calibri (Body)"/>
      </rPr>
      <t>Orange</t>
    </r>
    <r>
      <rPr>
        <b/>
        <sz val="11"/>
        <color theme="5"/>
        <rFont val="Calibri"/>
        <family val="2"/>
        <scheme val="minor"/>
      </rPr>
      <t xml:space="preserve"> cells</t>
    </r>
    <r>
      <rPr>
        <sz val="11"/>
        <color theme="1"/>
        <rFont val="Calibri"/>
        <family val="2"/>
        <scheme val="minor"/>
      </rPr>
      <t xml:space="preserve"> are input values and </t>
    </r>
    <r>
      <rPr>
        <b/>
        <sz val="11"/>
        <color theme="1" tint="0.499984740745262"/>
        <rFont val="Calibri (Body)"/>
      </rPr>
      <t>grey</t>
    </r>
    <r>
      <rPr>
        <b/>
        <sz val="11"/>
        <color theme="1" tint="0.499984740745262"/>
        <rFont val="Calibri"/>
        <family val="2"/>
        <scheme val="minor"/>
      </rPr>
      <t xml:space="preserve"> cells</t>
    </r>
    <r>
      <rPr>
        <sz val="11"/>
        <color theme="1"/>
        <rFont val="Calibri"/>
        <family val="2"/>
        <scheme val="minor"/>
      </rPr>
      <t xml:space="preserve"> are the calculated output values. Enter a viscosity and pressure drop parameters in the </t>
    </r>
    <r>
      <rPr>
        <b/>
        <sz val="11"/>
        <color theme="7" tint="-0.249977111117893"/>
        <rFont val="Calibri (Body)"/>
      </rPr>
      <t>yellow cells</t>
    </r>
    <r>
      <rPr>
        <sz val="11"/>
        <color theme="1"/>
        <rFont val="Calibri"/>
        <family val="2"/>
        <scheme val="minor"/>
      </rPr>
      <t xml:space="preserve">,  then dimensions for one or more channel sections to calculate volume, flow rate, velocity, and shear stress </t>
    </r>
    <r>
      <rPr>
        <b/>
        <sz val="11"/>
        <color theme="1"/>
        <rFont val="Calibri"/>
        <family val="2"/>
        <scheme val="minor"/>
      </rPr>
      <t>across all channel sections</t>
    </r>
    <r>
      <rPr>
        <sz val="11"/>
        <color theme="1"/>
        <rFont val="Calibri"/>
        <family val="2"/>
        <scheme val="minor"/>
      </rPr>
      <t>. To edit protected cells, select "unprotect sheet" from the review tab. There is no password.</t>
    </r>
  </si>
  <si>
    <t>Corn Oil</t>
  </si>
  <si>
    <t>Value [N * s * m-2], [Pa * s]</t>
  </si>
  <si>
    <t>[N *s  * m-2], [Pa * s]</t>
  </si>
  <si>
    <t>[N * s * m-2], [Pa * s]</t>
  </si>
  <si>
    <t>http://www.iieta.org/journals/ti-ijes/paper/10.18280/ti-ijes.630103</t>
  </si>
  <si>
    <t>Fill orange cells with pressure difference (P2-P1) , hydrodynamic resistance (Rh), volume (V), opening threshold (PVO), closing threshold (PVC), and number of inverters (N). To edit protected cells, select "unprotect sheet" from the review tab. There is no password.</t>
  </si>
  <si>
    <t>Equation from Duncan et al DOI: 10.1073/pnas.1310254110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</si>
</sst>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E+00"/>
    <numFmt numFmtId="165" formatCode="0.000000E+00"/>
  </numFmts>
  <fonts count="25">
    <font>
      <sz val="12"/>
      <color theme="1"/>
      <name val="Calibri"/>
      <family val="2"/>
      <scheme val="minor"/>
    </font>
    <font>
      <sz val="12"/>
      <color theme="1"/>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i/>
      <sz val="12"/>
      <color rgb="FF7F7F7F"/>
      <name val="Calibri"/>
      <family val="2"/>
      <scheme val="minor"/>
    </font>
    <font>
      <b/>
      <sz val="12"/>
      <color theme="1"/>
      <name val="Calibri"/>
      <family val="2"/>
      <scheme val="minor"/>
    </font>
    <font>
      <u/>
      <sz val="12"/>
      <color theme="10"/>
      <name val="Calibri"/>
      <family val="2"/>
      <scheme val="minor"/>
    </font>
    <font>
      <b/>
      <sz val="12"/>
      <color theme="5"/>
      <name val="Calibri (Body)"/>
    </font>
    <font>
      <b/>
      <sz val="12"/>
      <color theme="1" tint="0.499984740745262"/>
      <name val="Calibri (Body)"/>
    </font>
    <font>
      <sz val="14"/>
      <color theme="1"/>
      <name val="Calibri"/>
      <family val="2"/>
      <scheme val="minor"/>
    </font>
    <font>
      <b/>
      <sz val="14"/>
      <color theme="1"/>
      <name val="Calibri"/>
      <family val="2"/>
      <scheme val="minor"/>
    </font>
    <font>
      <b/>
      <sz val="14"/>
      <color theme="7" tint="-0.249977111117893"/>
      <name val="Calibri (Body)"/>
    </font>
    <font>
      <b/>
      <sz val="14"/>
      <color theme="7" tint="-0.249977111117893"/>
      <name val="Calibri"/>
      <family val="2"/>
      <scheme val="minor"/>
    </font>
    <font>
      <b/>
      <sz val="14"/>
      <color theme="1" tint="0.499984740745262"/>
      <name val="Calibri (Body)"/>
    </font>
    <font>
      <b/>
      <sz val="14"/>
      <color theme="5"/>
      <name val="Calibri (Body)"/>
    </font>
    <font>
      <b/>
      <sz val="14"/>
      <color theme="5"/>
      <name val="Calibri"/>
      <family val="2"/>
      <scheme val="minor"/>
    </font>
    <font>
      <b/>
      <sz val="14"/>
      <color theme="1" tint="0.499984740745262"/>
      <name val="Calibri"/>
      <family val="2"/>
      <scheme val="minor"/>
    </font>
    <font>
      <sz val="11"/>
      <color theme="1"/>
      <name val="Calibri"/>
      <family val="2"/>
      <scheme val="minor"/>
    </font>
    <font>
      <b/>
      <sz val="11"/>
      <color theme="1"/>
      <name val="Calibri"/>
      <family val="2"/>
      <scheme val="minor"/>
    </font>
    <font>
      <b/>
      <sz val="11"/>
      <color theme="5"/>
      <name val="Calibri"/>
      <family val="2"/>
      <scheme val="minor"/>
    </font>
    <font>
      <b/>
      <sz val="11"/>
      <color theme="5"/>
      <name val="Calibri (Body)"/>
    </font>
    <font>
      <b/>
      <sz val="11"/>
      <color theme="1" tint="0.499984740745262"/>
      <name val="Calibri (Body)"/>
    </font>
    <font>
      <b/>
      <sz val="11"/>
      <color theme="1" tint="0.499984740745262"/>
      <name val="Calibri"/>
      <family val="2"/>
      <scheme val="minor"/>
    </font>
    <font>
      <b/>
      <sz val="11"/>
      <color theme="7" tint="-0.249977111117893"/>
      <name val="Calibri (Body)"/>
    </font>
  </fonts>
  <fills count="12">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theme="9" tint="0.59999389629810485"/>
        <bgColor indexed="64"/>
      </patternFill>
    </fill>
    <fill>
      <patternFill patternType="solid">
        <fgColor theme="4" tint="0.59999389629810485"/>
        <bgColor indexed="64"/>
      </patternFill>
    </fill>
    <fill>
      <patternFill patternType="solid">
        <fgColor theme="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EC8D8B"/>
        <bgColor indexed="64"/>
      </patternFill>
    </fill>
  </fills>
  <borders count="2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auto="1"/>
      </left>
      <right/>
      <top/>
      <bottom/>
      <diagonal/>
    </border>
    <border>
      <left style="thin">
        <color rgb="FF7F7F7F"/>
      </left>
      <right/>
      <top style="thin">
        <color rgb="FF7F7F7F"/>
      </top>
      <bottom style="thin">
        <color rgb="FF7F7F7F"/>
      </bottom>
      <diagonal/>
    </border>
    <border>
      <left style="thin">
        <color rgb="FF3F3F3F"/>
      </left>
      <right/>
      <top style="thin">
        <color rgb="FF3F3F3F"/>
      </top>
      <bottom style="thin">
        <color rgb="FF3F3F3F"/>
      </bottom>
      <diagonal/>
    </border>
    <border>
      <left style="thin">
        <color rgb="FF7F7F7F"/>
      </left>
      <right style="thin">
        <color rgb="FF7F7F7F"/>
      </right>
      <top/>
      <bottom style="thin">
        <color rgb="FF7F7F7F"/>
      </bottom>
      <diagonal/>
    </border>
    <border>
      <left/>
      <right style="thin">
        <color rgb="FF7F7F7F"/>
      </right>
      <top/>
      <bottom/>
      <diagonal/>
    </border>
    <border>
      <left/>
      <right style="thin">
        <color rgb="FF3F3F3F"/>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rgb="FFB2B2B2"/>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rgb="FF3F3F3F"/>
      </left>
      <right style="thin">
        <color rgb="FF3F3F3F"/>
      </right>
      <top/>
      <bottom style="thin">
        <color rgb="FF3F3F3F"/>
      </bottom>
      <diagonal/>
    </border>
  </borders>
  <cellStyleXfs count="7">
    <xf numFmtId="0" fontId="0" fillId="0" borderId="0"/>
    <xf numFmtId="0" fontId="2" fillId="2" borderId="1" applyNumberFormat="0" applyAlignment="0" applyProtection="0"/>
    <xf numFmtId="0" fontId="3" fillId="3" borderId="2" applyNumberFormat="0" applyAlignment="0" applyProtection="0"/>
    <xf numFmtId="0" fontId="4" fillId="3" borderId="1" applyNumberFormat="0" applyAlignment="0" applyProtection="0"/>
    <xf numFmtId="0" fontId="1" fillId="4" borderId="3" applyNumberFormat="0" applyFont="0" applyAlignment="0" applyProtection="0"/>
    <xf numFmtId="0" fontId="5" fillId="0" borderId="0" applyNumberFormat="0" applyFill="0" applyBorder="0" applyAlignment="0" applyProtection="0"/>
    <xf numFmtId="0" fontId="7" fillId="0" borderId="0" applyNumberFormat="0" applyFill="0" applyBorder="0" applyAlignment="0" applyProtection="0"/>
  </cellStyleXfs>
  <cellXfs count="133">
    <xf numFmtId="0" fontId="0" fillId="0" borderId="0" xfId="0"/>
    <xf numFmtId="0" fontId="2" fillId="2" borderId="1" xfId="1"/>
    <xf numFmtId="0" fontId="4" fillId="3" borderId="1" xfId="3"/>
    <xf numFmtId="11" fontId="2" fillId="2" borderId="1" xfId="1" applyNumberFormat="1"/>
    <xf numFmtId="0" fontId="3" fillId="3" borderId="2" xfId="2"/>
    <xf numFmtId="0" fontId="5" fillId="0" borderId="0" xfId="5" applyAlignment="1">
      <alignment horizontal="right"/>
    </xf>
    <xf numFmtId="11" fontId="0" fillId="0" borderId="0" xfId="0" applyNumberFormat="1"/>
    <xf numFmtId="0" fontId="6" fillId="0" borderId="0" xfId="0" applyFont="1"/>
    <xf numFmtId="0" fontId="0" fillId="0" borderId="0" xfId="0" applyAlignment="1">
      <alignment horizontal="right"/>
    </xf>
    <xf numFmtId="0" fontId="0" fillId="0" borderId="0" xfId="0" applyBorder="1"/>
    <xf numFmtId="0" fontId="0" fillId="0" borderId="0" xfId="0" applyBorder="1" applyAlignment="1">
      <alignment horizontal="right"/>
    </xf>
    <xf numFmtId="0" fontId="0" fillId="0" borderId="0" xfId="0" applyFont="1"/>
    <xf numFmtId="11" fontId="4" fillId="3" borderId="1" xfId="3" applyNumberFormat="1"/>
    <xf numFmtId="11" fontId="3" fillId="3" borderId="2" xfId="2" applyNumberFormat="1"/>
    <xf numFmtId="0" fontId="0" fillId="0" borderId="0" xfId="0" applyAlignment="1">
      <alignment horizontal="center" wrapText="1"/>
    </xf>
    <xf numFmtId="0" fontId="0" fillId="0" borderId="0" xfId="0" applyAlignment="1">
      <alignment wrapText="1"/>
    </xf>
    <xf numFmtId="0" fontId="0" fillId="0" borderId="4" xfId="0" applyBorder="1" applyAlignment="1">
      <alignment horizontal="right"/>
    </xf>
    <xf numFmtId="0" fontId="0" fillId="0" borderId="4" xfId="0" applyBorder="1"/>
    <xf numFmtId="0" fontId="5" fillId="0" borderId="4" xfId="5" applyBorder="1" applyAlignment="1">
      <alignment horizontal="right"/>
    </xf>
    <xf numFmtId="11" fontId="3" fillId="3" borderId="2" xfId="2" applyNumberFormat="1" applyBorder="1"/>
    <xf numFmtId="0" fontId="5" fillId="0" borderId="0" xfId="5" applyBorder="1" applyAlignment="1">
      <alignment horizontal="right"/>
    </xf>
    <xf numFmtId="0" fontId="4" fillId="3" borderId="1" xfId="3" applyBorder="1" applyProtection="1"/>
    <xf numFmtId="0" fontId="6" fillId="0" borderId="0" xfId="0" applyFont="1" applyBorder="1" applyAlignment="1"/>
    <xf numFmtId="0" fontId="6" fillId="5" borderId="0" xfId="0" applyFont="1" applyFill="1" applyBorder="1"/>
    <xf numFmtId="0" fontId="0" fillId="0" borderId="0" xfId="0" applyBorder="1" applyAlignment="1"/>
    <xf numFmtId="2" fontId="3" fillId="3" borderId="2" xfId="2" applyNumberFormat="1" applyBorder="1"/>
    <xf numFmtId="2" fontId="3" fillId="3" borderId="6" xfId="2" applyNumberFormat="1" applyBorder="1"/>
    <xf numFmtId="2" fontId="3" fillId="3" borderId="2" xfId="2" applyNumberFormat="1"/>
    <xf numFmtId="0" fontId="0" fillId="0" borderId="0" xfId="0" applyAlignment="1"/>
    <xf numFmtId="0" fontId="0" fillId="0" borderId="0" xfId="0" applyAlignment="1">
      <alignment horizontal="left"/>
    </xf>
    <xf numFmtId="0" fontId="6" fillId="0" borderId="0" xfId="0" applyFont="1" applyAlignment="1"/>
    <xf numFmtId="0" fontId="0" fillId="0" borderId="0" xfId="0" applyFont="1" applyBorder="1" applyAlignment="1">
      <alignment horizontal="center"/>
    </xf>
    <xf numFmtId="2" fontId="2" fillId="2" borderId="1" xfId="1" applyNumberFormat="1" applyBorder="1" applyProtection="1">
      <protection locked="0"/>
    </xf>
    <xf numFmtId="2" fontId="2" fillId="2" borderId="5" xfId="1" applyNumberFormat="1" applyBorder="1" applyProtection="1">
      <protection locked="0"/>
    </xf>
    <xf numFmtId="0" fontId="0" fillId="0" borderId="0" xfId="0" applyProtection="1">
      <protection locked="0"/>
    </xf>
    <xf numFmtId="11" fontId="2" fillId="2" borderId="1" xfId="1" applyNumberFormat="1" applyProtection="1">
      <protection locked="0"/>
    </xf>
    <xf numFmtId="0" fontId="0" fillId="0" borderId="0" xfId="0" applyAlignment="1">
      <alignment horizontal="right"/>
    </xf>
    <xf numFmtId="0" fontId="6" fillId="0" borderId="0" xfId="0" applyFont="1" applyAlignment="1">
      <alignment horizontal="right"/>
    </xf>
    <xf numFmtId="0" fontId="0" fillId="0" borderId="0" xfId="0" applyAlignment="1">
      <alignment horizontal="center"/>
    </xf>
    <xf numFmtId="11" fontId="0" fillId="0" borderId="0" xfId="0" applyNumberFormat="1" applyBorder="1"/>
    <xf numFmtId="0" fontId="7" fillId="0" borderId="0" xfId="6" applyBorder="1" applyAlignment="1">
      <alignment horizontal="center" wrapText="1"/>
    </xf>
    <xf numFmtId="164" fontId="3" fillId="3" borderId="2" xfId="2" applyNumberFormat="1" applyBorder="1"/>
    <xf numFmtId="164" fontId="2" fillId="2" borderId="1" xfId="1" applyNumberFormat="1" applyBorder="1" applyProtection="1">
      <protection locked="0"/>
    </xf>
    <xf numFmtId="164" fontId="2" fillId="2" borderId="5" xfId="1" applyNumberFormat="1" applyBorder="1" applyProtection="1">
      <protection locked="0"/>
    </xf>
    <xf numFmtId="164" fontId="3" fillId="3" borderId="2" xfId="2" applyNumberFormat="1"/>
    <xf numFmtId="0" fontId="0" fillId="0" borderId="8" xfId="0" applyBorder="1" applyAlignment="1"/>
    <xf numFmtId="0" fontId="0" fillId="0" borderId="9" xfId="0" applyBorder="1" applyAlignment="1"/>
    <xf numFmtId="0" fontId="6" fillId="0" borderId="0" xfId="0" applyFont="1" applyAlignment="1">
      <alignment horizontal="center"/>
    </xf>
    <xf numFmtId="0" fontId="0" fillId="0" borderId="0" xfId="0" applyAlignment="1">
      <alignment horizontal="right"/>
    </xf>
    <xf numFmtId="165" fontId="0" fillId="0" borderId="0" xfId="0" applyNumberFormat="1"/>
    <xf numFmtId="0" fontId="0" fillId="0" borderId="0" xfId="0" applyFont="1" applyBorder="1" applyAlignment="1">
      <alignment horizontal="right"/>
    </xf>
    <xf numFmtId="0" fontId="0" fillId="0" borderId="0" xfId="0" applyBorder="1" applyAlignment="1">
      <alignment horizontal="left"/>
    </xf>
    <xf numFmtId="0" fontId="0" fillId="0" borderId="0" xfId="0" applyAlignment="1">
      <alignment horizontal="center" wrapText="1"/>
    </xf>
    <xf numFmtId="0" fontId="0" fillId="0" borderId="0" xfId="0"/>
    <xf numFmtId="0" fontId="0" fillId="0" borderId="0" xfId="0" applyAlignment="1">
      <alignment horizontal="center"/>
    </xf>
    <xf numFmtId="0" fontId="0" fillId="0" borderId="0" xfId="0" applyFont="1" applyBorder="1" applyAlignment="1"/>
    <xf numFmtId="11" fontId="6" fillId="4" borderId="17" xfId="4" applyNumberFormat="1" applyFont="1" applyBorder="1" applyProtection="1">
      <protection locked="0"/>
    </xf>
    <xf numFmtId="0" fontId="6" fillId="7" borderId="4" xfId="0" applyFont="1" applyFill="1" applyBorder="1" applyAlignment="1">
      <alignment horizontal="center"/>
    </xf>
    <xf numFmtId="0" fontId="6" fillId="7" borderId="0" xfId="0" applyFont="1" applyFill="1" applyBorder="1" applyAlignment="1">
      <alignment horizontal="center"/>
    </xf>
    <xf numFmtId="0" fontId="0" fillId="0" borderId="4" xfId="0" applyBorder="1" applyAlignment="1">
      <alignment horizontal="center"/>
    </xf>
    <xf numFmtId="11" fontId="0" fillId="0" borderId="0" xfId="0" applyNumberFormat="1" applyBorder="1" applyAlignment="1">
      <alignment horizontal="center"/>
    </xf>
    <xf numFmtId="11" fontId="0" fillId="0" borderId="15" xfId="0" applyNumberFormat="1" applyBorder="1" applyAlignment="1">
      <alignment horizontal="center"/>
    </xf>
    <xf numFmtId="0" fontId="6" fillId="6" borderId="18" xfId="0" applyFont="1" applyFill="1" applyBorder="1"/>
    <xf numFmtId="2" fontId="2" fillId="2" borderId="18" xfId="1" applyNumberFormat="1" applyBorder="1" applyProtection="1">
      <protection locked="0"/>
    </xf>
    <xf numFmtId="0" fontId="4" fillId="3" borderId="18" xfId="3" applyBorder="1"/>
    <xf numFmtId="164" fontId="4" fillId="3" borderId="18" xfId="3" applyNumberFormat="1" applyBorder="1"/>
    <xf numFmtId="2" fontId="4" fillId="3" borderId="18" xfId="3" applyNumberFormat="1" applyBorder="1"/>
    <xf numFmtId="0" fontId="0" fillId="0" borderId="18" xfId="0" applyBorder="1"/>
    <xf numFmtId="2" fontId="2" fillId="2" borderId="1" xfId="1" applyNumberFormat="1"/>
    <xf numFmtId="164" fontId="4" fillId="3" borderId="1" xfId="3" applyNumberFormat="1"/>
    <xf numFmtId="2" fontId="4" fillId="3" borderId="1" xfId="3" applyNumberFormat="1"/>
    <xf numFmtId="0" fontId="0" fillId="0" borderId="18" xfId="0" applyFont="1" applyBorder="1"/>
    <xf numFmtId="11" fontId="6" fillId="4" borderId="19" xfId="4" applyNumberFormat="1" applyFont="1" applyBorder="1" applyProtection="1">
      <protection locked="0"/>
    </xf>
    <xf numFmtId="0" fontId="0" fillId="4" borderId="20" xfId="4" applyFont="1" applyBorder="1" applyProtection="1">
      <protection locked="0"/>
    </xf>
    <xf numFmtId="0" fontId="4" fillId="3" borderId="24" xfId="3" applyBorder="1"/>
    <xf numFmtId="11" fontId="2" fillId="2" borderId="7" xfId="1" applyNumberFormat="1" applyBorder="1" applyProtection="1">
      <protection locked="0"/>
    </xf>
    <xf numFmtId="0" fontId="3" fillId="3" borderId="25" xfId="2" applyBorder="1"/>
    <xf numFmtId="0" fontId="6" fillId="10" borderId="21" xfId="0" applyFont="1" applyFill="1" applyBorder="1"/>
    <xf numFmtId="0" fontId="6" fillId="10" borderId="22" xfId="0" applyFont="1" applyFill="1" applyBorder="1"/>
    <xf numFmtId="0" fontId="6" fillId="10" borderId="23" xfId="0" applyFont="1" applyFill="1" applyBorder="1"/>
    <xf numFmtId="0" fontId="3" fillId="3" borderId="2" xfId="2" applyNumberFormat="1"/>
    <xf numFmtId="0" fontId="0" fillId="11" borderId="0" xfId="0" applyFill="1" applyBorder="1" applyAlignment="1">
      <alignment horizontal="center" wrapText="1"/>
    </xf>
    <xf numFmtId="0" fontId="0" fillId="0" borderId="0" xfId="0" applyFill="1" applyAlignment="1">
      <alignment horizontal="center" wrapText="1"/>
    </xf>
    <xf numFmtId="0" fontId="0" fillId="0" borderId="0" xfId="0" applyFill="1"/>
    <xf numFmtId="0" fontId="6" fillId="0" borderId="0" xfId="0" applyFont="1" applyFill="1" applyBorder="1" applyAlignment="1">
      <alignment horizontal="center"/>
    </xf>
    <xf numFmtId="0" fontId="0" fillId="0" borderId="14" xfId="0" applyFill="1" applyBorder="1" applyAlignment="1">
      <alignment horizontal="center"/>
    </xf>
    <xf numFmtId="0" fontId="0" fillId="6" borderId="12" xfId="0" applyFill="1" applyBorder="1"/>
    <xf numFmtId="0" fontId="7" fillId="0" borderId="15" xfId="6" applyBorder="1" applyAlignment="1">
      <alignment horizontal="center"/>
    </xf>
    <xf numFmtId="0" fontId="7" fillId="0" borderId="16" xfId="6" applyBorder="1" applyAlignment="1">
      <alignment horizontal="center"/>
    </xf>
    <xf numFmtId="0" fontId="6" fillId="6" borderId="10" xfId="0" applyFont="1" applyFill="1" applyBorder="1" applyAlignment="1">
      <alignment horizontal="center"/>
    </xf>
    <xf numFmtId="0" fontId="6" fillId="6" borderId="11" xfId="0" applyFont="1" applyFill="1" applyBorder="1" applyAlignment="1">
      <alignment horizontal="center"/>
    </xf>
    <xf numFmtId="0" fontId="6" fillId="7" borderId="0" xfId="0" applyFont="1" applyFill="1" applyBorder="1" applyAlignment="1">
      <alignment horizontal="center"/>
    </xf>
    <xf numFmtId="0" fontId="6" fillId="7" borderId="13" xfId="0" applyFont="1" applyFill="1" applyBorder="1" applyAlignment="1">
      <alignment horizontal="center"/>
    </xf>
    <xf numFmtId="0" fontId="7" fillId="0" borderId="0" xfId="6" applyBorder="1" applyAlignment="1">
      <alignment horizontal="center" wrapText="1"/>
    </xf>
    <xf numFmtId="0" fontId="7" fillId="0" borderId="13" xfId="6" applyBorder="1" applyAlignment="1">
      <alignment horizontal="center" wrapText="1"/>
    </xf>
    <xf numFmtId="0" fontId="10" fillId="0" borderId="10" xfId="0" applyFont="1" applyBorder="1" applyAlignment="1">
      <alignment horizontal="center" wrapText="1"/>
    </xf>
    <xf numFmtId="0" fontId="10" fillId="0" borderId="11" xfId="0" applyFont="1" applyBorder="1" applyAlignment="1">
      <alignment horizontal="center" wrapText="1"/>
    </xf>
    <xf numFmtId="0" fontId="10" fillId="0" borderId="12" xfId="0" applyFont="1" applyBorder="1" applyAlignment="1">
      <alignment horizontal="center" wrapText="1"/>
    </xf>
    <xf numFmtId="0" fontId="10" fillId="0" borderId="4" xfId="0" applyFont="1" applyBorder="1" applyAlignment="1">
      <alignment horizontal="center" wrapText="1"/>
    </xf>
    <xf numFmtId="0" fontId="10" fillId="0" borderId="0" xfId="0" applyFont="1" applyBorder="1" applyAlignment="1">
      <alignment horizontal="center" wrapText="1"/>
    </xf>
    <xf numFmtId="0" fontId="10" fillId="0" borderId="13" xfId="0" applyFont="1" applyBorder="1" applyAlignment="1">
      <alignment horizontal="center" wrapText="1"/>
    </xf>
    <xf numFmtId="0" fontId="10" fillId="0" borderId="14" xfId="0" applyFont="1" applyBorder="1" applyAlignment="1">
      <alignment horizontal="center" wrapText="1"/>
    </xf>
    <xf numFmtId="0" fontId="10" fillId="0" borderId="15" xfId="0" applyFont="1" applyBorder="1" applyAlignment="1">
      <alignment horizontal="center" wrapText="1"/>
    </xf>
    <xf numFmtId="0" fontId="10" fillId="0" borderId="16" xfId="0" applyFont="1" applyBorder="1" applyAlignment="1">
      <alignment horizontal="center" wrapText="1"/>
    </xf>
    <xf numFmtId="0" fontId="6" fillId="8" borderId="21" xfId="0" applyFont="1" applyFill="1" applyBorder="1" applyAlignment="1">
      <alignment horizontal="center"/>
    </xf>
    <xf numFmtId="0" fontId="6" fillId="8" borderId="22" xfId="0" applyFont="1" applyFill="1" applyBorder="1" applyAlignment="1">
      <alignment horizontal="center"/>
    </xf>
    <xf numFmtId="0" fontId="6" fillId="8" borderId="23" xfId="0" applyFont="1" applyFill="1" applyBorder="1" applyAlignment="1">
      <alignment horizontal="center"/>
    </xf>
    <xf numFmtId="0" fontId="0" fillId="0" borderId="0" xfId="0" applyBorder="1" applyAlignment="1">
      <alignment horizontal="center"/>
    </xf>
    <xf numFmtId="0" fontId="0" fillId="0" borderId="0" xfId="0" applyBorder="1" applyAlignment="1">
      <alignment horizontal="left"/>
    </xf>
    <xf numFmtId="0" fontId="0" fillId="0" borderId="0" xfId="0" applyFill="1" applyBorder="1" applyAlignment="1">
      <alignment horizontal="center"/>
    </xf>
    <xf numFmtId="0" fontId="0" fillId="0" borderId="0" xfId="0" applyAlignment="1">
      <alignment horizontal="center"/>
    </xf>
    <xf numFmtId="0" fontId="0" fillId="0" borderId="0" xfId="0" applyAlignment="1">
      <alignment horizontal="right"/>
    </xf>
    <xf numFmtId="0" fontId="0" fillId="0" borderId="0" xfId="0" applyBorder="1" applyAlignment="1">
      <alignment horizontal="right"/>
    </xf>
    <xf numFmtId="0" fontId="6" fillId="9" borderId="21" xfId="0" applyFont="1" applyFill="1" applyBorder="1" applyAlignment="1">
      <alignment horizontal="center"/>
    </xf>
    <xf numFmtId="0" fontId="6" fillId="9" borderId="22" xfId="0" applyFont="1" applyFill="1" applyBorder="1" applyAlignment="1">
      <alignment horizontal="center"/>
    </xf>
    <xf numFmtId="0" fontId="6" fillId="9" borderId="23" xfId="0" applyFont="1" applyFill="1" applyBorder="1" applyAlignment="1">
      <alignment horizontal="center"/>
    </xf>
    <xf numFmtId="0" fontId="6" fillId="0" borderId="0" xfId="0" applyFont="1" applyAlignment="1">
      <alignment horizontal="center"/>
    </xf>
    <xf numFmtId="0" fontId="0" fillId="0" borderId="0" xfId="0" applyFont="1" applyBorder="1" applyAlignment="1">
      <alignment horizontal="center"/>
    </xf>
    <xf numFmtId="0" fontId="18" fillId="0" borderId="10" xfId="0" applyFont="1" applyBorder="1" applyAlignment="1">
      <alignment horizontal="center" wrapText="1"/>
    </xf>
    <xf numFmtId="0" fontId="18" fillId="0" borderId="11" xfId="0" applyFont="1" applyBorder="1" applyAlignment="1">
      <alignment horizontal="center" wrapText="1"/>
    </xf>
    <xf numFmtId="0" fontId="18" fillId="0" borderId="12" xfId="0" applyFont="1" applyBorder="1" applyAlignment="1">
      <alignment horizontal="center" wrapText="1"/>
    </xf>
    <xf numFmtId="0" fontId="18" fillId="0" borderId="4" xfId="0" applyFont="1" applyBorder="1" applyAlignment="1">
      <alignment horizontal="center" wrapText="1"/>
    </xf>
    <xf numFmtId="0" fontId="18" fillId="0" borderId="0" xfId="0" applyFont="1" applyBorder="1" applyAlignment="1">
      <alignment horizontal="center" wrapText="1"/>
    </xf>
    <xf numFmtId="0" fontId="18" fillId="0" borderId="13" xfId="0" applyFont="1" applyBorder="1" applyAlignment="1">
      <alignment horizontal="center" wrapText="1"/>
    </xf>
    <xf numFmtId="0" fontId="18" fillId="0" borderId="14" xfId="0" applyFont="1" applyBorder="1" applyAlignment="1">
      <alignment horizontal="center" wrapText="1"/>
    </xf>
    <xf numFmtId="0" fontId="18" fillId="0" borderId="15" xfId="0" applyFont="1" applyBorder="1" applyAlignment="1">
      <alignment horizontal="center" wrapText="1"/>
    </xf>
    <xf numFmtId="0" fontId="18" fillId="0" borderId="16" xfId="0" applyFont="1"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cellXfs>
  <cellStyles count="7">
    <cellStyle name="Calculation" xfId="3" builtinId="22"/>
    <cellStyle name="Explanatory Text" xfId="5" builtinId="53"/>
    <cellStyle name="Hyperlink" xfId="6" builtinId="8"/>
    <cellStyle name="Input" xfId="1" builtinId="20"/>
    <cellStyle name="Normal" xfId="0" builtinId="0"/>
    <cellStyle name="Note" xfId="4" builtinId="10"/>
    <cellStyle name="Output" xfId="2" builtinId="21"/>
  </cellStyles>
  <dxfs count="0"/>
  <tableStyles count="0" defaultTableStyle="TableStyleMedium2" defaultPivotStyle="PivotStyleLight16"/>
  <colors>
    <mruColors>
      <color rgb="FFEC8D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P(t)</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xVal>
            <c:numRef>
              <c:f>'Switching Frequency'!$G$10:$G$30</c:f>
              <c:numCache>
                <c:formatCode>General</c:formatCode>
                <c:ptCount val="21"/>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numCache>
            </c:numRef>
          </c:xVal>
          <c:yVal>
            <c:numRef>
              <c:f>'Switching Frequency'!$H$10:$H$30</c:f>
              <c:numCache>
                <c:formatCode>0.00E+00</c:formatCode>
                <c:ptCount val="21"/>
                <c:pt idx="0">
                  <c:v>101352.97199999999</c:v>
                </c:pt>
                <c:pt idx="1">
                  <c:v>84004.62958811615</c:v>
                </c:pt>
                <c:pt idx="2">
                  <c:v>73391.893719519343</c:v>
                </c:pt>
                <c:pt idx="3">
                  <c:v>66469.570296422258</c:v>
                </c:pt>
                <c:pt idx="4">
                  <c:v>61763.683504657514</c:v>
                </c:pt>
                <c:pt idx="5">
                  <c:v>58473.935205883558</c:v>
                </c:pt>
                <c:pt idx="6">
                  <c:v>56129.010284350377</c:v>
                </c:pt>
                <c:pt idx="7">
                  <c:v>54434.290153587484</c:v>
                </c:pt>
                <c:pt idx="8">
                  <c:v>53197.212337845078</c:v>
                </c:pt>
                <c:pt idx="9">
                  <c:v>52287.608040585961</c:v>
                </c:pt>
                <c:pt idx="10">
                  <c:v>51615.20968154358</c:v>
                </c:pt>
                <c:pt idx="11">
                  <c:v>51116.194691832716</c:v>
                </c:pt>
                <c:pt idx="12">
                  <c:v>50744.769774332504</c:v>
                </c:pt>
                <c:pt idx="13">
                  <c:v>50467.709807573512</c:v>
                </c:pt>
                <c:pt idx="14">
                  <c:v>50260.704510532974</c:v>
                </c:pt>
                <c:pt idx="15">
                  <c:v>50105.85290007585</c:v>
                </c:pt>
                <c:pt idx="16">
                  <c:v>49989.910082443443</c:v>
                </c:pt>
                <c:pt idx="17">
                  <c:v>49903.040679877144</c:v>
                </c:pt>
                <c:pt idx="18">
                  <c:v>49837.92123007647</c:v>
                </c:pt>
                <c:pt idx="19">
                  <c:v>49789.087466708916</c:v>
                </c:pt>
                <c:pt idx="20">
                  <c:v>49752.456040005134</c:v>
                </c:pt>
              </c:numCache>
            </c:numRef>
          </c:yVal>
          <c:smooth val="0"/>
          <c:extLst>
            <c:ext xmlns:c16="http://schemas.microsoft.com/office/drawing/2014/chart" uri="{C3380CC4-5D6E-409C-BE32-E72D297353CC}">
              <c16:uniqueId val="{00000000-5AB5-4849-9922-05811736DC1E}"/>
            </c:ext>
          </c:extLst>
        </c:ser>
        <c:dLbls>
          <c:showLegendKey val="0"/>
          <c:showVal val="0"/>
          <c:showCatName val="0"/>
          <c:showSerName val="0"/>
          <c:showPercent val="0"/>
          <c:showBubbleSize val="0"/>
        </c:dLbls>
        <c:axId val="979096720"/>
        <c:axId val="979131104"/>
      </c:scatterChart>
      <c:valAx>
        <c:axId val="979096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t>
                </a:r>
                <a:r>
                  <a:rPr lang="en-US" baseline="0"/>
                  <a:t> [s]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131104"/>
        <c:crosses val="autoZero"/>
        <c:crossBetween val="midCat"/>
      </c:valAx>
      <c:valAx>
        <c:axId val="97913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 [Pa]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096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958850</xdr:colOff>
      <xdr:row>8</xdr:row>
      <xdr:rowOff>69850</xdr:rowOff>
    </xdr:from>
    <xdr:ext cx="1026563" cy="31797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F71702E-6A6D-004A-89DD-0B451AA5A584}"/>
                </a:ext>
              </a:extLst>
            </xdr:cNvPr>
            <xdr:cNvSpPr txBox="1"/>
          </xdr:nvSpPr>
          <xdr:spPr>
            <a:xfrm>
              <a:off x="8705850" y="1530350"/>
              <a:ext cx="1026563"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𝑅</m:t>
                        </m:r>
                      </m:e>
                      <m:sub>
                        <m:r>
                          <a:rPr lang="en-US" sz="1100" b="0" i="1">
                            <a:latin typeface="Cambria Math" panose="02040503050406030204" pitchFamily="18" charset="0"/>
                          </a:rPr>
                          <m:t>h</m:t>
                        </m:r>
                        <m:r>
                          <a:rPr lang="en-US" sz="1100" b="0" i="1">
                            <a:latin typeface="Cambria Math" panose="02040503050406030204" pitchFamily="18" charset="0"/>
                          </a:rPr>
                          <m:t>, </m:t>
                        </m:r>
                        <m:r>
                          <a:rPr lang="en-US" sz="1100" b="0" i="1">
                            <a:latin typeface="Cambria Math" panose="02040503050406030204" pitchFamily="18" charset="0"/>
                          </a:rPr>
                          <m:t>𝑠𝑞</m:t>
                        </m:r>
                      </m:sub>
                    </m:sSub>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28.4 </m:t>
                        </m:r>
                        <m:r>
                          <a:rPr lang="en-US" sz="1100" b="0" i="1">
                            <a:latin typeface="Cambria Math" panose="02040503050406030204" pitchFamily="18" charset="0"/>
                            <a:ea typeface="Cambria Math" panose="02040503050406030204" pitchFamily="18" charset="0"/>
                          </a:rPr>
                          <m:t>𝜇</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𝐿</m:t>
                        </m:r>
                      </m:num>
                      <m:den>
                        <m:sSup>
                          <m:sSupPr>
                            <m:ctrlPr>
                              <a:rPr lang="en-US" sz="1100" b="0" i="1">
                                <a:latin typeface="Cambria Math" panose="02040503050406030204" pitchFamily="18" charset="0"/>
                              </a:rPr>
                            </m:ctrlPr>
                          </m:sSupPr>
                          <m:e>
                            <m:r>
                              <a:rPr lang="en-US" sz="1100" b="0" i="1">
                                <a:latin typeface="Cambria Math" panose="02040503050406030204" pitchFamily="18" charset="0"/>
                              </a:rPr>
                              <m:t>h</m:t>
                            </m:r>
                          </m:e>
                          <m:sup>
                            <m:r>
                              <a:rPr lang="en-US" sz="1100" b="0" i="1">
                                <a:latin typeface="Cambria Math" panose="02040503050406030204" pitchFamily="18" charset="0"/>
                              </a:rPr>
                              <m:t>4</m:t>
                            </m:r>
                          </m:sup>
                        </m:sSup>
                      </m:den>
                    </m:f>
                  </m:oMath>
                </m:oMathPara>
              </a14:m>
              <a:endParaRPr lang="en-US" sz="1100"/>
            </a:p>
          </xdr:txBody>
        </xdr:sp>
      </mc:Choice>
      <mc:Fallback xmlns="">
        <xdr:sp macro="" textlink="">
          <xdr:nvSpPr>
            <xdr:cNvPr id="5" name="TextBox 4">
              <a:extLst>
                <a:ext uri="{FF2B5EF4-FFF2-40B4-BE49-F238E27FC236}">
                  <a16:creationId xmlns:a16="http://schemas.microsoft.com/office/drawing/2014/main" id="{7F71702E-6A6D-004A-89DD-0B451AA5A584}"/>
                </a:ext>
              </a:extLst>
            </xdr:cNvPr>
            <xdr:cNvSpPr txBox="1"/>
          </xdr:nvSpPr>
          <xdr:spPr>
            <a:xfrm>
              <a:off x="8705850" y="1530350"/>
              <a:ext cx="1026563"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𝑅_(ℎ, 𝑠𝑞)=  (28.4 </a:t>
              </a:r>
              <a:r>
                <a:rPr lang="en-US" sz="1100" b="0" i="0">
                  <a:latin typeface="Cambria Math" panose="02040503050406030204" pitchFamily="18" charset="0"/>
                  <a:ea typeface="Cambria Math" panose="02040503050406030204" pitchFamily="18" charset="0"/>
                </a:rPr>
                <a:t>𝜇 𝐿)/</a:t>
              </a:r>
              <a:r>
                <a:rPr lang="en-US" sz="1100" b="0" i="0">
                  <a:latin typeface="Cambria Math" panose="02040503050406030204" pitchFamily="18" charset="0"/>
                </a:rPr>
                <a:t>ℎ^4 </a:t>
              </a:r>
              <a:endParaRPr lang="en-US" sz="1100"/>
            </a:p>
          </xdr:txBody>
        </xdr:sp>
      </mc:Fallback>
    </mc:AlternateContent>
    <xdr:clientData/>
  </xdr:oneCellAnchor>
  <xdr:oneCellAnchor>
    <xdr:from>
      <xdr:col>13</xdr:col>
      <xdr:colOff>323850</xdr:colOff>
      <xdr:row>8</xdr:row>
      <xdr:rowOff>57150</xdr:rowOff>
    </xdr:from>
    <xdr:ext cx="883896" cy="31797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D46A4FE7-F2AA-9343-B20B-86BD82F16306}"/>
                </a:ext>
              </a:extLst>
            </xdr:cNvPr>
            <xdr:cNvSpPr txBox="1"/>
          </xdr:nvSpPr>
          <xdr:spPr>
            <a:xfrm>
              <a:off x="14573250" y="1517650"/>
              <a:ext cx="88389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𝑅</m:t>
                        </m:r>
                      </m:e>
                      <m:sub>
                        <m:r>
                          <a:rPr lang="en-US" sz="1100" b="0" i="1">
                            <a:latin typeface="Cambria Math" panose="02040503050406030204" pitchFamily="18" charset="0"/>
                          </a:rPr>
                          <m:t>h</m:t>
                        </m:r>
                        <m:r>
                          <a:rPr lang="en-US" sz="1100" b="0" i="1">
                            <a:latin typeface="Cambria Math" panose="02040503050406030204" pitchFamily="18" charset="0"/>
                          </a:rPr>
                          <m:t>, </m:t>
                        </m:r>
                        <m:r>
                          <a:rPr lang="en-US" sz="1100" b="0" i="1">
                            <a:latin typeface="Cambria Math" panose="02040503050406030204" pitchFamily="18" charset="0"/>
                          </a:rPr>
                          <m:t>𝑐𝑦𝑙</m:t>
                        </m:r>
                      </m:sub>
                    </m:sSub>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8 </m:t>
                        </m:r>
                        <m:r>
                          <a:rPr lang="en-US" sz="1100" b="0" i="1">
                            <a:latin typeface="Cambria Math" panose="02040503050406030204" pitchFamily="18" charset="0"/>
                            <a:ea typeface="Cambria Math" panose="02040503050406030204" pitchFamily="18" charset="0"/>
                          </a:rPr>
                          <m:t>𝜇</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𝐿</m:t>
                        </m:r>
                      </m:num>
                      <m:den>
                        <m:sSup>
                          <m:sSupPr>
                            <m:ctrlPr>
                              <a:rPr lang="en-US" sz="1100" b="0" i="1">
                                <a:latin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𝜋</m:t>
                            </m:r>
                            <m:r>
                              <a:rPr lang="en-US" sz="1100" b="0" i="1">
                                <a:latin typeface="Cambria Math" panose="02040503050406030204" pitchFamily="18" charset="0"/>
                              </a:rPr>
                              <m:t>𝑟</m:t>
                            </m:r>
                          </m:e>
                          <m:sup>
                            <m:r>
                              <a:rPr lang="en-US" sz="1100" b="0" i="1">
                                <a:latin typeface="Cambria Math" panose="02040503050406030204" pitchFamily="18" charset="0"/>
                              </a:rPr>
                              <m:t>4</m:t>
                            </m:r>
                          </m:sup>
                        </m:sSup>
                      </m:den>
                    </m:f>
                  </m:oMath>
                </m:oMathPara>
              </a14:m>
              <a:endParaRPr lang="en-US" sz="1100"/>
            </a:p>
          </xdr:txBody>
        </xdr:sp>
      </mc:Choice>
      <mc:Fallback xmlns="">
        <xdr:sp macro="" textlink="">
          <xdr:nvSpPr>
            <xdr:cNvPr id="6" name="TextBox 5">
              <a:extLst>
                <a:ext uri="{FF2B5EF4-FFF2-40B4-BE49-F238E27FC236}">
                  <a16:creationId xmlns:a16="http://schemas.microsoft.com/office/drawing/2014/main" id="{D46A4FE7-F2AA-9343-B20B-86BD82F16306}"/>
                </a:ext>
              </a:extLst>
            </xdr:cNvPr>
            <xdr:cNvSpPr txBox="1"/>
          </xdr:nvSpPr>
          <xdr:spPr>
            <a:xfrm>
              <a:off x="14573250" y="1517650"/>
              <a:ext cx="88389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𝑅_(ℎ, 𝑐𝑦𝑙)=  (8 </a:t>
              </a:r>
              <a:r>
                <a:rPr lang="en-US" sz="1100" b="0" i="0">
                  <a:latin typeface="Cambria Math" panose="02040503050406030204" pitchFamily="18" charset="0"/>
                  <a:ea typeface="Cambria Math" panose="02040503050406030204" pitchFamily="18" charset="0"/>
                </a:rPr>
                <a:t>𝜇 𝐿)/〖𝜋</a:t>
              </a:r>
              <a:r>
                <a:rPr lang="en-US" sz="1100" b="0" i="0">
                  <a:latin typeface="Cambria Math" panose="02040503050406030204" pitchFamily="18" charset="0"/>
                </a:rPr>
                <a:t>𝑟〗^4 </a:t>
              </a:r>
              <a:endParaRPr lang="en-US" sz="1100"/>
            </a:p>
          </xdr:txBody>
        </xdr:sp>
      </mc:Fallback>
    </mc:AlternateContent>
    <xdr:clientData/>
  </xdr:oneCellAnchor>
  <xdr:oneCellAnchor>
    <xdr:from>
      <xdr:col>0</xdr:col>
      <xdr:colOff>1092200</xdr:colOff>
      <xdr:row>7</xdr:row>
      <xdr:rowOff>127000</xdr:rowOff>
    </xdr:from>
    <xdr:ext cx="1822037" cy="45788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6B2B129C-6DED-BB45-9566-BA1C1695EFE7}"/>
                </a:ext>
              </a:extLst>
            </xdr:cNvPr>
            <xdr:cNvSpPr txBox="1"/>
          </xdr:nvSpPr>
          <xdr:spPr>
            <a:xfrm>
              <a:off x="1092200" y="1384300"/>
              <a:ext cx="1822037" cy="457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𝑅</m:t>
                        </m:r>
                      </m:e>
                      <m:sub>
                        <m:r>
                          <a:rPr lang="en-US" sz="1100" b="0" i="1">
                            <a:latin typeface="Cambria Math" panose="02040503050406030204" pitchFamily="18" charset="0"/>
                          </a:rPr>
                          <m:t>h</m:t>
                        </m:r>
                        <m:r>
                          <a:rPr lang="en-US" sz="1100" b="0" i="1">
                            <a:latin typeface="Cambria Math" panose="02040503050406030204" pitchFamily="18" charset="0"/>
                          </a:rPr>
                          <m:t>,</m:t>
                        </m:r>
                        <m:r>
                          <a:rPr lang="en-US" sz="1100" b="0" i="1">
                            <a:latin typeface="Cambria Math" panose="02040503050406030204" pitchFamily="18" charset="0"/>
                          </a:rPr>
                          <m:t>𝑟𝑒𝑐𝑡</m:t>
                        </m:r>
                      </m:sub>
                    </m:sSub>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 </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12 </m:t>
                        </m:r>
                        <m:r>
                          <a:rPr lang="en-US" sz="1100" b="0" i="1">
                            <a:latin typeface="Cambria Math" panose="02040503050406030204" pitchFamily="18" charset="0"/>
                            <a:ea typeface="Cambria Math" panose="02040503050406030204" pitchFamily="18" charset="0"/>
                          </a:rPr>
                          <m:t>𝜇</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𝐿</m:t>
                        </m:r>
                      </m:num>
                      <m:den>
                        <m:r>
                          <a:rPr lang="en-US" sz="1100" b="0" i="1">
                            <a:latin typeface="Cambria Math" panose="02040503050406030204" pitchFamily="18" charset="0"/>
                            <a:ea typeface="Cambria Math" panose="02040503050406030204" pitchFamily="18" charset="0"/>
                          </a:rPr>
                          <m:t>𝑤</m:t>
                        </m:r>
                        <m:r>
                          <a:rPr lang="en-US" sz="1100" b="0" i="1">
                            <a:latin typeface="Cambria Math" panose="02040503050406030204" pitchFamily="18" charset="0"/>
                            <a:ea typeface="Cambria Math" panose="02040503050406030204" pitchFamily="18" charset="0"/>
                          </a:rPr>
                          <m:t> </m:t>
                        </m:r>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h</m:t>
                            </m:r>
                          </m:e>
                          <m:sup>
                            <m:r>
                              <a:rPr lang="en-US" sz="1100" b="0" i="1">
                                <a:latin typeface="Cambria Math" panose="02040503050406030204" pitchFamily="18" charset="0"/>
                                <a:ea typeface="Cambria Math" panose="02040503050406030204" pitchFamily="18" charset="0"/>
                              </a:rPr>
                              <m:t>3</m:t>
                            </m:r>
                          </m:sup>
                        </m:sSup>
                        <m:r>
                          <a:rPr lang="en-US" sz="1100" b="0" i="1">
                            <a:latin typeface="Cambria Math" panose="02040503050406030204" pitchFamily="18" charset="0"/>
                            <a:ea typeface="Cambria Math" panose="02040503050406030204" pitchFamily="18" charset="0"/>
                          </a:rPr>
                          <m:t> (1−0.630 </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h</m:t>
                            </m:r>
                          </m:num>
                          <m:den>
                            <m:r>
                              <a:rPr lang="en-US" sz="1100" b="0" i="1">
                                <a:latin typeface="Cambria Math" panose="02040503050406030204" pitchFamily="18" charset="0"/>
                                <a:ea typeface="Cambria Math" panose="02040503050406030204" pitchFamily="18" charset="0"/>
                              </a:rPr>
                              <m:t>𝑤</m:t>
                            </m:r>
                          </m:den>
                        </m:f>
                        <m:r>
                          <a:rPr lang="en-US" sz="1100" b="0" i="1">
                            <a:latin typeface="Cambria Math" panose="02040503050406030204" pitchFamily="18" charset="0"/>
                            <a:ea typeface="Cambria Math" panose="02040503050406030204" pitchFamily="18" charset="0"/>
                          </a:rPr>
                          <m:t>)</m:t>
                        </m:r>
                      </m:den>
                    </m:f>
                  </m:oMath>
                </m:oMathPara>
              </a14:m>
              <a:endParaRPr lang="en-US" sz="1100"/>
            </a:p>
          </xdr:txBody>
        </xdr:sp>
      </mc:Choice>
      <mc:Fallback xmlns="">
        <xdr:sp macro="" textlink="">
          <xdr:nvSpPr>
            <xdr:cNvPr id="7" name="TextBox 6">
              <a:extLst>
                <a:ext uri="{FF2B5EF4-FFF2-40B4-BE49-F238E27FC236}">
                  <a16:creationId xmlns:a16="http://schemas.microsoft.com/office/drawing/2014/main" id="{6B2B129C-6DED-BB45-9566-BA1C1695EFE7}"/>
                </a:ext>
              </a:extLst>
            </xdr:cNvPr>
            <xdr:cNvSpPr txBox="1"/>
          </xdr:nvSpPr>
          <xdr:spPr>
            <a:xfrm>
              <a:off x="1092200" y="1384300"/>
              <a:ext cx="1822037" cy="457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𝑅_(ℎ,𝑟𝑒𝑐𝑡)</a:t>
              </a:r>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  (12 𝜇 𝐿)/(𝑤 ℎ^3  (1−0.630 ℎ/𝑤))</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130313</xdr:colOff>
      <xdr:row>15</xdr:row>
      <xdr:rowOff>114299</xdr:rowOff>
    </xdr:from>
    <xdr:to>
      <xdr:col>0</xdr:col>
      <xdr:colOff>409872</xdr:colOff>
      <xdr:row>19</xdr:row>
      <xdr:rowOff>60186</xdr:rowOff>
    </xdr:to>
    <xdr:sp macro="" textlink="">
      <xdr:nvSpPr>
        <xdr:cNvPr id="2" name="Cube 1">
          <a:extLst>
            <a:ext uri="{FF2B5EF4-FFF2-40B4-BE49-F238E27FC236}">
              <a16:creationId xmlns:a16="http://schemas.microsoft.com/office/drawing/2014/main" id="{21A77096-397A-2945-BE41-501AE4B44916}"/>
            </a:ext>
          </a:extLst>
        </xdr:cNvPr>
        <xdr:cNvSpPr/>
      </xdr:nvSpPr>
      <xdr:spPr>
        <a:xfrm>
          <a:off x="130313" y="2552699"/>
          <a:ext cx="279559" cy="758687"/>
        </a:xfrm>
        <a:prstGeom prst="cube">
          <a:avLst/>
        </a:prstGeom>
      </xdr:spPr>
      <xdr:style>
        <a:lnRef idx="2">
          <a:schemeClr val="accent5">
            <a:shade val="50000"/>
          </a:schemeClr>
        </a:lnRef>
        <a:fillRef idx="1">
          <a:schemeClr val="accent5"/>
        </a:fillRef>
        <a:effectRef idx="0">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130181</xdr:colOff>
      <xdr:row>22</xdr:row>
      <xdr:rowOff>23392</xdr:rowOff>
    </xdr:from>
    <xdr:to>
      <xdr:col>0</xdr:col>
      <xdr:colOff>395721</xdr:colOff>
      <xdr:row>26</xdr:row>
      <xdr:rowOff>49893</xdr:rowOff>
    </xdr:to>
    <xdr:sp macro="" textlink="">
      <xdr:nvSpPr>
        <xdr:cNvPr id="3" name="Can 2">
          <a:extLst>
            <a:ext uri="{FF2B5EF4-FFF2-40B4-BE49-F238E27FC236}">
              <a16:creationId xmlns:a16="http://schemas.microsoft.com/office/drawing/2014/main" id="{5C5F5C78-7978-054F-81E6-CF9CFD769D41}"/>
            </a:ext>
          </a:extLst>
        </xdr:cNvPr>
        <xdr:cNvSpPr/>
      </xdr:nvSpPr>
      <xdr:spPr>
        <a:xfrm>
          <a:off x="130181" y="3884192"/>
          <a:ext cx="265540" cy="839301"/>
        </a:xfrm>
        <a:prstGeom prst="can">
          <a:avLst/>
        </a:prstGeom>
      </xdr:spPr>
      <xdr:style>
        <a:lnRef idx="2">
          <a:schemeClr val="accent5">
            <a:shade val="50000"/>
          </a:schemeClr>
        </a:lnRef>
        <a:fillRef idx="1">
          <a:schemeClr val="accent5"/>
        </a:fillRef>
        <a:effectRef idx="0">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oneCellAnchor>
    <xdr:from>
      <xdr:col>6</xdr:col>
      <xdr:colOff>217648</xdr:colOff>
      <xdr:row>9</xdr:row>
      <xdr:rowOff>49517</xdr:rowOff>
    </xdr:from>
    <xdr:ext cx="1490986" cy="374783"/>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A1F03238-0BA9-444B-867C-41A001B4DF74}"/>
                </a:ext>
              </a:extLst>
            </xdr:cNvPr>
            <xdr:cNvSpPr txBox="1"/>
          </xdr:nvSpPr>
          <xdr:spPr>
            <a:xfrm>
              <a:off x="5196498" y="1667924"/>
              <a:ext cx="1490986" cy="3747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900" i="1">
                            <a:latin typeface="Cambria Math" panose="02040503050406030204" pitchFamily="18" charset="0"/>
                          </a:rPr>
                        </m:ctrlPr>
                      </m:sSubPr>
                      <m:e>
                        <m:r>
                          <a:rPr lang="en-US" sz="900" b="0" i="1">
                            <a:latin typeface="Cambria Math" panose="02040503050406030204" pitchFamily="18" charset="0"/>
                          </a:rPr>
                          <m:t>𝑅</m:t>
                        </m:r>
                      </m:e>
                      <m:sub>
                        <m:r>
                          <a:rPr lang="en-US" sz="900" b="0" i="1">
                            <a:latin typeface="Cambria Math" panose="02040503050406030204" pitchFamily="18" charset="0"/>
                          </a:rPr>
                          <m:t>h</m:t>
                        </m:r>
                        <m:r>
                          <a:rPr lang="en-US" sz="900" b="0" i="1">
                            <a:latin typeface="Cambria Math" panose="02040503050406030204" pitchFamily="18" charset="0"/>
                          </a:rPr>
                          <m:t>,</m:t>
                        </m:r>
                        <m:r>
                          <a:rPr lang="en-US" sz="900" b="0" i="1">
                            <a:latin typeface="Cambria Math" panose="02040503050406030204" pitchFamily="18" charset="0"/>
                          </a:rPr>
                          <m:t>𝑟𝑒𝑐𝑡</m:t>
                        </m:r>
                      </m:sub>
                    </m:sSub>
                    <m:r>
                      <a:rPr lang="en-US" sz="900" i="1">
                        <a:latin typeface="Cambria Math" panose="02040503050406030204" pitchFamily="18" charset="0"/>
                        <a:ea typeface="Cambria Math" panose="02040503050406030204" pitchFamily="18" charset="0"/>
                      </a:rPr>
                      <m:t>≅</m:t>
                    </m:r>
                    <m:r>
                      <a:rPr lang="en-US" sz="900" b="0" i="1">
                        <a:latin typeface="Cambria Math" panose="02040503050406030204" pitchFamily="18" charset="0"/>
                        <a:ea typeface="Cambria Math" panose="02040503050406030204" pitchFamily="18" charset="0"/>
                      </a:rPr>
                      <m:t> </m:t>
                    </m:r>
                    <m:f>
                      <m:fPr>
                        <m:ctrlPr>
                          <a:rPr lang="en-US" sz="900" b="0" i="1">
                            <a:latin typeface="Cambria Math" panose="02040503050406030204" pitchFamily="18" charset="0"/>
                            <a:ea typeface="Cambria Math" panose="02040503050406030204" pitchFamily="18" charset="0"/>
                          </a:rPr>
                        </m:ctrlPr>
                      </m:fPr>
                      <m:num>
                        <m:r>
                          <a:rPr lang="en-US" sz="900" b="0" i="1">
                            <a:latin typeface="Cambria Math" panose="02040503050406030204" pitchFamily="18" charset="0"/>
                            <a:ea typeface="Cambria Math" panose="02040503050406030204" pitchFamily="18" charset="0"/>
                          </a:rPr>
                          <m:t>12 </m:t>
                        </m:r>
                        <m:r>
                          <a:rPr lang="en-US" sz="900" b="0" i="1">
                            <a:latin typeface="Cambria Math" panose="02040503050406030204" pitchFamily="18" charset="0"/>
                            <a:ea typeface="Cambria Math" panose="02040503050406030204" pitchFamily="18" charset="0"/>
                          </a:rPr>
                          <m:t>𝜇</m:t>
                        </m:r>
                        <m:r>
                          <a:rPr lang="en-US" sz="900" b="0" i="1">
                            <a:latin typeface="Cambria Math" panose="02040503050406030204" pitchFamily="18" charset="0"/>
                            <a:ea typeface="Cambria Math" panose="02040503050406030204" pitchFamily="18" charset="0"/>
                          </a:rPr>
                          <m:t> </m:t>
                        </m:r>
                        <m:r>
                          <a:rPr lang="en-US" sz="900" b="0" i="1">
                            <a:latin typeface="Cambria Math" panose="02040503050406030204" pitchFamily="18" charset="0"/>
                            <a:ea typeface="Cambria Math" panose="02040503050406030204" pitchFamily="18" charset="0"/>
                          </a:rPr>
                          <m:t>𝐿</m:t>
                        </m:r>
                      </m:num>
                      <m:den>
                        <m:r>
                          <a:rPr lang="en-US" sz="900" b="0" i="1">
                            <a:latin typeface="Cambria Math" panose="02040503050406030204" pitchFamily="18" charset="0"/>
                            <a:ea typeface="Cambria Math" panose="02040503050406030204" pitchFamily="18" charset="0"/>
                          </a:rPr>
                          <m:t>𝑤</m:t>
                        </m:r>
                        <m:r>
                          <a:rPr lang="en-US" sz="900" b="0" i="1">
                            <a:latin typeface="Cambria Math" panose="02040503050406030204" pitchFamily="18" charset="0"/>
                            <a:ea typeface="Cambria Math" panose="02040503050406030204" pitchFamily="18" charset="0"/>
                          </a:rPr>
                          <m:t> </m:t>
                        </m:r>
                        <m:sSup>
                          <m:sSupPr>
                            <m:ctrlPr>
                              <a:rPr lang="en-US" sz="900" b="0" i="1">
                                <a:latin typeface="Cambria Math" panose="02040503050406030204" pitchFamily="18" charset="0"/>
                                <a:ea typeface="Cambria Math" panose="02040503050406030204" pitchFamily="18" charset="0"/>
                              </a:rPr>
                            </m:ctrlPr>
                          </m:sSupPr>
                          <m:e>
                            <m:r>
                              <a:rPr lang="en-US" sz="900" b="0" i="1">
                                <a:latin typeface="Cambria Math" panose="02040503050406030204" pitchFamily="18" charset="0"/>
                                <a:ea typeface="Cambria Math" panose="02040503050406030204" pitchFamily="18" charset="0"/>
                              </a:rPr>
                              <m:t>h</m:t>
                            </m:r>
                          </m:e>
                          <m:sup>
                            <m:r>
                              <a:rPr lang="en-US" sz="900" b="0" i="1">
                                <a:latin typeface="Cambria Math" panose="02040503050406030204" pitchFamily="18" charset="0"/>
                                <a:ea typeface="Cambria Math" panose="02040503050406030204" pitchFamily="18" charset="0"/>
                              </a:rPr>
                              <m:t>3</m:t>
                            </m:r>
                          </m:sup>
                        </m:sSup>
                        <m:r>
                          <a:rPr lang="en-US" sz="900" b="0" i="1">
                            <a:latin typeface="Cambria Math" panose="02040503050406030204" pitchFamily="18" charset="0"/>
                            <a:ea typeface="Cambria Math" panose="02040503050406030204" pitchFamily="18" charset="0"/>
                          </a:rPr>
                          <m:t> (1−0.630 </m:t>
                        </m:r>
                        <m:f>
                          <m:fPr>
                            <m:ctrlPr>
                              <a:rPr lang="en-US" sz="900" b="0" i="1">
                                <a:latin typeface="Cambria Math" panose="02040503050406030204" pitchFamily="18" charset="0"/>
                                <a:ea typeface="Cambria Math" panose="02040503050406030204" pitchFamily="18" charset="0"/>
                              </a:rPr>
                            </m:ctrlPr>
                          </m:fPr>
                          <m:num>
                            <m:r>
                              <a:rPr lang="en-US" sz="900" b="0" i="1">
                                <a:latin typeface="Cambria Math" panose="02040503050406030204" pitchFamily="18" charset="0"/>
                                <a:ea typeface="Cambria Math" panose="02040503050406030204" pitchFamily="18" charset="0"/>
                              </a:rPr>
                              <m:t>h</m:t>
                            </m:r>
                          </m:num>
                          <m:den>
                            <m:r>
                              <a:rPr lang="en-US" sz="900" b="0" i="1">
                                <a:latin typeface="Cambria Math" panose="02040503050406030204" pitchFamily="18" charset="0"/>
                                <a:ea typeface="Cambria Math" panose="02040503050406030204" pitchFamily="18" charset="0"/>
                              </a:rPr>
                              <m:t>𝑤</m:t>
                            </m:r>
                          </m:den>
                        </m:f>
                        <m:r>
                          <a:rPr lang="en-US" sz="900" b="0" i="1">
                            <a:latin typeface="Cambria Math" panose="02040503050406030204" pitchFamily="18" charset="0"/>
                            <a:ea typeface="Cambria Math" panose="02040503050406030204" pitchFamily="18" charset="0"/>
                          </a:rPr>
                          <m:t>)</m:t>
                        </m:r>
                      </m:den>
                    </m:f>
                  </m:oMath>
                </m:oMathPara>
              </a14:m>
              <a:endParaRPr lang="en-US" sz="900"/>
            </a:p>
          </xdr:txBody>
        </xdr:sp>
      </mc:Choice>
      <mc:Fallback xmlns="">
        <xdr:sp macro="" textlink="">
          <xdr:nvSpPr>
            <xdr:cNvPr id="5" name="TextBox 4">
              <a:extLst>
                <a:ext uri="{FF2B5EF4-FFF2-40B4-BE49-F238E27FC236}">
                  <a16:creationId xmlns:a16="http://schemas.microsoft.com/office/drawing/2014/main" id="{A1F03238-0BA9-444B-867C-41A001B4DF74}"/>
                </a:ext>
              </a:extLst>
            </xdr:cNvPr>
            <xdr:cNvSpPr txBox="1"/>
          </xdr:nvSpPr>
          <xdr:spPr>
            <a:xfrm>
              <a:off x="5196498" y="1667924"/>
              <a:ext cx="1490986" cy="3747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900" b="0" i="0">
                  <a:latin typeface="Cambria Math" panose="02040503050406030204" pitchFamily="18" charset="0"/>
                </a:rPr>
                <a:t>𝑅_(ℎ,𝑟𝑒𝑐𝑡)</a:t>
              </a:r>
              <a:r>
                <a:rPr lang="en-US" sz="900" i="0">
                  <a:latin typeface="Cambria Math" panose="02040503050406030204" pitchFamily="18" charset="0"/>
                  <a:ea typeface="Cambria Math" panose="02040503050406030204" pitchFamily="18" charset="0"/>
                </a:rPr>
                <a:t>≅</a:t>
              </a:r>
              <a:r>
                <a:rPr lang="en-US" sz="900" b="0" i="0">
                  <a:latin typeface="Cambria Math" panose="02040503050406030204" pitchFamily="18" charset="0"/>
                  <a:ea typeface="Cambria Math" panose="02040503050406030204" pitchFamily="18" charset="0"/>
                </a:rPr>
                <a:t>  (12 𝜇 𝐿)/(𝑤 ℎ^3  (1−0.630 ℎ/𝑤))</a:t>
              </a:r>
              <a:endParaRPr lang="en-US" sz="900"/>
            </a:p>
          </xdr:txBody>
        </xdr:sp>
      </mc:Fallback>
    </mc:AlternateContent>
    <xdr:clientData/>
  </xdr:oneCellAnchor>
  <xdr:oneCellAnchor>
    <xdr:from>
      <xdr:col>9</xdr:col>
      <xdr:colOff>267436</xdr:colOff>
      <xdr:row>9</xdr:row>
      <xdr:rowOff>27997</xdr:rowOff>
    </xdr:from>
    <xdr:ext cx="848437" cy="328295"/>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5AA3A0CD-6B3D-4648-9237-8F6549F814E6}"/>
                </a:ext>
              </a:extLst>
            </xdr:cNvPr>
            <xdr:cNvSpPr txBox="1"/>
          </xdr:nvSpPr>
          <xdr:spPr>
            <a:xfrm>
              <a:off x="8370710" y="1646404"/>
              <a:ext cx="848437"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ea typeface="Cambria Math" panose="02040503050406030204" pitchFamily="18" charset="0"/>
                          </a:rPr>
                        </m:ctrlPr>
                      </m:sSubPr>
                      <m:e>
                        <m:r>
                          <a:rPr lang="en-US" sz="1100" i="1">
                            <a:latin typeface="Cambria Math" panose="02040503050406030204" pitchFamily="18" charset="0"/>
                            <a:ea typeface="Cambria Math" panose="02040503050406030204" pitchFamily="18" charset="0"/>
                          </a:rPr>
                          <m:t>𝜏</m:t>
                        </m:r>
                      </m:e>
                      <m:sub>
                        <m:r>
                          <a:rPr lang="en-US" sz="1100" b="0" i="1">
                            <a:latin typeface="Cambria Math" panose="02040503050406030204" pitchFamily="18" charset="0"/>
                            <a:ea typeface="Cambria Math" panose="02040503050406030204" pitchFamily="18" charset="0"/>
                          </a:rPr>
                          <m:t>𝑟𝑒𝑐𝑡</m:t>
                        </m:r>
                      </m:sub>
                    </m:sSub>
                    <m:r>
                      <a:rPr lang="en-US" sz="1100" b="0" i="1">
                        <a:latin typeface="Cambria Math" panose="02040503050406030204" pitchFamily="18" charset="0"/>
                        <a:ea typeface="Cambria Math" panose="02040503050406030204" pitchFamily="18" charset="0"/>
                      </a:rPr>
                      <m:t>= </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6 </m:t>
                        </m:r>
                        <m:r>
                          <a:rPr lang="en-US" sz="1100" b="0" i="1">
                            <a:latin typeface="Cambria Math" panose="02040503050406030204" pitchFamily="18" charset="0"/>
                            <a:ea typeface="Cambria Math" panose="02040503050406030204" pitchFamily="18" charset="0"/>
                          </a:rPr>
                          <m:t>𝜇</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𝑄</m:t>
                        </m:r>
                      </m:num>
                      <m:den>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𝑤</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h</m:t>
                            </m:r>
                          </m:e>
                          <m:sup>
                            <m:r>
                              <a:rPr lang="en-US" sz="1100" b="0" i="1">
                                <a:latin typeface="Cambria Math" panose="02040503050406030204" pitchFamily="18" charset="0"/>
                                <a:ea typeface="Cambria Math" panose="02040503050406030204" pitchFamily="18" charset="0"/>
                              </a:rPr>
                              <m:t>2</m:t>
                            </m:r>
                          </m:sup>
                        </m:sSup>
                      </m:den>
                    </m:f>
                  </m:oMath>
                </m:oMathPara>
              </a14:m>
              <a:endParaRPr lang="en-US" sz="1100"/>
            </a:p>
          </xdr:txBody>
        </xdr:sp>
      </mc:Choice>
      <mc:Fallback xmlns="">
        <xdr:sp macro="" textlink="">
          <xdr:nvSpPr>
            <xdr:cNvPr id="6" name="TextBox 5">
              <a:extLst>
                <a:ext uri="{FF2B5EF4-FFF2-40B4-BE49-F238E27FC236}">
                  <a16:creationId xmlns:a16="http://schemas.microsoft.com/office/drawing/2014/main" id="{5AA3A0CD-6B3D-4648-9237-8F6549F814E6}"/>
                </a:ext>
              </a:extLst>
            </xdr:cNvPr>
            <xdr:cNvSpPr txBox="1"/>
          </xdr:nvSpPr>
          <xdr:spPr>
            <a:xfrm>
              <a:off x="8370710" y="1646404"/>
              <a:ext cx="848437"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𝜏_</a:t>
              </a:r>
              <a:r>
                <a:rPr lang="en-US" sz="1100" b="0" i="0">
                  <a:latin typeface="Cambria Math" panose="02040503050406030204" pitchFamily="18" charset="0"/>
                  <a:ea typeface="Cambria Math" panose="02040503050406030204" pitchFamily="18" charset="0"/>
                </a:rPr>
                <a:t>𝑟𝑒𝑐𝑡=  (6 𝜇 𝑄)/〖𝑤 ℎ〗^2 </a:t>
              </a:r>
              <a:endParaRPr lang="en-US" sz="1100"/>
            </a:p>
          </xdr:txBody>
        </xdr:sp>
      </mc:Fallback>
    </mc:AlternateContent>
    <xdr:clientData/>
  </xdr:oneCellAnchor>
  <xdr:oneCellAnchor>
    <xdr:from>
      <xdr:col>10</xdr:col>
      <xdr:colOff>285061</xdr:colOff>
      <xdr:row>9</xdr:row>
      <xdr:rowOff>41217</xdr:rowOff>
    </xdr:from>
    <xdr:ext cx="795026" cy="328295"/>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85F38BA7-1D37-0841-B835-B7663EF53783}"/>
                </a:ext>
              </a:extLst>
            </xdr:cNvPr>
            <xdr:cNvSpPr txBox="1"/>
          </xdr:nvSpPr>
          <xdr:spPr>
            <a:xfrm>
              <a:off x="9523468" y="1659624"/>
              <a:ext cx="795026"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ea typeface="Cambria Math" panose="02040503050406030204" pitchFamily="18" charset="0"/>
                          </a:rPr>
                        </m:ctrlPr>
                      </m:sSubPr>
                      <m:e>
                        <m:r>
                          <a:rPr lang="en-US" sz="1100" i="1">
                            <a:latin typeface="Cambria Math" panose="02040503050406030204" pitchFamily="18" charset="0"/>
                            <a:ea typeface="Cambria Math" panose="02040503050406030204" pitchFamily="18" charset="0"/>
                          </a:rPr>
                          <m:t>𝜏</m:t>
                        </m:r>
                      </m:e>
                      <m:sub>
                        <m:r>
                          <a:rPr lang="en-US" sz="1100" b="0" i="1">
                            <a:latin typeface="Cambria Math" panose="02040503050406030204" pitchFamily="18" charset="0"/>
                            <a:ea typeface="Cambria Math" panose="02040503050406030204" pitchFamily="18" charset="0"/>
                          </a:rPr>
                          <m:t>𝑐𝑦𝑙</m:t>
                        </m:r>
                      </m:sub>
                    </m:sSub>
                    <m:r>
                      <a:rPr lang="en-US" sz="1100" b="0" i="1">
                        <a:latin typeface="Cambria Math" panose="02040503050406030204" pitchFamily="18" charset="0"/>
                        <a:ea typeface="Cambria Math" panose="02040503050406030204" pitchFamily="18" charset="0"/>
                      </a:rPr>
                      <m:t>= </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4 </m:t>
                        </m:r>
                        <m:r>
                          <a:rPr lang="en-US" sz="1100" b="0" i="1">
                            <a:latin typeface="Cambria Math" panose="02040503050406030204" pitchFamily="18" charset="0"/>
                            <a:ea typeface="Cambria Math" panose="02040503050406030204" pitchFamily="18" charset="0"/>
                          </a:rPr>
                          <m:t>𝜇</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𝑄</m:t>
                        </m:r>
                      </m:num>
                      <m:den>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𝜋</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𝑟</m:t>
                            </m:r>
                          </m:e>
                          <m:sup>
                            <m:r>
                              <a:rPr lang="en-US" sz="1100" b="0" i="1">
                                <a:latin typeface="Cambria Math" panose="02040503050406030204" pitchFamily="18" charset="0"/>
                                <a:ea typeface="Cambria Math" panose="02040503050406030204" pitchFamily="18" charset="0"/>
                              </a:rPr>
                              <m:t>3</m:t>
                            </m:r>
                          </m:sup>
                        </m:sSup>
                      </m:den>
                    </m:f>
                  </m:oMath>
                </m:oMathPara>
              </a14:m>
              <a:endParaRPr lang="en-US" sz="1100"/>
            </a:p>
          </xdr:txBody>
        </xdr:sp>
      </mc:Choice>
      <mc:Fallback xmlns="">
        <xdr:sp macro="" textlink="">
          <xdr:nvSpPr>
            <xdr:cNvPr id="7" name="TextBox 6">
              <a:extLst>
                <a:ext uri="{FF2B5EF4-FFF2-40B4-BE49-F238E27FC236}">
                  <a16:creationId xmlns:a16="http://schemas.microsoft.com/office/drawing/2014/main" id="{85F38BA7-1D37-0841-B835-B7663EF53783}"/>
                </a:ext>
              </a:extLst>
            </xdr:cNvPr>
            <xdr:cNvSpPr txBox="1"/>
          </xdr:nvSpPr>
          <xdr:spPr>
            <a:xfrm>
              <a:off x="9523468" y="1659624"/>
              <a:ext cx="795026"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𝜏_</a:t>
              </a:r>
              <a:r>
                <a:rPr lang="en-US" sz="1100" b="0" i="0">
                  <a:latin typeface="Cambria Math" panose="02040503050406030204" pitchFamily="18" charset="0"/>
                  <a:ea typeface="Cambria Math" panose="02040503050406030204" pitchFamily="18" charset="0"/>
                </a:rPr>
                <a:t>𝑐𝑦𝑙=  (4 𝜇 𝑄)/〖𝜋 𝑟〗^3 </a:t>
              </a:r>
              <a:endParaRPr lang="en-US" sz="1100"/>
            </a:p>
          </xdr:txBody>
        </xdr:sp>
      </mc:Fallback>
    </mc:AlternateContent>
    <xdr:clientData/>
  </xdr:oneCellAnchor>
  <xdr:oneCellAnchor>
    <xdr:from>
      <xdr:col>7</xdr:col>
      <xdr:colOff>1072146</xdr:colOff>
      <xdr:row>9</xdr:row>
      <xdr:rowOff>33509</xdr:rowOff>
    </xdr:from>
    <xdr:ext cx="883896" cy="31797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688E7124-5D82-1943-B70B-BCF8F3524155}"/>
                </a:ext>
              </a:extLst>
            </xdr:cNvPr>
            <xdr:cNvSpPr txBox="1"/>
          </xdr:nvSpPr>
          <xdr:spPr>
            <a:xfrm>
              <a:off x="7129934" y="1651916"/>
              <a:ext cx="88389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𝑅</m:t>
                        </m:r>
                      </m:e>
                      <m:sub>
                        <m:r>
                          <a:rPr lang="en-US" sz="1100" b="0" i="1">
                            <a:latin typeface="Cambria Math" panose="02040503050406030204" pitchFamily="18" charset="0"/>
                          </a:rPr>
                          <m:t>h</m:t>
                        </m:r>
                        <m:r>
                          <a:rPr lang="en-US" sz="1100" b="0" i="1">
                            <a:latin typeface="Cambria Math" panose="02040503050406030204" pitchFamily="18" charset="0"/>
                          </a:rPr>
                          <m:t>, </m:t>
                        </m:r>
                        <m:r>
                          <a:rPr lang="en-US" sz="1100" b="0" i="1">
                            <a:latin typeface="Cambria Math" panose="02040503050406030204" pitchFamily="18" charset="0"/>
                          </a:rPr>
                          <m:t>𝑐𝑦𝑙</m:t>
                        </m:r>
                      </m:sub>
                    </m:sSub>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8 </m:t>
                        </m:r>
                        <m:r>
                          <a:rPr lang="en-US" sz="1100" b="0" i="1">
                            <a:latin typeface="Cambria Math" panose="02040503050406030204" pitchFamily="18" charset="0"/>
                            <a:ea typeface="Cambria Math" panose="02040503050406030204" pitchFamily="18" charset="0"/>
                          </a:rPr>
                          <m:t>𝜇</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𝐿</m:t>
                        </m:r>
                      </m:num>
                      <m:den>
                        <m:sSup>
                          <m:sSupPr>
                            <m:ctrlPr>
                              <a:rPr lang="en-US" sz="1100" b="0" i="1">
                                <a:latin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𝜋</m:t>
                            </m:r>
                            <m:r>
                              <a:rPr lang="en-US" sz="1100" b="0" i="1">
                                <a:latin typeface="Cambria Math" panose="02040503050406030204" pitchFamily="18" charset="0"/>
                              </a:rPr>
                              <m:t>𝑟</m:t>
                            </m:r>
                          </m:e>
                          <m:sup>
                            <m:r>
                              <a:rPr lang="en-US" sz="1100" b="0" i="1">
                                <a:latin typeface="Cambria Math" panose="02040503050406030204" pitchFamily="18" charset="0"/>
                              </a:rPr>
                              <m:t>4</m:t>
                            </m:r>
                          </m:sup>
                        </m:sSup>
                      </m:den>
                    </m:f>
                  </m:oMath>
                </m:oMathPara>
              </a14:m>
              <a:endParaRPr lang="en-US" sz="1100"/>
            </a:p>
          </xdr:txBody>
        </xdr:sp>
      </mc:Choice>
      <mc:Fallback xmlns="">
        <xdr:sp macro="" textlink="">
          <xdr:nvSpPr>
            <xdr:cNvPr id="8" name="TextBox 7">
              <a:extLst>
                <a:ext uri="{FF2B5EF4-FFF2-40B4-BE49-F238E27FC236}">
                  <a16:creationId xmlns:a16="http://schemas.microsoft.com/office/drawing/2014/main" id="{688E7124-5D82-1943-B70B-BCF8F3524155}"/>
                </a:ext>
              </a:extLst>
            </xdr:cNvPr>
            <xdr:cNvSpPr txBox="1"/>
          </xdr:nvSpPr>
          <xdr:spPr>
            <a:xfrm>
              <a:off x="7129934" y="1651916"/>
              <a:ext cx="88389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𝑅_(ℎ, 𝑐𝑦𝑙)=  (8 </a:t>
              </a:r>
              <a:r>
                <a:rPr lang="en-US" sz="1100" b="0" i="0">
                  <a:latin typeface="Cambria Math" panose="02040503050406030204" pitchFamily="18" charset="0"/>
                  <a:ea typeface="Cambria Math" panose="02040503050406030204" pitchFamily="18" charset="0"/>
                </a:rPr>
                <a:t>𝜇 𝐿)/〖𝜋</a:t>
              </a:r>
              <a:r>
                <a:rPr lang="en-US" sz="1100" b="0" i="0">
                  <a:latin typeface="Cambria Math" panose="02040503050406030204" pitchFamily="18" charset="0"/>
                </a:rPr>
                <a:t>𝑟〗^4 </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8</xdr:col>
      <xdr:colOff>237252</xdr:colOff>
      <xdr:row>8</xdr:row>
      <xdr:rowOff>111648</xdr:rowOff>
    </xdr:from>
    <xdr:to>
      <xdr:col>11</xdr:col>
      <xdr:colOff>641978</xdr:colOff>
      <xdr:row>29</xdr:row>
      <xdr:rowOff>167473</xdr:rowOff>
    </xdr:to>
    <xdr:graphicFrame macro="">
      <xdr:nvGraphicFramePr>
        <xdr:cNvPr id="2" name="Chart 1">
          <a:extLst>
            <a:ext uri="{FF2B5EF4-FFF2-40B4-BE49-F238E27FC236}">
              <a16:creationId xmlns:a16="http://schemas.microsoft.com/office/drawing/2014/main" id="{F189132C-2504-1F43-B439-196987D4A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265164</xdr:colOff>
      <xdr:row>5</xdr:row>
      <xdr:rowOff>33204</xdr:rowOff>
    </xdr:from>
    <xdr:to>
      <xdr:col>2</xdr:col>
      <xdr:colOff>530331</xdr:colOff>
      <xdr:row>6</xdr:row>
      <xdr:rowOff>56655</xdr:rowOff>
    </xdr:to>
    <xdr:grpSp>
      <xdr:nvGrpSpPr>
        <xdr:cNvPr id="19" name="Group 18">
          <a:extLst>
            <a:ext uri="{FF2B5EF4-FFF2-40B4-BE49-F238E27FC236}">
              <a16:creationId xmlns:a16="http://schemas.microsoft.com/office/drawing/2014/main" id="{C159DB9A-67DA-9A45-BD8B-2733496D409C}"/>
            </a:ext>
          </a:extLst>
        </xdr:cNvPr>
        <xdr:cNvGrpSpPr/>
      </xdr:nvGrpSpPr>
      <xdr:grpSpPr>
        <a:xfrm>
          <a:off x="1089210" y="1070532"/>
          <a:ext cx="1089213" cy="227039"/>
          <a:chOff x="22557937" y="1621029"/>
          <a:chExt cx="3332206" cy="712590"/>
        </a:xfrm>
      </xdr:grpSpPr>
      <xdr:grpSp>
        <xdr:nvGrpSpPr>
          <xdr:cNvPr id="20" name="Group 19">
            <a:extLst>
              <a:ext uri="{FF2B5EF4-FFF2-40B4-BE49-F238E27FC236}">
                <a16:creationId xmlns:a16="http://schemas.microsoft.com/office/drawing/2014/main" id="{7CDC61AD-6518-AA4F-933B-9C1F32D93CD1}"/>
              </a:ext>
            </a:extLst>
          </xdr:cNvPr>
          <xdr:cNvGrpSpPr/>
        </xdr:nvGrpSpPr>
        <xdr:grpSpPr>
          <a:xfrm flipV="1">
            <a:off x="23820893" y="1621030"/>
            <a:ext cx="806324" cy="712589"/>
            <a:chOff x="6578330" y="4718922"/>
            <a:chExt cx="448800" cy="396627"/>
          </a:xfrm>
        </xdr:grpSpPr>
        <xdr:sp macro="" textlink="">
          <xdr:nvSpPr>
            <xdr:cNvPr id="30" name="Triangle 29">
              <a:extLst>
                <a:ext uri="{FF2B5EF4-FFF2-40B4-BE49-F238E27FC236}">
                  <a16:creationId xmlns:a16="http://schemas.microsoft.com/office/drawing/2014/main" id="{E036262A-5E5A-D141-B442-E810B94214F1}"/>
                </a:ext>
              </a:extLst>
            </xdr:cNvPr>
            <xdr:cNvSpPr/>
          </xdr:nvSpPr>
          <xdr:spPr>
            <a:xfrm rot="5400000">
              <a:off x="6550976" y="4746276"/>
              <a:ext cx="396627" cy="341920"/>
            </a:xfrm>
            <a:prstGeom prst="triangle">
              <a:avLst/>
            </a:prstGeom>
            <a:solidFill>
              <a:schemeClr val="bg2">
                <a:lumMod val="9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10500">
                <a:cs typeface="Arial" panose="020B0604020202020204" pitchFamily="34" charset="0"/>
              </a:endParaRPr>
            </a:p>
          </xdr:txBody>
        </xdr:sp>
        <xdr:sp macro="" textlink="">
          <xdr:nvSpPr>
            <xdr:cNvPr id="31" name="Oval 30">
              <a:extLst>
                <a:ext uri="{FF2B5EF4-FFF2-40B4-BE49-F238E27FC236}">
                  <a16:creationId xmlns:a16="http://schemas.microsoft.com/office/drawing/2014/main" id="{5BB923A4-523C-4D4B-93E7-4C108D6A64D3}"/>
                </a:ext>
              </a:extLst>
            </xdr:cNvPr>
            <xdr:cNvSpPr/>
          </xdr:nvSpPr>
          <xdr:spPr>
            <a:xfrm rot="5400000">
              <a:off x="6930040" y="4868691"/>
              <a:ext cx="97090" cy="9709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10500">
                <a:cs typeface="Arial" panose="020B0604020202020204" pitchFamily="34" charset="0"/>
              </a:endParaRPr>
            </a:p>
          </xdr:txBody>
        </xdr:sp>
      </xdr:grpSp>
      <xdr:grpSp>
        <xdr:nvGrpSpPr>
          <xdr:cNvPr id="21" name="Group 20">
            <a:extLst>
              <a:ext uri="{FF2B5EF4-FFF2-40B4-BE49-F238E27FC236}">
                <a16:creationId xmlns:a16="http://schemas.microsoft.com/office/drawing/2014/main" id="{B6864243-38FE-934F-A52E-B7A11F3DF8C0}"/>
              </a:ext>
            </a:extLst>
          </xdr:cNvPr>
          <xdr:cNvGrpSpPr/>
        </xdr:nvGrpSpPr>
        <xdr:grpSpPr>
          <a:xfrm flipV="1">
            <a:off x="22557939" y="1621029"/>
            <a:ext cx="806333" cy="712589"/>
            <a:chOff x="6356343" y="4139425"/>
            <a:chExt cx="448805" cy="396627"/>
          </a:xfrm>
        </xdr:grpSpPr>
        <xdr:sp macro="" textlink="">
          <xdr:nvSpPr>
            <xdr:cNvPr id="28" name="Triangle 27">
              <a:extLst>
                <a:ext uri="{FF2B5EF4-FFF2-40B4-BE49-F238E27FC236}">
                  <a16:creationId xmlns:a16="http://schemas.microsoft.com/office/drawing/2014/main" id="{C5ADA6DF-0807-C04E-ACB3-4534F00054D1}"/>
                </a:ext>
              </a:extLst>
            </xdr:cNvPr>
            <xdr:cNvSpPr/>
          </xdr:nvSpPr>
          <xdr:spPr>
            <a:xfrm rot="5400000">
              <a:off x="6328989" y="4166779"/>
              <a:ext cx="396627" cy="341920"/>
            </a:xfrm>
            <a:prstGeom prst="triangle">
              <a:avLst/>
            </a:prstGeom>
            <a:solidFill>
              <a:schemeClr val="bg2">
                <a:lumMod val="9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10500">
                <a:cs typeface="Arial" panose="020B0604020202020204" pitchFamily="34" charset="0"/>
              </a:endParaRPr>
            </a:p>
          </xdr:txBody>
        </xdr:sp>
        <xdr:sp macro="" textlink="">
          <xdr:nvSpPr>
            <xdr:cNvPr id="29" name="Oval 28">
              <a:extLst>
                <a:ext uri="{FF2B5EF4-FFF2-40B4-BE49-F238E27FC236}">
                  <a16:creationId xmlns:a16="http://schemas.microsoft.com/office/drawing/2014/main" id="{84AD5D5A-3B9A-6D4A-805A-447A0F7535D8}"/>
                </a:ext>
              </a:extLst>
            </xdr:cNvPr>
            <xdr:cNvSpPr/>
          </xdr:nvSpPr>
          <xdr:spPr>
            <a:xfrm rot="5400000">
              <a:off x="6708058" y="4289195"/>
              <a:ext cx="97090" cy="9709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10500">
                <a:cs typeface="Arial" panose="020B0604020202020204" pitchFamily="34" charset="0"/>
              </a:endParaRPr>
            </a:p>
          </xdr:txBody>
        </xdr:sp>
      </xdr:grpSp>
      <xdr:grpSp>
        <xdr:nvGrpSpPr>
          <xdr:cNvPr id="22" name="Group 21">
            <a:extLst>
              <a:ext uri="{FF2B5EF4-FFF2-40B4-BE49-F238E27FC236}">
                <a16:creationId xmlns:a16="http://schemas.microsoft.com/office/drawing/2014/main" id="{B28DA9D2-42E0-774F-8E18-8A40C74A7068}"/>
              </a:ext>
            </a:extLst>
          </xdr:cNvPr>
          <xdr:cNvGrpSpPr/>
        </xdr:nvGrpSpPr>
        <xdr:grpSpPr>
          <a:xfrm flipV="1">
            <a:off x="25083823" y="1621029"/>
            <a:ext cx="806320" cy="712589"/>
            <a:chOff x="6578332" y="5293058"/>
            <a:chExt cx="448798" cy="396627"/>
          </a:xfrm>
        </xdr:grpSpPr>
        <xdr:sp macro="" textlink="">
          <xdr:nvSpPr>
            <xdr:cNvPr id="26" name="Triangle 25">
              <a:extLst>
                <a:ext uri="{FF2B5EF4-FFF2-40B4-BE49-F238E27FC236}">
                  <a16:creationId xmlns:a16="http://schemas.microsoft.com/office/drawing/2014/main" id="{A2C370BB-A94B-EE43-B969-21D51AEBD9B5}"/>
                </a:ext>
              </a:extLst>
            </xdr:cNvPr>
            <xdr:cNvSpPr/>
          </xdr:nvSpPr>
          <xdr:spPr>
            <a:xfrm rot="5400000">
              <a:off x="6550978" y="5320412"/>
              <a:ext cx="396627" cy="341920"/>
            </a:xfrm>
            <a:prstGeom prst="triangle">
              <a:avLst/>
            </a:prstGeom>
            <a:solidFill>
              <a:schemeClr val="bg2">
                <a:lumMod val="9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10500">
                <a:cs typeface="Arial" panose="020B0604020202020204" pitchFamily="34" charset="0"/>
              </a:endParaRPr>
            </a:p>
          </xdr:txBody>
        </xdr:sp>
        <xdr:sp macro="" textlink="">
          <xdr:nvSpPr>
            <xdr:cNvPr id="27" name="Oval 26">
              <a:extLst>
                <a:ext uri="{FF2B5EF4-FFF2-40B4-BE49-F238E27FC236}">
                  <a16:creationId xmlns:a16="http://schemas.microsoft.com/office/drawing/2014/main" id="{9E63C1D7-D740-644C-9048-96B630BDEAC2}"/>
                </a:ext>
              </a:extLst>
            </xdr:cNvPr>
            <xdr:cNvSpPr/>
          </xdr:nvSpPr>
          <xdr:spPr>
            <a:xfrm rot="5400000">
              <a:off x="6930040" y="5442823"/>
              <a:ext cx="97090" cy="97090"/>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10500">
                <a:cs typeface="Arial" panose="020B0604020202020204" pitchFamily="34" charset="0"/>
              </a:endParaRPr>
            </a:p>
          </xdr:txBody>
        </xdr:sp>
      </xdr:grpSp>
      <xdr:cxnSp macro="">
        <xdr:nvCxnSpPr>
          <xdr:cNvPr id="23" name="Straight Connector 22">
            <a:extLst>
              <a:ext uri="{FF2B5EF4-FFF2-40B4-BE49-F238E27FC236}">
                <a16:creationId xmlns:a16="http://schemas.microsoft.com/office/drawing/2014/main" id="{8D2396EF-51D0-7C43-AB44-3CF6890183D7}"/>
              </a:ext>
            </a:extLst>
          </xdr:cNvPr>
          <xdr:cNvCxnSpPr>
            <a:cxnSpLocks/>
            <a:stCxn id="31" idx="0"/>
            <a:endCxn id="26" idx="3"/>
          </xdr:cNvCxnSpPr>
        </xdr:nvCxnSpPr>
        <xdr:spPr>
          <a:xfrm flipV="1">
            <a:off x="24627217" y="1977322"/>
            <a:ext cx="456605" cy="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 name="Elbow Connector 23">
            <a:extLst>
              <a:ext uri="{FF2B5EF4-FFF2-40B4-BE49-F238E27FC236}">
                <a16:creationId xmlns:a16="http://schemas.microsoft.com/office/drawing/2014/main" id="{0BC530E4-5B30-C44C-919B-A3D5170024EF}"/>
              </a:ext>
            </a:extLst>
          </xdr:cNvPr>
          <xdr:cNvCxnSpPr>
            <a:cxnSpLocks/>
            <a:stCxn id="28" idx="3"/>
            <a:endCxn id="27" idx="0"/>
          </xdr:cNvCxnSpPr>
        </xdr:nvCxnSpPr>
        <xdr:spPr>
          <a:xfrm rot="10800000" flipH="1" flipV="1">
            <a:off x="22557937" y="1977322"/>
            <a:ext cx="3332205" cy="8"/>
          </a:xfrm>
          <a:prstGeom prst="bentConnector5">
            <a:avLst>
              <a:gd name="adj1" fmla="val -6860"/>
              <a:gd name="adj2" fmla="val 6696887500"/>
              <a:gd name="adj3" fmla="val 10686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8AC2D54F-48AC-9145-845A-5F60F9FDB6BF}"/>
              </a:ext>
            </a:extLst>
          </xdr:cNvPr>
          <xdr:cNvCxnSpPr>
            <a:cxnSpLocks/>
            <a:stCxn id="29" idx="0"/>
            <a:endCxn id="30" idx="3"/>
          </xdr:cNvCxnSpPr>
        </xdr:nvCxnSpPr>
        <xdr:spPr>
          <a:xfrm>
            <a:off x="23364272" y="1977321"/>
            <a:ext cx="456620" cy="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685537</xdr:colOff>
      <xdr:row>4</xdr:row>
      <xdr:rowOff>17800</xdr:rowOff>
    </xdr:from>
    <xdr:to>
      <xdr:col>0</xdr:col>
      <xdr:colOff>970603</xdr:colOff>
      <xdr:row>4</xdr:row>
      <xdr:rowOff>182964</xdr:rowOff>
    </xdr:to>
    <xdr:sp macro="" textlink="">
      <xdr:nvSpPr>
        <xdr:cNvPr id="2" name="Cube 1">
          <a:extLst>
            <a:ext uri="{FF2B5EF4-FFF2-40B4-BE49-F238E27FC236}">
              <a16:creationId xmlns:a16="http://schemas.microsoft.com/office/drawing/2014/main" id="{7F806FD4-79D4-FC4E-8350-1560E6B1BB4C}"/>
            </a:ext>
          </a:extLst>
        </xdr:cNvPr>
        <xdr:cNvSpPr/>
      </xdr:nvSpPr>
      <xdr:spPr>
        <a:xfrm rot="16200000">
          <a:off x="745488" y="761011"/>
          <a:ext cx="165164" cy="285066"/>
        </a:xfrm>
        <a:prstGeom prst="cube">
          <a:avLst/>
        </a:prstGeom>
      </xdr:spPr>
      <xdr:style>
        <a:lnRef idx="2">
          <a:schemeClr val="accent4">
            <a:shade val="50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672773</xdr:colOff>
      <xdr:row>5</xdr:row>
      <xdr:rowOff>36632</xdr:rowOff>
    </xdr:from>
    <xdr:to>
      <xdr:col>0</xdr:col>
      <xdr:colOff>977575</xdr:colOff>
      <xdr:row>5</xdr:row>
      <xdr:rowOff>165651</xdr:rowOff>
    </xdr:to>
    <xdr:sp macro="" textlink="">
      <xdr:nvSpPr>
        <xdr:cNvPr id="3" name="Can 2">
          <a:extLst>
            <a:ext uri="{FF2B5EF4-FFF2-40B4-BE49-F238E27FC236}">
              <a16:creationId xmlns:a16="http://schemas.microsoft.com/office/drawing/2014/main" id="{26A268A5-E15A-9D43-8795-7DDB65D5D29A}"/>
            </a:ext>
          </a:extLst>
        </xdr:cNvPr>
        <xdr:cNvSpPr/>
      </xdr:nvSpPr>
      <xdr:spPr>
        <a:xfrm rot="16200000">
          <a:off x="760664" y="952694"/>
          <a:ext cx="129019" cy="304802"/>
        </a:xfrm>
        <a:prstGeom prst="can">
          <a:avLst/>
        </a:prstGeom>
      </xdr:spPr>
      <xdr:style>
        <a:lnRef idx="2">
          <a:schemeClr val="accent4">
            <a:shade val="50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741037</xdr:colOff>
      <xdr:row>6</xdr:row>
      <xdr:rowOff>25214</xdr:rowOff>
    </xdr:from>
    <xdr:to>
      <xdr:col>0</xdr:col>
      <xdr:colOff>893518</xdr:colOff>
      <xdr:row>6</xdr:row>
      <xdr:rowOff>176420</xdr:rowOff>
    </xdr:to>
    <xdr:sp macro="" textlink="">
      <xdr:nvSpPr>
        <xdr:cNvPr id="4" name="Oval 3">
          <a:extLst>
            <a:ext uri="{FF2B5EF4-FFF2-40B4-BE49-F238E27FC236}">
              <a16:creationId xmlns:a16="http://schemas.microsoft.com/office/drawing/2014/main" id="{E4DC353F-111B-D54C-B0EF-23BB768A8A47}"/>
            </a:ext>
          </a:extLst>
        </xdr:cNvPr>
        <xdr:cNvSpPr/>
      </xdr:nvSpPr>
      <xdr:spPr>
        <a:xfrm>
          <a:off x="741037" y="1229957"/>
          <a:ext cx="152481" cy="151206"/>
        </a:xfrm>
        <a:prstGeom prst="ellipse">
          <a:avLst/>
        </a:prstGeom>
        <a:gradFill>
          <a:gsLst>
            <a:gs pos="0">
              <a:schemeClr val="accent1">
                <a:lumMod val="5000"/>
                <a:lumOff val="95000"/>
              </a:schemeClr>
            </a:gs>
            <a:gs pos="74000">
              <a:schemeClr val="accent4"/>
            </a:gs>
            <a:gs pos="83000">
              <a:schemeClr val="accent4"/>
            </a:gs>
            <a:gs pos="100000">
              <a:schemeClr val="accent4">
                <a:lumMod val="20000"/>
                <a:lumOff val="80000"/>
              </a:schemeClr>
            </a:gs>
          </a:gsLst>
          <a:path path="circle">
            <a:fillToRect l="100000" b="100000"/>
          </a:path>
        </a:gra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iieta.org/journals/ti-ijes/paper/10.18280/ti-ijes.63010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5FB68-5C6C-F841-83B9-CC94A692D516}">
  <dimension ref="B2:I9"/>
  <sheetViews>
    <sheetView zoomScale="184" workbookViewId="0">
      <selection activeCell="D8" sqref="D8:I8"/>
    </sheetView>
  </sheetViews>
  <sheetFormatPr baseColWidth="10" defaultRowHeight="16"/>
  <cols>
    <col min="2" max="2" width="11.83203125" bestFit="1" customWidth="1"/>
    <col min="3" max="3" width="24.6640625" bestFit="1" customWidth="1"/>
    <col min="4" max="4" width="10.83203125" customWidth="1"/>
  </cols>
  <sheetData>
    <row r="2" spans="2:9" ht="17" thickBot="1"/>
    <row r="3" spans="2:9">
      <c r="B3" s="89" t="s">
        <v>22</v>
      </c>
      <c r="C3" s="90"/>
      <c r="D3" s="90"/>
      <c r="E3" s="90"/>
      <c r="F3" s="90"/>
      <c r="G3" s="90"/>
      <c r="H3" s="90"/>
      <c r="I3" s="86"/>
    </row>
    <row r="4" spans="2:9" ht="16" customHeight="1">
      <c r="B4" s="57" t="s">
        <v>84</v>
      </c>
      <c r="C4" s="58" t="s">
        <v>108</v>
      </c>
      <c r="D4" s="91" t="s">
        <v>83</v>
      </c>
      <c r="E4" s="91"/>
      <c r="F4" s="91"/>
      <c r="G4" s="91"/>
      <c r="H4" s="91"/>
      <c r="I4" s="92"/>
    </row>
    <row r="5" spans="2:9" ht="16" customHeight="1">
      <c r="B5" s="59" t="s">
        <v>18</v>
      </c>
      <c r="C5" s="60">
        <v>1.8130000000000001E-5</v>
      </c>
      <c r="D5" s="93" t="s">
        <v>19</v>
      </c>
      <c r="E5" s="93"/>
      <c r="F5" s="93"/>
      <c r="G5" s="93"/>
      <c r="H5" s="93"/>
      <c r="I5" s="94"/>
    </row>
    <row r="6" spans="2:9" ht="16" customHeight="1">
      <c r="B6" s="59" t="s">
        <v>17</v>
      </c>
      <c r="C6" s="60">
        <v>1.0005000000000001E-3</v>
      </c>
      <c r="D6" s="93" t="s">
        <v>19</v>
      </c>
      <c r="E6" s="93"/>
      <c r="F6" s="93"/>
      <c r="G6" s="93"/>
      <c r="H6" s="93"/>
      <c r="I6" s="94"/>
    </row>
    <row r="7" spans="2:9" ht="16" customHeight="1">
      <c r="B7" s="59" t="s">
        <v>20</v>
      </c>
      <c r="C7" s="60">
        <v>1</v>
      </c>
      <c r="D7" s="93" t="s">
        <v>19</v>
      </c>
      <c r="E7" s="93"/>
      <c r="F7" s="93"/>
      <c r="G7" s="93"/>
      <c r="H7" s="93"/>
      <c r="I7" s="94"/>
    </row>
    <row r="8" spans="2:9" ht="16" customHeight="1">
      <c r="B8" s="59" t="s">
        <v>21</v>
      </c>
      <c r="C8" s="60">
        <v>10</v>
      </c>
      <c r="D8" s="93" t="s">
        <v>19</v>
      </c>
      <c r="E8" s="93"/>
      <c r="F8" s="93"/>
      <c r="G8" s="93"/>
      <c r="H8" s="93"/>
      <c r="I8" s="94"/>
    </row>
    <row r="9" spans="2:9" ht="17" thickBot="1">
      <c r="B9" s="85" t="s">
        <v>107</v>
      </c>
      <c r="C9" s="61">
        <v>3.3000000000000002E-2</v>
      </c>
      <c r="D9" s="87" t="s">
        <v>111</v>
      </c>
      <c r="E9" s="87"/>
      <c r="F9" s="87"/>
      <c r="G9" s="87"/>
      <c r="H9" s="87"/>
      <c r="I9" s="88"/>
    </row>
  </sheetData>
  <mergeCells count="7">
    <mergeCell ref="D9:I9"/>
    <mergeCell ref="B3:H3"/>
    <mergeCell ref="D4:I4"/>
    <mergeCell ref="D5:I5"/>
    <mergeCell ref="D6:I6"/>
    <mergeCell ref="D7:I7"/>
    <mergeCell ref="D8:I8"/>
  </mergeCells>
  <hyperlinks>
    <hyperlink ref="D9" r:id="rId1" xr:uid="{06F9EB13-51F4-C04A-B34D-612C16DA05A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50"/>
  </sheetPr>
  <dimension ref="A1:R38"/>
  <sheetViews>
    <sheetView workbookViewId="0">
      <selection activeCell="C33" sqref="C33"/>
    </sheetView>
  </sheetViews>
  <sheetFormatPr baseColWidth="10" defaultRowHeight="16"/>
  <cols>
    <col min="1" max="1" width="21.83203125" bestFit="1" customWidth="1"/>
    <col min="2" max="2" width="18" bestFit="1" customWidth="1"/>
    <col min="3" max="3" width="15.6640625" customWidth="1"/>
    <col min="4" max="4" width="15.5" customWidth="1"/>
    <col min="5" max="5" width="13.1640625" customWidth="1"/>
    <col min="6" max="6" width="18.1640625" bestFit="1" customWidth="1"/>
    <col min="7" max="7" width="14.83203125" bestFit="1" customWidth="1"/>
    <col min="8" max="8" width="15.83203125" customWidth="1"/>
    <col min="9" max="10" width="9.6640625" bestFit="1" customWidth="1"/>
    <col min="11" max="11" width="10.83203125" style="9"/>
    <col min="14" max="14" width="18.83203125" bestFit="1" customWidth="1"/>
    <col min="15" max="15" width="15" bestFit="1" customWidth="1"/>
    <col min="16" max="16" width="9.6640625" bestFit="1" customWidth="1"/>
    <col min="17" max="17" width="9.33203125" bestFit="1" customWidth="1"/>
  </cols>
  <sheetData>
    <row r="1" spans="1:18" s="9" customFormat="1" ht="16" customHeight="1">
      <c r="A1" s="95" t="s">
        <v>99</v>
      </c>
      <c r="B1" s="96"/>
      <c r="C1" s="96"/>
      <c r="D1" s="96"/>
      <c r="E1" s="96"/>
      <c r="F1" s="96"/>
      <c r="G1" s="96"/>
      <c r="H1" s="96"/>
      <c r="I1" s="96"/>
      <c r="J1" s="96"/>
      <c r="K1" s="96"/>
      <c r="L1" s="96"/>
      <c r="M1" s="96"/>
      <c r="N1" s="96"/>
      <c r="O1" s="96"/>
      <c r="P1" s="96"/>
      <c r="Q1" s="97"/>
    </row>
    <row r="2" spans="1:18">
      <c r="A2" s="98"/>
      <c r="B2" s="99"/>
      <c r="C2" s="99"/>
      <c r="D2" s="99"/>
      <c r="E2" s="99"/>
      <c r="F2" s="99"/>
      <c r="G2" s="99"/>
      <c r="H2" s="99"/>
      <c r="I2" s="99"/>
      <c r="J2" s="99"/>
      <c r="K2" s="99"/>
      <c r="L2" s="99"/>
      <c r="M2" s="99"/>
      <c r="N2" s="99"/>
      <c r="O2" s="99"/>
      <c r="P2" s="99"/>
      <c r="Q2" s="100"/>
    </row>
    <row r="3" spans="1:18" ht="17" thickBot="1">
      <c r="A3" s="101"/>
      <c r="B3" s="102"/>
      <c r="C3" s="102"/>
      <c r="D3" s="102"/>
      <c r="E3" s="102"/>
      <c r="F3" s="102"/>
      <c r="G3" s="102"/>
      <c r="H3" s="102"/>
      <c r="I3" s="102"/>
      <c r="J3" s="102"/>
      <c r="K3" s="102"/>
      <c r="L3" s="102"/>
      <c r="M3" s="102"/>
      <c r="N3" s="102"/>
      <c r="O3" s="102"/>
      <c r="P3" s="102"/>
      <c r="Q3" s="103"/>
    </row>
    <row r="4" spans="1:18" ht="17" thickBot="1">
      <c r="A4" s="104" t="s">
        <v>35</v>
      </c>
      <c r="B4" s="105"/>
      <c r="C4" s="105"/>
      <c r="D4" s="105"/>
      <c r="E4" s="105"/>
      <c r="F4" s="105"/>
      <c r="G4" s="105"/>
      <c r="H4" s="105"/>
      <c r="I4" s="105"/>
      <c r="J4" s="105"/>
      <c r="K4" s="105"/>
      <c r="L4" s="105"/>
      <c r="M4" s="105"/>
      <c r="N4" s="105"/>
      <c r="O4" s="105"/>
      <c r="P4" s="105"/>
      <c r="Q4" s="106"/>
    </row>
    <row r="5" spans="1:18" s="53" customFormat="1" ht="17" thickBot="1">
      <c r="B5" s="84" t="s">
        <v>90</v>
      </c>
      <c r="C5" s="84" t="s">
        <v>85</v>
      </c>
      <c r="D5" s="84" t="s">
        <v>81</v>
      </c>
      <c r="E5" s="84"/>
      <c r="F5" s="84"/>
      <c r="G5" s="84"/>
      <c r="H5" s="84"/>
      <c r="I5" s="84"/>
      <c r="J5" s="84"/>
      <c r="K5" s="84"/>
      <c r="L5" s="84"/>
      <c r="M5" s="84"/>
      <c r="N5" s="84"/>
      <c r="O5" s="84"/>
      <c r="P5" s="84"/>
      <c r="Q5" s="84"/>
    </row>
    <row r="6" spans="1:18" ht="17" thickBot="1">
      <c r="B6" s="50" t="s">
        <v>16</v>
      </c>
      <c r="C6" s="56">
        <v>1.8099999999999999E-5</v>
      </c>
      <c r="D6" s="55" t="s">
        <v>109</v>
      </c>
      <c r="G6" s="9"/>
      <c r="H6" s="9"/>
      <c r="I6" s="9"/>
      <c r="J6" s="9"/>
    </row>
    <row r="7" spans="1:18" ht="17" thickBot="1">
      <c r="A7" s="104" t="s">
        <v>36</v>
      </c>
      <c r="B7" s="105"/>
      <c r="C7" s="105"/>
      <c r="D7" s="105"/>
      <c r="E7" s="105"/>
      <c r="F7" s="105"/>
      <c r="G7" s="105"/>
      <c r="H7" s="105"/>
      <c r="I7" s="105"/>
      <c r="J7" s="105"/>
      <c r="K7" s="105"/>
      <c r="L7" s="105"/>
      <c r="M7" s="105"/>
      <c r="N7" s="105"/>
      <c r="O7" s="105"/>
      <c r="P7" s="105"/>
      <c r="Q7" s="106"/>
    </row>
    <row r="8" spans="1:18">
      <c r="G8" s="9" t="s">
        <v>91</v>
      </c>
      <c r="H8" s="53" t="s">
        <v>92</v>
      </c>
      <c r="I8" s="24"/>
      <c r="J8" s="24"/>
    </row>
    <row r="9" spans="1:18" s="53" customFormat="1">
      <c r="E9" s="9"/>
      <c r="I9" s="24"/>
      <c r="J9" s="24"/>
      <c r="K9" s="24"/>
      <c r="L9" s="51"/>
      <c r="M9" s="51"/>
      <c r="P9" s="10"/>
      <c r="Q9" s="51"/>
      <c r="R9" s="51"/>
    </row>
    <row r="10" spans="1:18">
      <c r="A10" s="17"/>
      <c r="B10" s="9"/>
      <c r="C10" s="9"/>
      <c r="D10" s="9"/>
      <c r="E10" s="9"/>
      <c r="F10" s="9"/>
      <c r="G10" s="9"/>
      <c r="H10" s="9"/>
      <c r="I10" s="9"/>
      <c r="J10" s="9"/>
    </row>
    <row r="11" spans="1:18">
      <c r="A11" s="16" t="s">
        <v>33</v>
      </c>
      <c r="B11" s="108" t="s">
        <v>96</v>
      </c>
      <c r="C11" s="108"/>
      <c r="D11" s="108"/>
      <c r="E11" s="9"/>
      <c r="F11" s="9"/>
      <c r="G11" s="10" t="s">
        <v>95</v>
      </c>
      <c r="H11" s="107" t="s">
        <v>98</v>
      </c>
      <c r="I11" s="107"/>
      <c r="J11" s="107"/>
      <c r="N11" s="10" t="s">
        <v>94</v>
      </c>
      <c r="O11" s="107" t="s">
        <v>15</v>
      </c>
      <c r="P11" s="107"/>
      <c r="Q11" s="107"/>
    </row>
    <row r="12" spans="1:18">
      <c r="A12" s="17"/>
      <c r="B12" s="9"/>
      <c r="C12" s="9"/>
      <c r="D12" s="9"/>
      <c r="E12" s="9"/>
      <c r="F12" s="9"/>
      <c r="G12" s="9"/>
      <c r="H12" s="9"/>
      <c r="I12" s="9"/>
      <c r="J12" s="9"/>
    </row>
    <row r="13" spans="1:18">
      <c r="B13" s="22" t="s">
        <v>14</v>
      </c>
      <c r="C13" s="24"/>
      <c r="D13" s="24"/>
      <c r="E13" s="9"/>
      <c r="F13" s="53"/>
      <c r="G13" s="22" t="s">
        <v>97</v>
      </c>
      <c r="H13" s="24"/>
      <c r="I13" s="24"/>
      <c r="J13" s="24"/>
      <c r="N13" s="22" t="s">
        <v>34</v>
      </c>
      <c r="O13" s="24"/>
      <c r="P13" s="24"/>
      <c r="Q13" s="24"/>
    </row>
    <row r="14" spans="1:18">
      <c r="A14" s="17"/>
      <c r="B14" s="23" t="s">
        <v>32</v>
      </c>
      <c r="C14" s="23" t="s">
        <v>28</v>
      </c>
      <c r="D14" s="23" t="s">
        <v>3</v>
      </c>
      <c r="E14" s="9"/>
      <c r="F14" s="9"/>
      <c r="G14" s="23" t="s">
        <v>32</v>
      </c>
      <c r="H14" s="23" t="s">
        <v>28</v>
      </c>
      <c r="I14" s="23" t="s">
        <v>3</v>
      </c>
      <c r="J14" s="23" t="s">
        <v>1</v>
      </c>
      <c r="M14" s="9"/>
      <c r="N14" s="23" t="s">
        <v>32</v>
      </c>
      <c r="O14" s="23" t="s">
        <v>28</v>
      </c>
      <c r="P14" s="23" t="s">
        <v>3</v>
      </c>
      <c r="Q14" s="23" t="s">
        <v>1</v>
      </c>
    </row>
    <row r="15" spans="1:18">
      <c r="A15" s="18" t="s">
        <v>4</v>
      </c>
      <c r="B15" s="10" t="s">
        <v>3</v>
      </c>
      <c r="C15" s="32">
        <v>2</v>
      </c>
      <c r="D15" s="19">
        <f>((D20*D18/1000*(D19/1000)^3*(1-(0.63*D19/1000)/(D18/1000)))/(12*$C$6))*1000</f>
        <v>0.77184799778416213</v>
      </c>
      <c r="E15" s="9"/>
      <c r="F15" s="20" t="s">
        <v>4</v>
      </c>
      <c r="G15" s="10" t="s">
        <v>3</v>
      </c>
      <c r="H15" s="32">
        <v>1</v>
      </c>
      <c r="I15" s="25">
        <f>(I17*(I16/1000)^4)/(28.4*$C$6)*1000</f>
        <v>624.46502217726243</v>
      </c>
      <c r="J15" s="33">
        <v>200</v>
      </c>
      <c r="M15" s="20" t="s">
        <v>4</v>
      </c>
      <c r="N15" s="10" t="s">
        <v>3</v>
      </c>
      <c r="O15" s="32">
        <v>200</v>
      </c>
      <c r="P15" s="25">
        <f>(P17*PI()*(P16/1000)^4)/(8*$C$6)*1000</f>
        <v>6.5088245585423895E-7</v>
      </c>
      <c r="Q15" s="33">
        <v>0.25</v>
      </c>
    </row>
    <row r="16" spans="1:18">
      <c r="A16" s="18" t="s">
        <v>12</v>
      </c>
      <c r="B16" s="10" t="s">
        <v>11</v>
      </c>
      <c r="C16" s="32">
        <v>2</v>
      </c>
      <c r="D16" s="32">
        <v>0.4</v>
      </c>
      <c r="E16" s="9"/>
      <c r="F16" s="20" t="s">
        <v>10</v>
      </c>
      <c r="G16" s="10" t="s">
        <v>93</v>
      </c>
      <c r="H16" s="32">
        <v>0.2</v>
      </c>
      <c r="I16" s="32">
        <v>1</v>
      </c>
      <c r="J16" s="26">
        <f>POWER(28.4*$C$6*J15/1000/(J17), (1/4))*1000</f>
        <v>0.25004477884221993</v>
      </c>
      <c r="M16" s="20" t="s">
        <v>2</v>
      </c>
      <c r="N16" s="10" t="s">
        <v>1</v>
      </c>
      <c r="O16" s="32">
        <v>0.25</v>
      </c>
      <c r="P16" s="32">
        <v>0.1</v>
      </c>
      <c r="Q16" s="26">
        <f>POWER(8*$C$6*Q15/1000/(Q17*PI()), (1/4))*1000</f>
        <v>14.65226188273078</v>
      </c>
    </row>
    <row r="17" spans="1:17">
      <c r="A17" s="18" t="s">
        <v>10</v>
      </c>
      <c r="B17" s="10" t="s">
        <v>9</v>
      </c>
      <c r="C17" s="32">
        <v>0.1</v>
      </c>
      <c r="D17" s="32">
        <v>0.4</v>
      </c>
      <c r="E17" s="9"/>
      <c r="F17" s="20" t="s">
        <v>0</v>
      </c>
      <c r="G17" s="10" t="s">
        <v>28</v>
      </c>
      <c r="H17" s="41">
        <f>(28.4*$C$6*H15/1000)/((H16/1000)^4)</f>
        <v>321275000</v>
      </c>
      <c r="I17" s="42">
        <v>321000000</v>
      </c>
      <c r="J17" s="43">
        <v>26300000000</v>
      </c>
      <c r="M17" s="20" t="s">
        <v>0</v>
      </c>
      <c r="N17" s="10" t="s">
        <v>28</v>
      </c>
      <c r="O17" s="41">
        <f>(8*$C$6*O15/1000)/(PI()*(O16/1000)^4)</f>
        <v>2359873101.7939401</v>
      </c>
      <c r="P17" s="42">
        <v>300</v>
      </c>
      <c r="Q17" s="43">
        <v>0.25</v>
      </c>
    </row>
    <row r="18" spans="1:17">
      <c r="A18" s="18" t="s">
        <v>8</v>
      </c>
      <c r="B18" s="10" t="s">
        <v>7</v>
      </c>
      <c r="C18" s="21">
        <f>MAX(C16:C17)</f>
        <v>2</v>
      </c>
      <c r="D18" s="21">
        <f>MAX(D16:D17)</f>
        <v>0.4</v>
      </c>
      <c r="E18" s="9"/>
      <c r="F18" s="9"/>
      <c r="G18" s="9"/>
      <c r="H18" s="9"/>
      <c r="I18" s="9"/>
      <c r="J18" s="9"/>
    </row>
    <row r="19" spans="1:17">
      <c r="A19" s="18" t="s">
        <v>6</v>
      </c>
      <c r="B19" s="10" t="s">
        <v>5</v>
      </c>
      <c r="C19" s="21">
        <f>MIN(C16:C17)</f>
        <v>0.1</v>
      </c>
      <c r="D19" s="21">
        <f>MIN(D16:D17)</f>
        <v>0.4</v>
      </c>
      <c r="E19" s="9"/>
      <c r="F19" s="9"/>
      <c r="G19" s="9"/>
      <c r="H19" s="9"/>
      <c r="I19" s="9"/>
      <c r="J19" s="9"/>
    </row>
    <row r="20" spans="1:17">
      <c r="A20" s="18" t="s">
        <v>0</v>
      </c>
      <c r="B20" s="10" t="s">
        <v>28</v>
      </c>
      <c r="C20" s="41">
        <f>12*$C$6*C15/1000/(C18/1000*(C19/1000)^3*(1-(0.63*C19/1000)/(C18/1000)))</f>
        <v>224264326.27774906</v>
      </c>
      <c r="D20" s="42">
        <v>17699048.260000002</v>
      </c>
      <c r="E20" s="9"/>
      <c r="F20" s="9"/>
      <c r="G20" s="9"/>
      <c r="H20" s="9"/>
      <c r="I20" s="9"/>
      <c r="J20" s="9"/>
    </row>
    <row r="21" spans="1:17">
      <c r="A21" s="17"/>
      <c r="B21" s="9"/>
      <c r="C21" s="9"/>
      <c r="D21" s="9"/>
      <c r="E21" s="9"/>
      <c r="F21" s="9"/>
      <c r="G21" s="9"/>
      <c r="H21" s="9"/>
      <c r="I21" s="9"/>
      <c r="J21" s="9"/>
    </row>
    <row r="22" spans="1:17">
      <c r="A22" s="9"/>
      <c r="B22" s="9"/>
      <c r="C22" s="9"/>
      <c r="D22" s="9"/>
      <c r="E22" s="9"/>
      <c r="F22" s="9"/>
      <c r="G22" s="9"/>
      <c r="H22" s="9"/>
      <c r="I22" s="9"/>
      <c r="J22" s="9"/>
    </row>
    <row r="24" spans="1:17">
      <c r="B24" s="7"/>
      <c r="C24" s="7"/>
      <c r="D24" s="7"/>
    </row>
    <row r="25" spans="1:17">
      <c r="A25" s="5"/>
      <c r="B25" s="8"/>
    </row>
    <row r="26" spans="1:17">
      <c r="A26" s="5"/>
      <c r="B26" s="8"/>
      <c r="H26" s="7"/>
    </row>
    <row r="27" spans="1:17">
      <c r="A27" s="5"/>
      <c r="B27" s="8"/>
      <c r="H27" s="6"/>
    </row>
    <row r="28" spans="1:17">
      <c r="A28" s="5"/>
      <c r="B28" s="8"/>
    </row>
    <row r="29" spans="1:17">
      <c r="A29" s="5"/>
      <c r="B29" s="8"/>
    </row>
    <row r="30" spans="1:17">
      <c r="A30" s="5"/>
      <c r="B30" s="8"/>
    </row>
    <row r="32" spans="1:17">
      <c r="B32" s="7"/>
    </row>
    <row r="33" spans="1:3">
      <c r="A33" s="5"/>
      <c r="B33" s="8"/>
      <c r="C33" s="49"/>
    </row>
    <row r="34" spans="1:3">
      <c r="A34" s="5"/>
      <c r="B34" s="8"/>
    </row>
    <row r="35" spans="1:3">
      <c r="A35" s="5"/>
      <c r="B35" s="8"/>
    </row>
    <row r="36" spans="1:3">
      <c r="A36" s="5"/>
      <c r="B36" s="8"/>
    </row>
    <row r="37" spans="1:3">
      <c r="A37" s="5"/>
      <c r="B37" s="8"/>
    </row>
    <row r="38" spans="1:3">
      <c r="A38" s="5"/>
      <c r="B38" s="8"/>
    </row>
  </sheetData>
  <sheetProtection sheet="1" objects="1" scenarios="1"/>
  <mergeCells count="6">
    <mergeCell ref="A1:Q3"/>
    <mergeCell ref="A4:Q4"/>
    <mergeCell ref="A7:Q7"/>
    <mergeCell ref="O11:Q11"/>
    <mergeCell ref="H11:J11"/>
    <mergeCell ref="B11:D11"/>
  </mergeCell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L36"/>
  <sheetViews>
    <sheetView zoomScale="125" zoomScaleNormal="245" workbookViewId="0">
      <selection activeCell="H13" sqref="H13"/>
    </sheetView>
  </sheetViews>
  <sheetFormatPr baseColWidth="10" defaultRowHeight="16"/>
  <cols>
    <col min="1" max="1" width="7.1640625" bestFit="1" customWidth="1"/>
    <col min="2" max="2" width="11.1640625" customWidth="1"/>
    <col min="3" max="3" width="11.6640625" bestFit="1" customWidth="1"/>
    <col min="4" max="4" width="12.1640625" customWidth="1"/>
    <col min="5" max="5" width="12.33203125" bestFit="1" customWidth="1"/>
    <col min="7" max="7" width="14.1640625" bestFit="1" customWidth="1"/>
    <col min="8" max="8" width="15.1640625" bestFit="1" customWidth="1"/>
    <col min="9" max="9" width="11.6640625" bestFit="1" customWidth="1"/>
    <col min="10" max="10" width="18" bestFit="1" customWidth="1"/>
    <col min="11" max="11" width="14.83203125" bestFit="1" customWidth="1"/>
    <col min="12" max="12" width="20.33203125" bestFit="1" customWidth="1"/>
  </cols>
  <sheetData>
    <row r="1" spans="1:12" ht="16" customHeight="1">
      <c r="A1" s="118" t="s">
        <v>106</v>
      </c>
      <c r="B1" s="119"/>
      <c r="C1" s="119"/>
      <c r="D1" s="119"/>
      <c r="E1" s="119"/>
      <c r="F1" s="119"/>
      <c r="G1" s="119"/>
      <c r="H1" s="119"/>
      <c r="I1" s="119"/>
      <c r="J1" s="119"/>
      <c r="K1" s="119"/>
      <c r="L1" s="120"/>
    </row>
    <row r="2" spans="1:12">
      <c r="A2" s="121"/>
      <c r="B2" s="122"/>
      <c r="C2" s="122"/>
      <c r="D2" s="122"/>
      <c r="E2" s="122"/>
      <c r="F2" s="122"/>
      <c r="G2" s="122"/>
      <c r="H2" s="122"/>
      <c r="I2" s="122"/>
      <c r="J2" s="122"/>
      <c r="K2" s="122"/>
      <c r="L2" s="123"/>
    </row>
    <row r="3" spans="1:12" s="53" customFormat="1" ht="17" thickBot="1">
      <c r="A3" s="124"/>
      <c r="B3" s="125"/>
      <c r="C3" s="125"/>
      <c r="D3" s="125"/>
      <c r="E3" s="125"/>
      <c r="F3" s="125"/>
      <c r="G3" s="125"/>
      <c r="H3" s="125"/>
      <c r="I3" s="125"/>
      <c r="J3" s="125"/>
      <c r="K3" s="125"/>
      <c r="L3" s="126"/>
    </row>
    <row r="4" spans="1:12" ht="17" thickBot="1">
      <c r="A4" s="113" t="s">
        <v>35</v>
      </c>
      <c r="B4" s="114"/>
      <c r="C4" s="114"/>
      <c r="D4" s="114"/>
      <c r="E4" s="114"/>
      <c r="F4" s="114"/>
      <c r="G4" s="114"/>
      <c r="H4" s="114"/>
      <c r="I4" s="114"/>
      <c r="J4" s="114"/>
      <c r="K4" s="114"/>
      <c r="L4" s="115"/>
    </row>
    <row r="5" spans="1:12" ht="17" thickBot="1">
      <c r="B5" s="116" t="s">
        <v>90</v>
      </c>
      <c r="C5" s="116"/>
      <c r="D5" s="47" t="s">
        <v>85</v>
      </c>
      <c r="E5" s="116" t="s">
        <v>81</v>
      </c>
      <c r="F5" s="116"/>
    </row>
    <row r="6" spans="1:12" ht="16" customHeight="1">
      <c r="B6" s="111" t="s">
        <v>16</v>
      </c>
      <c r="C6" s="112"/>
      <c r="D6" s="72">
        <v>1.8099999999999999E-5</v>
      </c>
      <c r="E6" s="117" t="s">
        <v>110</v>
      </c>
      <c r="F6" s="117"/>
    </row>
    <row r="7" spans="1:12" ht="16" customHeight="1">
      <c r="B7" s="111" t="s">
        <v>30</v>
      </c>
      <c r="C7" s="112"/>
      <c r="D7" s="73">
        <v>10</v>
      </c>
      <c r="E7" s="107" t="s">
        <v>56</v>
      </c>
      <c r="F7" s="110"/>
    </row>
    <row r="8" spans="1:12" ht="17" thickBot="1">
      <c r="B8" s="111" t="s">
        <v>30</v>
      </c>
      <c r="C8" s="112"/>
      <c r="D8" s="74">
        <f>$D$7*6894.76</f>
        <v>68947.600000000006</v>
      </c>
      <c r="E8" s="107" t="s">
        <v>31</v>
      </c>
      <c r="F8" s="110"/>
    </row>
    <row r="9" spans="1:12" ht="17" thickBot="1">
      <c r="A9" s="113" t="s">
        <v>36</v>
      </c>
      <c r="B9" s="114"/>
      <c r="C9" s="114"/>
      <c r="D9" s="114"/>
      <c r="E9" s="114"/>
      <c r="F9" s="114"/>
      <c r="G9" s="114"/>
      <c r="H9" s="114"/>
      <c r="I9" s="114"/>
      <c r="J9" s="114"/>
      <c r="K9" s="114"/>
      <c r="L9" s="115"/>
    </row>
    <row r="10" spans="1:12">
      <c r="B10" s="107" t="s">
        <v>13</v>
      </c>
      <c r="C10" s="107"/>
      <c r="D10" s="107"/>
      <c r="E10" s="107"/>
      <c r="F10" s="107"/>
      <c r="G10" s="9"/>
    </row>
    <row r="11" spans="1:12">
      <c r="B11" s="107" t="s">
        <v>68</v>
      </c>
      <c r="C11" s="107"/>
      <c r="D11" s="107"/>
      <c r="E11" s="107"/>
      <c r="F11" s="107"/>
      <c r="G11" s="9"/>
      <c r="H11" s="9"/>
      <c r="I11" s="39"/>
      <c r="J11" s="40"/>
    </row>
    <row r="12" spans="1:12">
      <c r="B12" s="109" t="s">
        <v>37</v>
      </c>
      <c r="C12" s="109"/>
      <c r="D12" s="109"/>
      <c r="E12" s="109"/>
      <c r="F12" s="109"/>
    </row>
    <row r="13" spans="1:12" s="53" customFormat="1">
      <c r="B13" s="109" t="s">
        <v>100</v>
      </c>
      <c r="C13" s="109"/>
      <c r="D13" s="109"/>
      <c r="E13" s="109"/>
      <c r="F13" s="109"/>
    </row>
    <row r="14" spans="1:12">
      <c r="C14" t="s">
        <v>102</v>
      </c>
      <c r="D14" t="s">
        <v>103</v>
      </c>
    </row>
    <row r="15" spans="1:12">
      <c r="B15" s="62" t="s">
        <v>67</v>
      </c>
      <c r="C15" s="62" t="s">
        <v>23</v>
      </c>
      <c r="D15" s="62" t="s">
        <v>24</v>
      </c>
      <c r="E15" s="62" t="s">
        <v>25</v>
      </c>
      <c r="F15" s="62" t="s">
        <v>26</v>
      </c>
      <c r="G15" s="62" t="s">
        <v>27</v>
      </c>
      <c r="H15" s="62" t="s">
        <v>28</v>
      </c>
      <c r="I15" s="62" t="s">
        <v>29</v>
      </c>
      <c r="J15" s="62" t="s">
        <v>105</v>
      </c>
      <c r="K15" s="62" t="s">
        <v>104</v>
      </c>
      <c r="L15" s="62" t="s">
        <v>101</v>
      </c>
    </row>
    <row r="16" spans="1:12">
      <c r="B16" s="71">
        <v>1</v>
      </c>
      <c r="C16" s="63">
        <v>0.5</v>
      </c>
      <c r="D16" s="63">
        <v>0.35</v>
      </c>
      <c r="E16" s="63">
        <v>15</v>
      </c>
      <c r="F16" s="64">
        <f>MAX(C16:D16)</f>
        <v>0.5</v>
      </c>
      <c r="G16" s="64">
        <f>MIN(C16:D16)</f>
        <v>0.35</v>
      </c>
      <c r="H16" s="65">
        <f>IF(AND(F16&gt;0,G16&gt;0),(12*$D$6*E16/1000)/((F16/1000*(G16/1000)^3)*(1-((0.63*(G16/1000))/(F16/1000)))),0)</f>
        <v>271872408.55964166</v>
      </c>
      <c r="I16" s="66">
        <f>C16*D16*E16</f>
        <v>2.625</v>
      </c>
      <c r="J16" s="27">
        <f>IF(AND(F16&gt;0,G16&gt;0), $H$33/(F16/1000*G16/1000)*1000, "NAN")</f>
        <v>24431.914073366908</v>
      </c>
      <c r="K16" s="27">
        <f>IF(AND(F16&gt;0,G16&gt;0), 1/J16, "NAN")</f>
        <v>4.0930071913198747E-5</v>
      </c>
      <c r="L16" s="13">
        <f>6*$D$6*$H$33 / (G16/1000*G16/1000*F16/1000)</f>
        <v>7.5808739096218458</v>
      </c>
    </row>
    <row r="17" spans="2:12">
      <c r="B17" s="71">
        <v>2</v>
      </c>
      <c r="C17" s="63">
        <v>0.2</v>
      </c>
      <c r="D17" s="63">
        <v>0.1</v>
      </c>
      <c r="E17" s="63">
        <v>10</v>
      </c>
      <c r="F17" s="64">
        <f t="shared" ref="F17:F20" si="0">MAX(C17:D17)</f>
        <v>0.2</v>
      </c>
      <c r="G17" s="64">
        <f t="shared" ref="G17:G20" si="1">MIN(C17:D17)</f>
        <v>0.1</v>
      </c>
      <c r="H17" s="65">
        <f>IF(AND(F17&gt;0,G17&gt;0),(12*$D$6*E17/1000)/((F17/1000*(G17/1000)^3)*(1-((0.63*(G17/1000))/(F17/1000)))),0)</f>
        <v>15854014598.540142</v>
      </c>
      <c r="I17" s="66">
        <f t="shared" ref="I17:I20" si="2">C17*D17*E17</f>
        <v>0.20000000000000004</v>
      </c>
      <c r="J17" s="27">
        <f>IF(AND(F17&gt;0,G17&gt;0), $H$33/(F17/1000*G17/1000)*1000, "NAN")</f>
        <v>213779.24814196042</v>
      </c>
      <c r="K17" s="27">
        <f t="shared" ref="K17:K20" si="3">IF(AND(F17&gt;0,G17&gt;0), 1/J17, "NAN")</f>
        <v>4.6777225043655714E-6</v>
      </c>
      <c r="L17" s="13">
        <f t="shared" ref="L17:L20" si="4">6*$D$6*$H$33 / (G17/1000*G17/1000*F17/1000)</f>
        <v>232.16426348216902</v>
      </c>
    </row>
    <row r="18" spans="2:12">
      <c r="B18" s="71">
        <v>3</v>
      </c>
      <c r="C18" s="63"/>
      <c r="D18" s="63"/>
      <c r="E18" s="63"/>
      <c r="F18" s="64">
        <f t="shared" si="0"/>
        <v>0</v>
      </c>
      <c r="G18" s="64">
        <f t="shared" si="1"/>
        <v>0</v>
      </c>
      <c r="H18" s="65">
        <f>IF(AND(F18&gt;0,G18&gt;0),(12*$D$6*E18/1000)/((F18/1000*(G18/1000)^3)*(1-((0.63*(G18/1000))/(F18/1000)))),0)</f>
        <v>0</v>
      </c>
      <c r="I18" s="66">
        <f t="shared" si="2"/>
        <v>0</v>
      </c>
      <c r="J18" s="27" t="str">
        <f>IF(AND(F18&gt;0,G18&gt;0), $H$33/(F18/1000*G18/1000)*1000, "NAN")</f>
        <v>NAN</v>
      </c>
      <c r="K18" s="27" t="str">
        <f t="shared" si="3"/>
        <v>NAN</v>
      </c>
      <c r="L18" s="13" t="e">
        <f t="shared" si="4"/>
        <v>#DIV/0!</v>
      </c>
    </row>
    <row r="19" spans="2:12">
      <c r="B19" s="71">
        <v>4</v>
      </c>
      <c r="C19" s="63"/>
      <c r="D19" s="63"/>
      <c r="E19" s="63"/>
      <c r="F19" s="64">
        <f t="shared" si="0"/>
        <v>0</v>
      </c>
      <c r="G19" s="64">
        <f t="shared" si="1"/>
        <v>0</v>
      </c>
      <c r="H19" s="65">
        <f>IF(AND(F19&gt;0,G19&gt;0),(12*$D$6*E19/1000)/((F19/1000*(G19/1000)^3)*(1-((0.63*(G19/1000))/(F19/1000)))),0)</f>
        <v>0</v>
      </c>
      <c r="I19" s="66">
        <f t="shared" si="2"/>
        <v>0</v>
      </c>
      <c r="J19" s="27" t="str">
        <f>IF(AND(F19&gt;0,G19&gt;0), $H$33/(F19/1000*G19/1000)*1000, "NAN")</f>
        <v>NAN</v>
      </c>
      <c r="K19" s="27" t="str">
        <f t="shared" si="3"/>
        <v>NAN</v>
      </c>
      <c r="L19" s="13" t="e">
        <f t="shared" si="4"/>
        <v>#DIV/0!</v>
      </c>
    </row>
    <row r="20" spans="2:12">
      <c r="B20" s="71">
        <v>5</v>
      </c>
      <c r="C20" s="63"/>
      <c r="D20" s="63"/>
      <c r="E20" s="63"/>
      <c r="F20" s="64">
        <f t="shared" si="0"/>
        <v>0</v>
      </c>
      <c r="G20" s="64">
        <f t="shared" si="1"/>
        <v>0</v>
      </c>
      <c r="H20" s="65">
        <f>IF(AND(F20&gt;0,G20&gt;0),(12*$D$6*E20/1000)/((F20/1000*(G20/1000)^3)*(1-((0.63*(G20/1000))/(F20/1000)))),0)</f>
        <v>0</v>
      </c>
      <c r="I20" s="66">
        <f t="shared" si="2"/>
        <v>0</v>
      </c>
      <c r="J20" s="27" t="str">
        <f>IF(AND(F20&gt;0,G20&gt;0), $H$33/(F20/1000*G20/1000)*1000, "NAN")</f>
        <v>NAN</v>
      </c>
      <c r="K20" s="27" t="str">
        <f t="shared" si="3"/>
        <v>NAN</v>
      </c>
      <c r="L20" s="13" t="e">
        <f t="shared" si="4"/>
        <v>#DIV/0!</v>
      </c>
    </row>
    <row r="21" spans="2:12">
      <c r="K21" s="9"/>
    </row>
    <row r="22" spans="2:12">
      <c r="B22" s="62" t="s">
        <v>67</v>
      </c>
      <c r="C22" s="62"/>
      <c r="D22" s="62" t="s">
        <v>40</v>
      </c>
      <c r="E22" s="62" t="s">
        <v>25</v>
      </c>
      <c r="F22" s="62"/>
      <c r="G22" s="62"/>
      <c r="H22" s="62" t="s">
        <v>28</v>
      </c>
      <c r="I22" s="62" t="s">
        <v>29</v>
      </c>
      <c r="J22" s="62" t="s">
        <v>105</v>
      </c>
      <c r="K22" s="62" t="s">
        <v>104</v>
      </c>
      <c r="L22" s="62" t="s">
        <v>101</v>
      </c>
    </row>
    <row r="23" spans="2:12">
      <c r="B23" s="67">
        <v>1</v>
      </c>
      <c r="C23" s="67"/>
      <c r="D23" s="68"/>
      <c r="E23" s="68"/>
      <c r="F23" s="67"/>
      <c r="G23" s="67"/>
      <c r="H23" s="69">
        <f>IF(AND(D23&gt;0,E23&gt;0),((8*$D$6*E23/1000)/(PI()*(D23/1000)^4)),0)</f>
        <v>0</v>
      </c>
      <c r="I23" s="70">
        <f>PI()*D23*D23*E23</f>
        <v>0</v>
      </c>
      <c r="J23" s="27"/>
      <c r="K23" s="27"/>
      <c r="L23" s="80" t="e">
        <f>4*$D$6*$H$33 / (PI() * D23/1000* D23/1000 * D23/1000)</f>
        <v>#DIV/0!</v>
      </c>
    </row>
    <row r="24" spans="2:12">
      <c r="B24" s="67">
        <v>2</v>
      </c>
      <c r="C24" s="67"/>
      <c r="D24" s="68"/>
      <c r="E24" s="68"/>
      <c r="F24" s="67"/>
      <c r="G24" s="67"/>
      <c r="H24" s="69">
        <f t="shared" ref="H24:H27" si="5">IF(AND(D24&gt;0,E24&gt;0),(8*$D$6*E24/(PI()*D24*D24*D24*D24)),0)</f>
        <v>0</v>
      </c>
      <c r="I24" s="70">
        <f t="shared" ref="I24:I27" si="6">PI()*D24*D24*E24</f>
        <v>0</v>
      </c>
      <c r="J24" s="27"/>
      <c r="K24" s="27"/>
      <c r="L24" s="80" t="e">
        <f t="shared" ref="L24:L27" si="7">4*$D$6*$H$33 / (PI() * D24/1000* D24/1000 * D24/1000)</f>
        <v>#DIV/0!</v>
      </c>
    </row>
    <row r="25" spans="2:12">
      <c r="B25" s="67">
        <v>3</v>
      </c>
      <c r="C25" s="67"/>
      <c r="D25" s="68"/>
      <c r="E25" s="68"/>
      <c r="F25" s="67"/>
      <c r="G25" s="67"/>
      <c r="H25" s="69">
        <f t="shared" si="5"/>
        <v>0</v>
      </c>
      <c r="I25" s="70">
        <f t="shared" si="6"/>
        <v>0</v>
      </c>
      <c r="J25" s="27"/>
      <c r="K25" s="27"/>
      <c r="L25" s="80" t="e">
        <f t="shared" si="7"/>
        <v>#DIV/0!</v>
      </c>
    </row>
    <row r="26" spans="2:12">
      <c r="B26" s="67">
        <v>4</v>
      </c>
      <c r="C26" s="67"/>
      <c r="D26" s="68"/>
      <c r="E26" s="68"/>
      <c r="F26" s="67"/>
      <c r="G26" s="67"/>
      <c r="H26" s="69">
        <f t="shared" si="5"/>
        <v>0</v>
      </c>
      <c r="I26" s="70">
        <f t="shared" si="6"/>
        <v>0</v>
      </c>
      <c r="J26" s="27"/>
      <c r="K26" s="27"/>
      <c r="L26" s="80" t="e">
        <f t="shared" si="7"/>
        <v>#DIV/0!</v>
      </c>
    </row>
    <row r="27" spans="2:12">
      <c r="B27" s="67">
        <v>5</v>
      </c>
      <c r="C27" s="67"/>
      <c r="D27" s="68"/>
      <c r="E27" s="68"/>
      <c r="F27" s="67"/>
      <c r="G27" s="67"/>
      <c r="H27" s="69">
        <f t="shared" si="5"/>
        <v>0</v>
      </c>
      <c r="I27" s="70">
        <f t="shared" si="6"/>
        <v>0</v>
      </c>
      <c r="J27" s="27"/>
      <c r="K27" s="27"/>
      <c r="L27" s="80" t="e">
        <f t="shared" si="7"/>
        <v>#DIV/0!</v>
      </c>
    </row>
    <row r="29" spans="2:12">
      <c r="G29" s="37" t="s">
        <v>71</v>
      </c>
      <c r="H29" s="6">
        <v>0</v>
      </c>
    </row>
    <row r="31" spans="2:12">
      <c r="G31" s="37" t="s">
        <v>72</v>
      </c>
      <c r="H31" s="44">
        <f>SUM(H16:H20) + SUM(H23:H27) +H29</f>
        <v>16125887007.099783</v>
      </c>
      <c r="I31" s="27">
        <f>SUM(I16:I20) + SUM(I23:I27)</f>
        <v>2.8250000000000002</v>
      </c>
    </row>
    <row r="32" spans="2:12">
      <c r="G32" s="37"/>
    </row>
    <row r="33" spans="7:8">
      <c r="G33" s="37" t="s">
        <v>73</v>
      </c>
      <c r="H33" s="44">
        <f>$D$8/H31</f>
        <v>4.2755849628392085E-6</v>
      </c>
    </row>
    <row r="34" spans="7:8">
      <c r="G34" s="37" t="s">
        <v>74</v>
      </c>
      <c r="H34" s="4">
        <f>H33*60</f>
        <v>2.5653509777035253E-4</v>
      </c>
    </row>
    <row r="35" spans="7:8">
      <c r="G35" s="37" t="s">
        <v>75</v>
      </c>
      <c r="H35" s="4">
        <f>H34*1000</f>
        <v>0.25653509777035255</v>
      </c>
    </row>
    <row r="36" spans="7:8">
      <c r="G36" s="37" t="s">
        <v>76</v>
      </c>
      <c r="H36" s="4">
        <f>H35*1000</f>
        <v>256.53509777035254</v>
      </c>
    </row>
  </sheetData>
  <sheetProtection sheet="1" objects="1" scenarios="1"/>
  <mergeCells count="15">
    <mergeCell ref="A1:L3"/>
    <mergeCell ref="B6:C6"/>
    <mergeCell ref="B7:C7"/>
    <mergeCell ref="B8:C8"/>
    <mergeCell ref="B10:F10"/>
    <mergeCell ref="A4:L4"/>
    <mergeCell ref="A9:L9"/>
    <mergeCell ref="B5:C5"/>
    <mergeCell ref="E5:F5"/>
    <mergeCell ref="E6:F6"/>
    <mergeCell ref="B13:F13"/>
    <mergeCell ref="E7:F7"/>
    <mergeCell ref="E8:F8"/>
    <mergeCell ref="B11:F11"/>
    <mergeCell ref="B12:F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L30"/>
  <sheetViews>
    <sheetView zoomScale="131" workbookViewId="0">
      <selection activeCell="K5" sqref="K5"/>
    </sheetView>
  </sheetViews>
  <sheetFormatPr baseColWidth="10" defaultRowHeight="16"/>
  <cols>
    <col min="5" max="5" width="12.1640625" bestFit="1" customWidth="1"/>
    <col min="10" max="10" width="14.1640625" customWidth="1"/>
  </cols>
  <sheetData>
    <row r="1" spans="1:12" ht="16" customHeight="1">
      <c r="A1" s="127" t="s">
        <v>112</v>
      </c>
      <c r="B1" s="128"/>
      <c r="C1" s="128"/>
      <c r="D1" s="128"/>
      <c r="E1" s="128"/>
      <c r="F1" s="128"/>
      <c r="G1" s="128"/>
      <c r="H1" s="128"/>
      <c r="I1" s="128"/>
      <c r="J1" s="128"/>
      <c r="K1" s="128"/>
      <c r="L1" s="129"/>
    </row>
    <row r="2" spans="1:12" ht="17" thickBot="1">
      <c r="A2" s="130"/>
      <c r="B2" s="131"/>
      <c r="C2" s="131"/>
      <c r="D2" s="131"/>
      <c r="E2" s="131"/>
      <c r="F2" s="131"/>
      <c r="G2" s="131"/>
      <c r="H2" s="131"/>
      <c r="I2" s="131"/>
      <c r="J2" s="131"/>
      <c r="K2" s="131"/>
      <c r="L2" s="132"/>
    </row>
    <row r="3" spans="1:12" s="53" customFormat="1">
      <c r="A3" s="81"/>
      <c r="B3" s="81"/>
      <c r="C3" s="81"/>
      <c r="D3" s="81"/>
      <c r="E3" s="81"/>
      <c r="F3" s="81"/>
      <c r="G3" s="81"/>
      <c r="H3" s="81"/>
      <c r="I3" s="81"/>
      <c r="J3" s="81"/>
      <c r="K3" s="81"/>
      <c r="L3" s="81"/>
    </row>
    <row r="4" spans="1:12" ht="17">
      <c r="A4" s="14"/>
      <c r="B4" s="14"/>
      <c r="C4" s="14">
        <v>1</v>
      </c>
      <c r="D4" s="14" t="s">
        <v>64</v>
      </c>
      <c r="E4" s="14">
        <v>6894.76</v>
      </c>
      <c r="F4" s="14" t="s">
        <v>31</v>
      </c>
      <c r="G4" s="14"/>
      <c r="H4" s="52"/>
      <c r="I4" s="54" t="s">
        <v>113</v>
      </c>
      <c r="J4" s="14"/>
      <c r="K4" s="14"/>
    </row>
    <row r="5" spans="1:12" s="53" customFormat="1">
      <c r="A5" s="82"/>
      <c r="B5" s="82"/>
      <c r="C5" s="82"/>
      <c r="D5" s="82"/>
      <c r="E5" s="82"/>
      <c r="F5" s="82"/>
      <c r="G5" s="82"/>
      <c r="H5" s="82"/>
      <c r="I5" s="82"/>
      <c r="J5" s="82"/>
      <c r="K5" s="82"/>
      <c r="L5" s="83"/>
    </row>
    <row r="6" spans="1:12" s="53" customFormat="1">
      <c r="A6" s="52"/>
      <c r="B6" s="52"/>
      <c r="C6" s="52"/>
      <c r="D6" s="52"/>
      <c r="E6" s="52"/>
      <c r="F6" s="52"/>
      <c r="G6" s="52"/>
      <c r="H6" s="52"/>
      <c r="I6" s="52"/>
      <c r="J6" s="52"/>
      <c r="K6" s="52"/>
    </row>
    <row r="7" spans="1:12">
      <c r="A7" s="14"/>
      <c r="B7" s="14"/>
      <c r="C7" s="14"/>
      <c r="D7" s="14"/>
      <c r="E7" s="14"/>
      <c r="F7" s="14"/>
      <c r="G7" s="14"/>
      <c r="H7" s="14"/>
      <c r="I7" s="14"/>
      <c r="J7" s="14"/>
      <c r="K7" s="14"/>
    </row>
    <row r="8" spans="1:12">
      <c r="B8" s="30"/>
      <c r="C8" s="30"/>
      <c r="D8" s="30"/>
      <c r="E8" s="30"/>
      <c r="F8" s="30"/>
    </row>
    <row r="9" spans="1:12">
      <c r="B9" s="28"/>
      <c r="D9" s="24" t="s">
        <v>80</v>
      </c>
      <c r="E9" s="31" t="s">
        <v>81</v>
      </c>
      <c r="F9" s="11"/>
      <c r="G9" t="s">
        <v>78</v>
      </c>
      <c r="H9" t="s">
        <v>79</v>
      </c>
    </row>
    <row r="10" spans="1:12">
      <c r="B10" s="28" t="s">
        <v>47</v>
      </c>
      <c r="C10" s="24"/>
      <c r="D10" s="1">
        <v>7.2</v>
      </c>
      <c r="E10" s="29" t="s">
        <v>55</v>
      </c>
      <c r="G10">
        <v>0</v>
      </c>
      <c r="H10" s="6">
        <f t="shared" ref="H10:H30" si="0">($D$11*$D$13 +$D$11*$D$11*TANH(($D$11*G10)/(2*$D$17*$D$19)))/($D$11+$D$13*TANH(($D$11*G10)/(2*$D$17*$D$19)))</f>
        <v>101352.97199999999</v>
      </c>
    </row>
    <row r="11" spans="1:12">
      <c r="D11" s="2">
        <f>D10*$E$4</f>
        <v>49642.272000000004</v>
      </c>
      <c r="E11" t="s">
        <v>31</v>
      </c>
      <c r="G11">
        <v>5.0000000000000001E-3</v>
      </c>
      <c r="H11" s="6">
        <f t="shared" si="0"/>
        <v>84004.62958811615</v>
      </c>
    </row>
    <row r="12" spans="1:12">
      <c r="B12" s="28" t="s">
        <v>48</v>
      </c>
      <c r="C12" s="24"/>
      <c r="D12" s="1">
        <v>14.7</v>
      </c>
      <c r="E12" s="29" t="s">
        <v>55</v>
      </c>
      <c r="G12">
        <v>0.01</v>
      </c>
      <c r="H12" s="6">
        <f t="shared" si="0"/>
        <v>73391.893719519343</v>
      </c>
    </row>
    <row r="13" spans="1:12">
      <c r="D13" s="2">
        <f>D12*$E$4</f>
        <v>101352.97199999999</v>
      </c>
      <c r="E13" t="s">
        <v>31</v>
      </c>
      <c r="G13">
        <v>1.4999999999999999E-2</v>
      </c>
      <c r="H13" s="6">
        <f t="shared" si="0"/>
        <v>66469.570296422258</v>
      </c>
    </row>
    <row r="14" spans="1:12">
      <c r="B14" s="28" t="s">
        <v>30</v>
      </c>
      <c r="C14" s="28"/>
      <c r="D14" s="2">
        <f>D10-D12</f>
        <v>-7.4999999999999991</v>
      </c>
      <c r="E14" s="29" t="s">
        <v>56</v>
      </c>
      <c r="G14">
        <v>0.02</v>
      </c>
      <c r="H14" s="6">
        <f t="shared" si="0"/>
        <v>61763.683504657514</v>
      </c>
    </row>
    <row r="15" spans="1:12">
      <c r="B15" s="28"/>
      <c r="C15" s="28"/>
      <c r="D15" s="2">
        <f>D14*$E$4</f>
        <v>-51710.7</v>
      </c>
      <c r="E15" t="s">
        <v>31</v>
      </c>
      <c r="G15">
        <v>2.5000000000000001E-2</v>
      </c>
      <c r="H15" s="6">
        <f t="shared" si="0"/>
        <v>58473.935205883558</v>
      </c>
    </row>
    <row r="16" spans="1:12">
      <c r="G16">
        <v>0.03</v>
      </c>
      <c r="H16" s="6">
        <f t="shared" si="0"/>
        <v>56129.010284350377</v>
      </c>
    </row>
    <row r="17" spans="2:8">
      <c r="B17" s="28" t="s">
        <v>50</v>
      </c>
      <c r="C17" s="28"/>
      <c r="D17" s="3">
        <v>177800000000</v>
      </c>
      <c r="E17" s="29" t="s">
        <v>49</v>
      </c>
      <c r="G17">
        <v>3.5000000000000003E-2</v>
      </c>
      <c r="H17" s="6">
        <f t="shared" si="0"/>
        <v>54434.290153587484</v>
      </c>
    </row>
    <row r="18" spans="2:8">
      <c r="B18" s="28" t="s">
        <v>53</v>
      </c>
      <c r="C18" s="45"/>
      <c r="D18" s="3">
        <v>4.87</v>
      </c>
      <c r="E18" s="29" t="s">
        <v>54</v>
      </c>
      <c r="G18">
        <v>0.04</v>
      </c>
      <c r="H18" s="6">
        <f t="shared" si="0"/>
        <v>53197.212337845078</v>
      </c>
    </row>
    <row r="19" spans="2:8">
      <c r="D19" s="12">
        <f>D18/1000000000</f>
        <v>4.8699999999999999E-9</v>
      </c>
      <c r="E19" t="s">
        <v>63</v>
      </c>
      <c r="G19">
        <v>4.4999999999999998E-2</v>
      </c>
      <c r="H19" s="6">
        <f t="shared" si="0"/>
        <v>52287.608040585961</v>
      </c>
    </row>
    <row r="20" spans="2:8">
      <c r="B20" s="28" t="s">
        <v>51</v>
      </c>
      <c r="C20" s="45"/>
      <c r="D20" s="1">
        <v>12</v>
      </c>
      <c r="E20" s="29" t="s">
        <v>55</v>
      </c>
      <c r="G20">
        <v>0.05</v>
      </c>
      <c r="H20" s="6">
        <f t="shared" si="0"/>
        <v>51615.20968154358</v>
      </c>
    </row>
    <row r="21" spans="2:8">
      <c r="D21" s="2">
        <f>D20*$E$4</f>
        <v>82737.119999999995</v>
      </c>
      <c r="E21" t="s">
        <v>31</v>
      </c>
      <c r="G21">
        <v>5.5E-2</v>
      </c>
      <c r="H21" s="6">
        <f t="shared" si="0"/>
        <v>51116.194691832716</v>
      </c>
    </row>
    <row r="22" spans="2:8">
      <c r="B22" s="28" t="s">
        <v>52</v>
      </c>
      <c r="C22" s="45"/>
      <c r="D22" s="1">
        <v>9</v>
      </c>
      <c r="E22" s="29" t="s">
        <v>55</v>
      </c>
      <c r="G22">
        <v>0.06</v>
      </c>
      <c r="H22" s="6">
        <f t="shared" si="0"/>
        <v>50744.769774332504</v>
      </c>
    </row>
    <row r="23" spans="2:8">
      <c r="D23" s="2">
        <f>D22*$E$4</f>
        <v>62052.840000000004</v>
      </c>
      <c r="E23" t="s">
        <v>31</v>
      </c>
      <c r="G23">
        <v>6.5000000000000002E-2</v>
      </c>
      <c r="H23" s="6">
        <f t="shared" si="0"/>
        <v>50467.709807573512</v>
      </c>
    </row>
    <row r="24" spans="2:8">
      <c r="G24">
        <v>7.0000000000000007E-2</v>
      </c>
      <c r="H24" s="6">
        <f t="shared" si="0"/>
        <v>50260.704510532974</v>
      </c>
    </row>
    <row r="25" spans="2:8">
      <c r="B25" s="28" t="s">
        <v>57</v>
      </c>
      <c r="C25" s="28"/>
      <c r="D25" s="12">
        <f>((2*D17*D19)/D11) * ATANH( ( (D11*D21) - (D11*D13) ) / ( (D11*D11) - (D13*D21) ) )</f>
        <v>5.4893464184368607E-3</v>
      </c>
      <c r="E25" s="29" t="s">
        <v>62</v>
      </c>
      <c r="G25">
        <v>7.4999999999999997E-2</v>
      </c>
      <c r="H25" s="6">
        <f t="shared" si="0"/>
        <v>50105.85290007585</v>
      </c>
    </row>
    <row r="26" spans="2:8">
      <c r="B26" s="28" t="s">
        <v>58</v>
      </c>
      <c r="C26" s="45"/>
      <c r="D26" s="12">
        <f>((2*D17*D19)/D13) * ATANH( ( (D13*D23) - (D13*D11) ) / ( (D13*D13) - (D11*D23) ) )</f>
        <v>3.0194080751806481E-3</v>
      </c>
      <c r="E26" s="29" t="s">
        <v>62</v>
      </c>
      <c r="G26">
        <v>0.08</v>
      </c>
      <c r="H26" s="6">
        <f t="shared" si="0"/>
        <v>49989.910082443443</v>
      </c>
    </row>
    <row r="27" spans="2:8">
      <c r="B27" s="28" t="s">
        <v>38</v>
      </c>
      <c r="C27" s="45"/>
      <c r="D27" s="1">
        <v>5</v>
      </c>
      <c r="E27" s="29"/>
      <c r="G27">
        <v>8.5000000000000006E-2</v>
      </c>
      <c r="H27" s="6">
        <f t="shared" si="0"/>
        <v>49903.040679877144</v>
      </c>
    </row>
    <row r="28" spans="2:8">
      <c r="B28" s="28" t="s">
        <v>59</v>
      </c>
      <c r="C28" s="46"/>
      <c r="D28" s="13">
        <f>(D25+D26)*D27</f>
        <v>4.2543772468087541E-2</v>
      </c>
      <c r="E28" s="29" t="s">
        <v>62</v>
      </c>
      <c r="G28">
        <v>0.09</v>
      </c>
      <c r="H28" s="6">
        <f t="shared" si="0"/>
        <v>49837.92123007647</v>
      </c>
    </row>
    <row r="29" spans="2:8">
      <c r="B29" s="28" t="s">
        <v>60</v>
      </c>
      <c r="C29" s="46"/>
      <c r="D29" s="13">
        <f>1/D28</f>
        <v>23.505202806124181</v>
      </c>
      <c r="E29" s="29" t="s">
        <v>61</v>
      </c>
      <c r="G29">
        <v>9.5000000000000001E-2</v>
      </c>
      <c r="H29" s="6">
        <f t="shared" si="0"/>
        <v>49789.087466708916</v>
      </c>
    </row>
    <row r="30" spans="2:8">
      <c r="G30">
        <v>0.1</v>
      </c>
      <c r="H30" s="6">
        <f t="shared" si="0"/>
        <v>49752.456040005134</v>
      </c>
    </row>
  </sheetData>
  <sheetProtection sheet="1" objects="1" scenarios="1"/>
  <mergeCells count="1">
    <mergeCell ref="A1:L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L7"/>
  <sheetViews>
    <sheetView zoomScale="125" zoomScaleNormal="253" workbookViewId="0">
      <selection activeCell="E16" sqref="E16"/>
    </sheetView>
  </sheetViews>
  <sheetFormatPr baseColWidth="10" defaultRowHeight="16"/>
  <cols>
    <col min="1" max="2" width="16.33203125" bestFit="1" customWidth="1"/>
    <col min="3" max="3" width="11.6640625" bestFit="1" customWidth="1"/>
    <col min="5" max="6" width="11.83203125" bestFit="1" customWidth="1"/>
    <col min="7" max="7" width="12.5" bestFit="1" customWidth="1"/>
    <col min="8" max="8" width="12.5" customWidth="1"/>
    <col min="9" max="10" width="12.5" bestFit="1" customWidth="1"/>
  </cols>
  <sheetData>
    <row r="1" spans="1:12" ht="16" customHeight="1">
      <c r="A1" s="127" t="s">
        <v>77</v>
      </c>
      <c r="B1" s="128"/>
      <c r="C1" s="128"/>
      <c r="D1" s="128"/>
      <c r="E1" s="128"/>
      <c r="F1" s="128"/>
      <c r="G1" s="128"/>
      <c r="H1" s="128"/>
      <c r="I1" s="128"/>
      <c r="J1" s="128"/>
      <c r="K1" s="129"/>
      <c r="L1" s="15"/>
    </row>
    <row r="2" spans="1:12" ht="17" thickBot="1">
      <c r="A2" s="130"/>
      <c r="B2" s="131"/>
      <c r="C2" s="131"/>
      <c r="D2" s="131"/>
      <c r="E2" s="131"/>
      <c r="F2" s="131"/>
      <c r="G2" s="131"/>
      <c r="H2" s="131"/>
      <c r="I2" s="131"/>
      <c r="J2" s="131"/>
      <c r="K2" s="132"/>
      <c r="L2" s="15"/>
    </row>
    <row r="3" spans="1:12" ht="17" thickBot="1"/>
    <row r="4" spans="1:12" s="7" customFormat="1" ht="17" thickBot="1">
      <c r="A4" s="77"/>
      <c r="B4" s="78" t="s">
        <v>46</v>
      </c>
      <c r="C4" s="78" t="s">
        <v>40</v>
      </c>
      <c r="D4" s="78" t="s">
        <v>25</v>
      </c>
      <c r="E4" s="78" t="s">
        <v>23</v>
      </c>
      <c r="F4" s="78" t="s">
        <v>24</v>
      </c>
      <c r="G4" s="78" t="s">
        <v>41</v>
      </c>
      <c r="H4" s="78" t="s">
        <v>29</v>
      </c>
      <c r="I4" s="78" t="s">
        <v>42</v>
      </c>
      <c r="J4" s="78" t="s">
        <v>43</v>
      </c>
      <c r="K4" s="79"/>
    </row>
    <row r="5" spans="1:12">
      <c r="B5" s="7" t="s">
        <v>44</v>
      </c>
      <c r="C5" s="34"/>
      <c r="D5" s="75">
        <v>5.0000000000000001E-3</v>
      </c>
      <c r="E5" s="75">
        <v>5.0000000000000001E-3</v>
      </c>
      <c r="F5" s="75">
        <v>5.0000000000000001E-3</v>
      </c>
      <c r="G5" s="76">
        <f>D5*E5*F5/1000</f>
        <v>1.2500000000000003E-10</v>
      </c>
      <c r="H5" s="76">
        <f>G5*1000</f>
        <v>1.2500000000000002E-7</v>
      </c>
      <c r="I5" s="76">
        <f>G5*1000000</f>
        <v>1.2500000000000003E-4</v>
      </c>
      <c r="J5" s="76">
        <f>G5*1000000000</f>
        <v>0.12500000000000003</v>
      </c>
    </row>
    <row r="6" spans="1:12">
      <c r="B6" s="7" t="s">
        <v>39</v>
      </c>
      <c r="C6" s="35">
        <v>0.2</v>
      </c>
      <c r="D6" s="35">
        <v>0.5</v>
      </c>
      <c r="E6" s="34"/>
      <c r="F6" s="34"/>
      <c r="G6" s="4">
        <f>PI()*C6*C6*D6/1000</f>
        <v>6.283185307179587E-5</v>
      </c>
      <c r="H6" s="4">
        <f t="shared" ref="H6:H7" si="0">G6*1000</f>
        <v>6.2831853071795868E-2</v>
      </c>
      <c r="I6" s="4">
        <f t="shared" ref="I6:I7" si="1">G6*1000000</f>
        <v>62.831853071795869</v>
      </c>
      <c r="J6" s="4">
        <f t="shared" ref="J6:J7" si="2">G6*1000000000</f>
        <v>62831.853071795871</v>
      </c>
    </row>
    <row r="7" spans="1:12">
      <c r="B7" s="7" t="s">
        <v>45</v>
      </c>
      <c r="C7" s="35">
        <v>0.05</v>
      </c>
      <c r="D7" s="34"/>
      <c r="E7" s="34"/>
      <c r="F7" s="34"/>
      <c r="G7" s="13">
        <f>4/3*PI()*C7^3/1000</f>
        <v>5.2359877559829892E-7</v>
      </c>
      <c r="H7" s="4">
        <f t="shared" si="0"/>
        <v>5.2359877559829892E-4</v>
      </c>
      <c r="I7" s="4">
        <f t="shared" si="1"/>
        <v>0.52359877559829893</v>
      </c>
      <c r="J7" s="4">
        <f t="shared" si="2"/>
        <v>523.59877559829897</v>
      </c>
    </row>
  </sheetData>
  <sheetProtection sheet="1" objects="1" scenarios="1"/>
  <mergeCells count="1">
    <mergeCell ref="A1:K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8"/>
  <sheetViews>
    <sheetView tabSelected="1" workbookViewId="0">
      <selection activeCell="A9" sqref="A9"/>
    </sheetView>
  </sheetViews>
  <sheetFormatPr baseColWidth="10" defaultRowHeight="16"/>
  <cols>
    <col min="1" max="1" width="12.1640625" bestFit="1" customWidth="1"/>
    <col min="2" max="2" width="13.1640625" customWidth="1"/>
  </cols>
  <sheetData>
    <row r="1" spans="1:2">
      <c r="A1" s="36" t="s">
        <v>66</v>
      </c>
      <c r="B1" s="38" t="s">
        <v>65</v>
      </c>
    </row>
    <row r="2" spans="1:2">
      <c r="A2" s="36" t="s">
        <v>70</v>
      </c>
      <c r="B2" s="38">
        <v>1.4</v>
      </c>
    </row>
    <row r="3" spans="1:2">
      <c r="A3" s="36" t="s">
        <v>69</v>
      </c>
      <c r="B3" s="38" t="s">
        <v>82</v>
      </c>
    </row>
    <row r="5" spans="1:2">
      <c r="A5" s="48" t="s">
        <v>89</v>
      </c>
    </row>
    <row r="6" spans="1:2">
      <c r="A6">
        <v>1.2</v>
      </c>
      <c r="B6" t="s">
        <v>86</v>
      </c>
    </row>
    <row r="7" spans="1:2">
      <c r="A7">
        <v>1.3</v>
      </c>
      <c r="B7" t="s">
        <v>87</v>
      </c>
    </row>
    <row r="8" spans="1:2">
      <c r="A8">
        <v>1.4</v>
      </c>
      <c r="B8" t="s">
        <v>88</v>
      </c>
    </row>
  </sheetData>
  <sheetProtection algorithmName="SHA-512" hashValue="4xfbGZdKLDWxJwMw1Rw16WTJrBOpRtVzKJeaK7WEi6C+2lKXBy0DVOBuOC9DYgaKtS1Ko4etjbNLe/2lIgrUVA==" saltValue="cLRiYZ0iaaCInIpF7B2A0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Material Properties</vt:lpstr>
      <vt:lpstr>Hydraulic Resistance</vt:lpstr>
      <vt:lpstr>Flow Rate and Shear Stress</vt:lpstr>
      <vt:lpstr>Switching Frequency</vt:lpstr>
      <vt:lpstr>Volume Conversions</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Werner</dc:creator>
  <cp:lastModifiedBy>Erik Werner</cp:lastModifiedBy>
  <dcterms:created xsi:type="dcterms:W3CDTF">2018-07-25T23:09:16Z</dcterms:created>
  <dcterms:modified xsi:type="dcterms:W3CDTF">2021-05-03T17:45:57Z</dcterms:modified>
</cp:coreProperties>
</file>