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eif/Documents/sinkt/SourceCode/Python/Space_and_Astronomy/NEA_Tracking_Calcs/"/>
    </mc:Choice>
  </mc:AlternateContent>
  <xr:revisionPtr revIDLastSave="0" documentId="13_ncr:1_{AB420782-E3AC-054B-8392-BF8FC0945599}" xr6:coauthVersionLast="47" xr6:coauthVersionMax="47" xr10:uidLastSave="{00000000-0000-0000-0000-000000000000}"/>
  <bookViews>
    <workbookView xWindow="4460" yWindow="3660" windowWidth="28400" windowHeight="17260" xr2:uid="{3419C8CB-29DD-3746-BD00-8C3618883330}"/>
  </bookViews>
  <sheets>
    <sheet name="star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9" i="1" l="1" a="1"/>
  <c r="F9" i="1" s="1"/>
  <c r="L9" i="1" s="1"/>
  <c r="J3" i="1"/>
  <c r="J4" i="1"/>
  <c r="J5" i="1"/>
  <c r="J6" i="1"/>
  <c r="J7" i="1"/>
  <c r="J8" i="1"/>
  <c r="J9" i="1"/>
  <c r="K8" i="1" s="1"/>
  <c r="J10" i="1"/>
  <c r="J11" i="1"/>
  <c r="J12" i="1"/>
  <c r="J13" i="1"/>
  <c r="J14" i="1"/>
  <c r="J15" i="1"/>
  <c r="J2" i="1"/>
  <c r="I13" i="1" a="1"/>
  <c r="I13" i="1" s="1"/>
  <c r="H13" i="1" a="1"/>
  <c r="H13" i="1" s="1"/>
  <c r="I14" i="1" a="1"/>
  <c r="I14" i="1" s="1"/>
  <c r="H14" i="1" a="1"/>
  <c r="H14" i="1" s="1"/>
  <c r="I15" i="1" a="1"/>
  <c r="I15" i="1" s="1"/>
  <c r="H15" i="1" a="1"/>
  <c r="H15" i="1" s="1"/>
  <c r="I12" i="1" a="1"/>
  <c r="I12" i="1" s="1"/>
  <c r="H12" i="1" a="1"/>
  <c r="H12" i="1" s="1"/>
  <c r="I11" i="1" a="1"/>
  <c r="I11" i="1" s="1"/>
  <c r="H11" i="1" a="1"/>
  <c r="H11" i="1" s="1"/>
  <c r="I10" i="1" a="1"/>
  <c r="I10" i="1" s="1"/>
  <c r="H10" i="1" a="1"/>
  <c r="H10" i="1" s="1"/>
  <c r="I3" i="1" a="1"/>
  <c r="I3" i="1" s="1"/>
  <c r="H3" i="1" a="1"/>
  <c r="H3" i="1" s="1"/>
  <c r="I8" i="1" a="1"/>
  <c r="I8" i="1"/>
  <c r="H8" i="1" a="1"/>
  <c r="H8" i="1"/>
  <c r="I7" i="1" a="1"/>
  <c r="I7" i="1" s="1"/>
  <c r="H7" i="1" a="1"/>
  <c r="H7" i="1" s="1"/>
  <c r="I6" i="1" a="1"/>
  <c r="I6" i="1" s="1"/>
  <c r="H6" i="1" a="1"/>
  <c r="H6" i="1" s="1"/>
  <c r="I9" i="1" a="1"/>
  <c r="I9" i="1"/>
  <c r="H9" i="1" a="1"/>
  <c r="H9" i="1"/>
  <c r="I4" i="1" a="1"/>
  <c r="I4" i="1" s="1"/>
  <c r="H4" i="1" a="1"/>
  <c r="H4" i="1" s="1"/>
  <c r="I5" i="1" a="1"/>
  <c r="I5" i="1" s="1"/>
  <c r="H5" i="1" a="1"/>
  <c r="H5" i="1" s="1"/>
  <c r="I2" i="1" a="1"/>
  <c r="I2" i="1" s="1"/>
  <c r="H2" i="1" a="1"/>
  <c r="H2" i="1" s="1"/>
  <c r="F4" i="1" a="1"/>
  <c r="F4" i="1" s="1"/>
  <c r="F5" i="1"/>
  <c r="F6" i="1"/>
  <c r="F7" i="1"/>
  <c r="F8" i="1"/>
  <c r="F10" i="1"/>
  <c r="F11" i="1"/>
  <c r="F12" i="1"/>
  <c r="F13" i="1"/>
  <c r="F14" i="1"/>
  <c r="F15" i="1"/>
  <c r="F3" i="1"/>
  <c r="F2" i="1"/>
  <c r="L14" i="1" l="1"/>
  <c r="L7" i="1"/>
  <c r="L5" i="1"/>
  <c r="L10" i="1"/>
  <c r="L11" i="1"/>
  <c r="L3" i="1"/>
  <c r="K14" i="1"/>
  <c r="K13" i="1"/>
  <c r="K3" i="1"/>
  <c r="K4" i="1"/>
  <c r="K9" i="1"/>
  <c r="K10" i="1"/>
  <c r="K6" i="1"/>
  <c r="K5" i="1"/>
  <c r="K12" i="1"/>
  <c r="L6" i="1"/>
  <c r="K7" i="1"/>
  <c r="L8" i="1"/>
  <c r="K11" i="1"/>
  <c r="L2" i="1"/>
  <c r="L15" i="1"/>
  <c r="L4" i="1"/>
  <c r="L13" i="1"/>
  <c r="L12" i="1"/>
  <c r="K2" i="1"/>
  <c r="K15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<sst xmlns="http://schemas.openxmlformats.org/spreadsheetml/2006/main" count="26" uniqueCount="26">
  <si>
    <t>X</t>
  </si>
  <si>
    <t>Y</t>
  </si>
  <si>
    <t>R</t>
  </si>
  <si>
    <t>Betelgeuse</t>
  </si>
  <si>
    <t>Meissa</t>
  </si>
  <si>
    <t>Bellatrix</t>
  </si>
  <si>
    <t>Saiph</t>
  </si>
  <si>
    <t>Names</t>
  </si>
  <si>
    <t>RA</t>
  </si>
  <si>
    <t>DEC</t>
  </si>
  <si>
    <t>Alnitak</t>
  </si>
  <si>
    <t>Mag</t>
  </si>
  <si>
    <t>Alnilam</t>
  </si>
  <si>
    <t>Rigel (Algebar)</t>
  </si>
  <si>
    <t>Mintaka</t>
  </si>
  <si>
    <t>Saif al Jabbar</t>
  </si>
  <si>
    <t>Heka</t>
  </si>
  <si>
    <t>Tabit</t>
  </si>
  <si>
    <t>u Ori</t>
  </si>
  <si>
    <t>Cursa</t>
  </si>
  <si>
    <t>Lost Jewel cluster</t>
  </si>
  <si>
    <t>RA Deg</t>
  </si>
  <si>
    <t>Az_Deg</t>
  </si>
  <si>
    <t>Alt_Deg</t>
  </si>
  <si>
    <t>RA_rel</t>
  </si>
  <si>
    <t>Dec_rel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</si>
</sst>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0.0000"/>
    <numFmt numFmtId="165" formatCode="_(* #,##0.0000_);_(* \(#,##0.0000\);_(* &quot;-&quot;??_);_(@_)"/>
    <numFmt numFmtId="166" formatCode="_(* #,##0.0000_);_(* \(#,##0.0000\);_(* &quot;-&quot;????_);_(@_)"/>
  </numFmts>
  <fonts count="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21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43" fontId="0" fillId="0" borderId="0" xfId="1" applyFont="1"/>
    <xf numFmtId="165" fontId="0" fillId="0" borderId="0" xfId="1" applyNumberFormat="1" applyFont="1" applyAlignment="1">
      <alignment horizontal="right"/>
    </xf>
    <xf numFmtId="165" fontId="0" fillId="0" borderId="0" xfId="1" applyNumberFormat="1" applyFont="1"/>
    <xf numFmtId="165" fontId="0" fillId="0" borderId="0" xfId="0" applyNumberFormat="1"/>
    <xf numFmtId="166" fontId="0" fillId="0" borderId="0" xfId="0" applyNumberFormat="1"/>
    <xf numFmtId="164" fontId="0" fillId="0" borderId="0" xfId="0" applyNumberFormat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MyStarData</a:t>
            </a:r>
            <a:endParaRPr lang="en-US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17"/>
            <c:spPr>
              <a:noFill/>
              <a:ln w="47625">
                <a:solidFill>
                  <a:srgbClr val="FF0000"/>
                </a:solidFill>
              </a:ln>
              <a:effectLst/>
            </c:spPr>
          </c:marker>
          <c:xVal>
            <c:numRef>
              <c:f>starData!$A$2:$A$16</c:f>
              <c:numCache>
                <c:formatCode>General</c:formatCode>
                <c:ptCount val="15"/>
                <c:pt idx="0">
                  <c:v>13</c:v>
                </c:pt>
                <c:pt idx="1">
                  <c:v>21.25</c:v>
                </c:pt>
                <c:pt idx="2">
                  <c:v>-5</c:v>
                </c:pt>
                <c:pt idx="3">
                  <c:v>-19</c:v>
                </c:pt>
                <c:pt idx="4">
                  <c:v>-8</c:v>
                </c:pt>
                <c:pt idx="5">
                  <c:v>-3.25</c:v>
                </c:pt>
                <c:pt idx="6">
                  <c:v>1.25</c:v>
                </c:pt>
                <c:pt idx="7">
                  <c:v>7.25</c:v>
                </c:pt>
                <c:pt idx="8">
                  <c:v>-21</c:v>
                </c:pt>
                <c:pt idx="9">
                  <c:v>-16</c:v>
                </c:pt>
                <c:pt idx="10">
                  <c:v>12.25</c:v>
                </c:pt>
                <c:pt idx="11">
                  <c:v>46.5</c:v>
                </c:pt>
                <c:pt idx="12">
                  <c:v>5.25</c:v>
                </c:pt>
                <c:pt idx="13">
                  <c:v>5.5</c:v>
                </c:pt>
              </c:numCache>
            </c:numRef>
          </c:xVal>
          <c:yVal>
            <c:numRef>
              <c:f>starData!$B$2:$B$16</c:f>
              <c:numCache>
                <c:formatCode>General</c:formatCode>
                <c:ptCount val="15"/>
                <c:pt idx="0">
                  <c:v>-23</c:v>
                </c:pt>
                <c:pt idx="1">
                  <c:v>-15.75</c:v>
                </c:pt>
                <c:pt idx="2">
                  <c:v>-13.5</c:v>
                </c:pt>
                <c:pt idx="3">
                  <c:v>-23.5</c:v>
                </c:pt>
                <c:pt idx="4">
                  <c:v>-4</c:v>
                </c:pt>
                <c:pt idx="5">
                  <c:v>-2.75</c:v>
                </c:pt>
                <c:pt idx="6">
                  <c:v>-0.75</c:v>
                </c:pt>
                <c:pt idx="7">
                  <c:v>-7.25</c:v>
                </c:pt>
                <c:pt idx="8">
                  <c:v>28.75</c:v>
                </c:pt>
                <c:pt idx="9">
                  <c:v>22</c:v>
                </c:pt>
                <c:pt idx="10">
                  <c:v>15.75</c:v>
                </c:pt>
                <c:pt idx="11">
                  <c:v>11.55</c:v>
                </c:pt>
                <c:pt idx="12">
                  <c:v>25</c:v>
                </c:pt>
                <c:pt idx="13">
                  <c:v>26.5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7C-524B-9498-ADEF87F459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3680064"/>
        <c:axId val="694197920"/>
      </c:scatterChart>
      <c:valAx>
        <c:axId val="1933680064"/>
        <c:scaling>
          <c:orientation val="minMax"/>
          <c:max val="60"/>
          <c:min val="-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4197920"/>
        <c:crosses val="autoZero"/>
        <c:crossBetween val="midCat"/>
      </c:valAx>
      <c:valAx>
        <c:axId val="694197920"/>
        <c:scaling>
          <c:orientation val="minMax"/>
          <c:max val="30"/>
          <c:min val="-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3680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Az/Alt Plot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starData!$I$1</c:f>
              <c:strCache>
                <c:ptCount val="1"/>
                <c:pt idx="0">
                  <c:v>Alt_Deg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9"/>
            <c:spPr>
              <a:noFill/>
              <a:ln w="44450">
                <a:solidFill>
                  <a:srgbClr val="FF0000"/>
                </a:solidFill>
              </a:ln>
              <a:effectLst/>
            </c:spPr>
          </c:marker>
          <c:xVal>
            <c:numRef>
              <c:f>starData!$H$2:$H$15</c:f>
              <c:numCache>
                <c:formatCode>_(* #,##0.0000_);_(* \(#,##0.0000\);_(* "-"??_);_(@_)</c:formatCode>
                <c:ptCount val="14"/>
                <c:pt idx="0">
                  <c:v>217.66083333333333</c:v>
                </c:pt>
                <c:pt idx="1">
                  <c:v>221.15111111111111</c:v>
                </c:pt>
                <c:pt idx="2">
                  <c:v>213.20961111111109</c:v>
                </c:pt>
                <c:pt idx="3">
                  <c:v>208.01763888888891</c:v>
                </c:pt>
                <c:pt idx="4">
                  <c:v>213.71330555555554</c:v>
                </c:pt>
                <c:pt idx="5">
                  <c:v>215.47572222222223</c:v>
                </c:pt>
                <c:pt idx="6">
                  <c:v>217.24380555555555</c:v>
                </c:pt>
                <c:pt idx="7">
                  <c:v>218.19283333333334</c:v>
                </c:pt>
                <c:pt idx="8">
                  <c:v>213.45455555555554</c:v>
                </c:pt>
                <c:pt idx="9">
                  <c:v>214.56611111111113</c:v>
                </c:pt>
                <c:pt idx="10">
                  <c:v>223.70333333333332</c:v>
                </c:pt>
                <c:pt idx="11">
                  <c:v>234.23055555555555</c:v>
                </c:pt>
                <c:pt idx="12">
                  <c:v>223.02083333333334</c:v>
                </c:pt>
                <c:pt idx="13">
                  <c:v>223.27</c:v>
                </c:pt>
              </c:numCache>
            </c:numRef>
          </c:xVal>
          <c:yVal>
            <c:numRef>
              <c:f>starData!$I$2:$I$15</c:f>
              <c:numCache>
                <c:formatCode>_(* #,##0.0000_);_(* \(#,##0.0000\);_(* "-"??_);_(@_)</c:formatCode>
                <c:ptCount val="14"/>
                <c:pt idx="0">
                  <c:v>31.869388888888889</c:v>
                </c:pt>
                <c:pt idx="1">
                  <c:v>33.835805555555559</c:v>
                </c:pt>
                <c:pt idx="2">
                  <c:v>36.161111111111111</c:v>
                </c:pt>
                <c:pt idx="3">
                  <c:v>33.841111111111111</c:v>
                </c:pt>
                <c:pt idx="4">
                  <c:v>40.333527777777782</c:v>
                </c:pt>
                <c:pt idx="5">
                  <c:v>40.531388888888891</c:v>
                </c:pt>
                <c:pt idx="6">
                  <c:v>40.884555555555558</c:v>
                </c:pt>
                <c:pt idx="7">
                  <c:v>38.163499999999999</c:v>
                </c:pt>
                <c:pt idx="8">
                  <c:v>53.111388888888889</c:v>
                </c:pt>
                <c:pt idx="9">
                  <c:v>50.332777777777778</c:v>
                </c:pt>
                <c:pt idx="10">
                  <c:v>45.902222222222221</c:v>
                </c:pt>
                <c:pt idx="11">
                  <c:v>41.500555555555557</c:v>
                </c:pt>
                <c:pt idx="12">
                  <c:v>49.82694444444445</c:v>
                </c:pt>
                <c:pt idx="13">
                  <c:v>50.249166666666667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492-7B40-9ECA-EC81FA5DEE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278096"/>
        <c:axId val="1844201904"/>
      </c:scatterChart>
      <c:valAx>
        <c:axId val="1844278096"/>
        <c:scaling>
          <c:orientation val="minMax"/>
          <c:max val="235"/>
          <c:min val="2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Azimuth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01904"/>
        <c:crosses val="autoZero"/>
        <c:crossBetween val="midCat"/>
      </c:valAx>
      <c:valAx>
        <c:axId val="1844201904"/>
        <c:scaling>
          <c:orientation val="minMax"/>
          <c:max val="55"/>
          <c:min val="3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Elevation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7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Ra/Dec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starData!$F$1</c:f>
              <c:strCache>
                <c:ptCount val="1"/>
                <c:pt idx="0">
                  <c:v>DEC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10"/>
            <c:spPr>
              <a:noFill/>
              <a:ln w="38100">
                <a:solidFill>
                  <a:srgbClr val="FF0000"/>
                </a:solidFill>
              </a:ln>
              <a:effectLst/>
            </c:spPr>
          </c:marker>
          <c:xVal>
            <c:numRef>
              <c:f>starData!$E$2:$E$15</c:f>
              <c:numCache>
                <c:formatCode>h:mm:ss</c:formatCode>
                <c:ptCount val="14"/>
                <c:pt idx="0">
                  <c:v>0.21844560185185183</c:v>
                </c:pt>
                <c:pt idx="1">
                  <c:v>0.21379976851851853</c:v>
                </c:pt>
                <c:pt idx="2">
                  <c:v>0.23374074074074072</c:v>
                </c:pt>
                <c:pt idx="3">
                  <c:v>0.24151620370370372</c:v>
                </c:pt>
                <c:pt idx="4">
                  <c:v>0.23666666666666666</c:v>
                </c:pt>
                <c:pt idx="5">
                  <c:v>0.23349768518518518</c:v>
                </c:pt>
                <c:pt idx="6">
                  <c:v>0.2305763888888889</c:v>
                </c:pt>
                <c:pt idx="7">
                  <c:v>0.22534722222222223</c:v>
                </c:pt>
                <c:pt idx="8">
                  <c:v>0.25167129629629631</c:v>
                </c:pt>
                <c:pt idx="9">
                  <c:v>0.24666319444444443</c:v>
                </c:pt>
                <c:pt idx="10">
                  <c:v>0.22580092592592593</c:v>
                </c:pt>
                <c:pt idx="11">
                  <c:v>0.20129629629629631</c:v>
                </c:pt>
                <c:pt idx="12">
                  <c:v>0.23253009259259261</c:v>
                </c:pt>
                <c:pt idx="13">
                  <c:v>0.23275046296296295</c:v>
                </c:pt>
              </c:numCache>
            </c:numRef>
          </c:xVal>
          <c:yVal>
            <c:numRef>
              <c:f>starData!$F$2:$F$15</c:f>
              <c:numCache>
                <c:formatCode>0.0000</c:formatCode>
                <c:ptCount val="14"/>
                <c:pt idx="0">
                  <c:v>-8.2008055555555543</c:v>
                </c:pt>
                <c:pt idx="1">
                  <c:v>-5.0859999999999994</c:v>
                </c:pt>
                <c:pt idx="2">
                  <c:v>-5.9141388888888891</c:v>
                </c:pt>
                <c:pt idx="3">
                  <c:v>-9.6686388888888875</c:v>
                </c:pt>
                <c:pt idx="4">
                  <c:v>-1.9417777777777778</c:v>
                </c:pt>
                <c:pt idx="5">
                  <c:v>-1.2011666666666667</c:v>
                </c:pt>
                <c:pt idx="6">
                  <c:v>-0.29833333333333334</c:v>
                </c:pt>
                <c:pt idx="7">
                  <c:v>-2.3963888888888887</c:v>
                </c:pt>
                <c:pt idx="8">
                  <c:v>9.6474722222222216</c:v>
                </c:pt>
                <c:pt idx="9">
                  <c:v>7.4076666666666666</c:v>
                </c:pt>
                <c:pt idx="10">
                  <c:v>6.35025</c:v>
                </c:pt>
                <c:pt idx="11">
                  <c:v>6.9621111111111116</c:v>
                </c:pt>
                <c:pt idx="12">
                  <c:v>9.4901111111111103</c:v>
                </c:pt>
                <c:pt idx="13">
                  <c:v>9.9346944444444443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BD-4348-9367-8FF5D1D90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44278096"/>
        <c:axId val="1844201904"/>
      </c:scatterChart>
      <c:valAx>
        <c:axId val="1844278096"/>
        <c:scaling>
          <c:orientation val="maxMin"/>
          <c:max val="0.26"/>
          <c:min val="0.1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[h]:mm:ss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01904"/>
        <c:crosses val="autoZero"/>
        <c:crossBetween val="midCat"/>
      </c:valAx>
      <c:valAx>
        <c:axId val="1844201904"/>
        <c:scaling>
          <c:orientation val="minMax"/>
          <c:min val="-12"/>
        </c:scaling>
        <c:delete val="0"/>
        <c:axPos val="r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Dec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27809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 b="1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Relationship Id="rId4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276494</xdr:colOff>
      <xdr:row>51</xdr:row>
      <xdr:rowOff>178066</xdr:rowOff>
    </xdr:from>
    <xdr:to>
      <xdr:col>7</xdr:col>
      <xdr:colOff>88681</xdr:colOff>
      <xdr:row>70</xdr:row>
      <xdr:rowOff>137584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27615D1-C3E8-6843-94DD-67E03A2DC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21047745">
          <a:off x="2752994" y="10541266"/>
          <a:ext cx="3152287" cy="3820318"/>
        </a:xfrm>
        <a:prstGeom prst="rect">
          <a:avLst/>
        </a:prstGeom>
      </xdr:spPr>
    </xdr:pic>
    <xdr:clientData/>
  </xdr:twoCellAnchor>
  <xdr:twoCellAnchor editAs="oneCell">
    <xdr:from>
      <xdr:col>5</xdr:col>
      <xdr:colOff>339791</xdr:colOff>
      <xdr:row>25</xdr:row>
      <xdr:rowOff>8570</xdr:rowOff>
    </xdr:from>
    <xdr:to>
      <xdr:col>8</xdr:col>
      <xdr:colOff>584943</xdr:colOff>
      <xdr:row>42</xdr:row>
      <xdr:rowOff>93774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F135043-698E-4340-ACD2-34689521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1068792">
          <a:off x="4467291" y="5088570"/>
          <a:ext cx="2810552" cy="3539604"/>
        </a:xfrm>
        <a:prstGeom prst="rect">
          <a:avLst/>
        </a:prstGeom>
      </xdr:spPr>
    </xdr:pic>
    <xdr:clientData/>
  </xdr:twoCellAnchor>
  <xdr:twoCellAnchor editAs="oneCell">
    <xdr:from>
      <xdr:col>13</xdr:col>
      <xdr:colOff>310651</xdr:colOff>
      <xdr:row>3</xdr:row>
      <xdr:rowOff>136237</xdr:rowOff>
    </xdr:from>
    <xdr:to>
      <xdr:col>20</xdr:col>
      <xdr:colOff>272637</xdr:colOff>
      <xdr:row>44</xdr:row>
      <xdr:rowOff>117764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FE3EED-425D-9A41-A4AD-E1FC773D1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080251" y="745837"/>
          <a:ext cx="5740486" cy="8312727"/>
        </a:xfrm>
        <a:prstGeom prst="rect">
          <a:avLst/>
        </a:prstGeom>
      </xdr:spPr>
    </xdr:pic>
    <xdr:clientData/>
  </xdr:twoCellAnchor>
  <xdr:twoCellAnchor>
    <xdr:from>
      <xdr:col>13</xdr:col>
      <xdr:colOff>133350</xdr:colOff>
      <xdr:row>1</xdr:row>
      <xdr:rowOff>12700</xdr:rowOff>
    </xdr:from>
    <xdr:to>
      <xdr:col>24</xdr:col>
      <xdr:colOff>177800</xdr:colOff>
      <xdr:row>46</xdr:row>
      <xdr:rowOff>25400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8DB3128-9853-ADF9-B9B8-FF7369EE6C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266700</xdr:colOff>
      <xdr:row>20</xdr:row>
      <xdr:rowOff>127000</xdr:rowOff>
    </xdr:from>
    <xdr:to>
      <xdr:col>10</xdr:col>
      <xdr:colOff>654050</xdr:colOff>
      <xdr:row>45</xdr:row>
      <xdr:rowOff>88900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523D58-9F0A-D696-4401-73F1D9BADC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279400</xdr:colOff>
      <xdr:row>47</xdr:row>
      <xdr:rowOff>139700</xdr:rowOff>
    </xdr:from>
    <xdr:to>
      <xdr:col>9</xdr:col>
      <xdr:colOff>666750</xdr:colOff>
      <xdr:row>73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858FAD8-BF0B-BD4F-9A45-9BB691963A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FEA06-5853-0944-B3C1-81AD67A8441F}">
  <dimension ref="A1:L34"/>
  <sheetViews>
    <sheetView tabSelected="1" workbookViewId="0">
      <selection activeCell="G4" sqref="G4"/>
    </sheetView>
  </sheetViews>
  <sheetFormatPr baseColWidth="10" defaultRowHeight="16" x14ac:dyDescent="0.2"/>
  <cols>
    <col min="7" max="7" width="11.33203125" bestFit="1" customWidth="1"/>
    <col min="8" max="8" width="11.5" bestFit="1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t="s">
        <v>7</v>
      </c>
      <c r="E1" s="2" t="s">
        <v>8</v>
      </c>
      <c r="F1" s="2" t="s">
        <v>9</v>
      </c>
      <c r="G1" s="2" t="s">
        <v>11</v>
      </c>
      <c r="H1" s="1" t="s">
        <v>22</v>
      </c>
      <c r="I1" s="1" t="s">
        <v>23</v>
      </c>
      <c r="J1" s="2" t="s">
        <v>21</v>
      </c>
      <c r="K1" s="2" t="s">
        <v>24</v>
      </c>
      <c r="L1" s="2" t="s">
        <v>25</v>
      </c>
    </row>
    <row r="2" spans="1:12" x14ac:dyDescent="0.2">
      <c r="A2" s="1">
        <v>13</v>
      </c>
      <c r="B2" s="1">
        <v>-23</v>
      </c>
      <c r="C2" s="1">
        <v>5</v>
      </c>
      <c r="D2" t="s">
        <v>13</v>
      </c>
      <c r="E2" s="3">
        <v>0.21844560185185183</v>
      </c>
      <c r="F2" s="4">
        <f>-(8+12/60+2.9/3600)</f>
        <v>-8.2008055555555543</v>
      </c>
      <c r="G2" s="5">
        <v>0.15</v>
      </c>
      <c r="H2" s="7" cm="1">
        <f t="array" ref="H2">SUMPRODUCT(60^{0,-1,-2},{217,39,39})</f>
        <v>217.66083333333333</v>
      </c>
      <c r="I2" s="7" cm="1">
        <f t="array" ref="I2">SUMPRODUCT(60^{0,-1,-2},{31,52,9.8})</f>
        <v>31.869388888888889</v>
      </c>
      <c r="J2" s="8">
        <f>E2*24*15</f>
        <v>78.640416666666667</v>
      </c>
      <c r="K2" s="10">
        <f>-(J2-AVERAGE($J$2:$J$15))</f>
        <v>4.2702202380952343</v>
      </c>
      <c r="L2" s="11">
        <f>F2-AVERAGE($F$2:$F$15)</f>
        <v>-9.2783095238095221</v>
      </c>
    </row>
    <row r="3" spans="1:12" x14ac:dyDescent="0.2">
      <c r="A3" s="1">
        <v>21.25</v>
      </c>
      <c r="B3" s="1">
        <v>-15.75</v>
      </c>
      <c r="C3" s="1">
        <v>5</v>
      </c>
      <c r="D3" t="s">
        <v>19</v>
      </c>
      <c r="E3" s="3">
        <v>0.21379976851851853</v>
      </c>
      <c r="F3" s="4">
        <f>-(5+5/60+9.6/3600)</f>
        <v>-5.0859999999999994</v>
      </c>
      <c r="G3" s="5">
        <v>2.75</v>
      </c>
      <c r="H3" s="7" cm="1">
        <f t="array" ref="H3">SUMPRODUCT(60^{0,-1,-2},{221,9,4})</f>
        <v>221.15111111111111</v>
      </c>
      <c r="I3" s="7" cm="1">
        <f t="array" ref="I3">SUMPRODUCT(60^{0,-1,-2},{33,50,8.9})</f>
        <v>33.835805555555559</v>
      </c>
      <c r="J3" s="8">
        <f t="shared" ref="J3:J15" si="0">E3*24*15</f>
        <v>76.967916666666667</v>
      </c>
      <c r="K3" s="10">
        <f t="shared" ref="K3:K15" si="1">-(J3-AVERAGE($J$2:$J$15))</f>
        <v>5.9427202380952338</v>
      </c>
      <c r="L3" s="11">
        <f t="shared" ref="L3:L15" si="2">F3-AVERAGE($F$2:$F$15)</f>
        <v>-6.1635039682539681</v>
      </c>
    </row>
    <row r="4" spans="1:12" x14ac:dyDescent="0.2">
      <c r="A4" s="1">
        <v>-5</v>
      </c>
      <c r="B4" s="1">
        <v>-13.5</v>
      </c>
      <c r="C4" s="1">
        <v>5</v>
      </c>
      <c r="D4" t="s">
        <v>20</v>
      </c>
      <c r="E4" s="3">
        <v>0.23374074074074072</v>
      </c>
      <c r="F4" s="4" cm="1">
        <f t="array" ref="F4">-SUMPRODUCT(60^{0,-1,-2},{5,54,50.9})</f>
        <v>-5.9141388888888891</v>
      </c>
      <c r="G4" s="5">
        <v>2.5</v>
      </c>
      <c r="H4" s="7" cm="1">
        <f t="array" ref="H4">SUMPRODUCT(60^{0,-1,-2},{213,12,34.6})</f>
        <v>213.20961111111109</v>
      </c>
      <c r="I4" s="7" cm="1">
        <f t="array" ref="I4">SUMPRODUCT(60^{0,-1,-2},{36,9,40})</f>
        <v>36.161111111111111</v>
      </c>
      <c r="J4" s="8">
        <f t="shared" si="0"/>
        <v>84.146666666666661</v>
      </c>
      <c r="K4" s="10">
        <f t="shared" si="1"/>
        <v>-1.23602976190476</v>
      </c>
      <c r="L4" s="11">
        <f t="shared" si="2"/>
        <v>-6.9916428571428577</v>
      </c>
    </row>
    <row r="5" spans="1:12" x14ac:dyDescent="0.2">
      <c r="A5" s="1">
        <v>-19</v>
      </c>
      <c r="B5" s="1">
        <v>-23.5</v>
      </c>
      <c r="C5" s="1">
        <v>5</v>
      </c>
      <c r="D5" t="s">
        <v>6</v>
      </c>
      <c r="E5" s="3">
        <v>0.24151620370370372</v>
      </c>
      <c r="F5" s="4">
        <f>-(9+40/60+7.1/3600)</f>
        <v>-9.6686388888888875</v>
      </c>
      <c r="G5" s="5">
        <v>2.0499999999999998</v>
      </c>
      <c r="H5" s="7" cm="1">
        <f t="array" ref="H5">SUMPRODUCT(60^{0,-1,-2},{208,1,3.5})</f>
        <v>208.01763888888891</v>
      </c>
      <c r="I5" s="7" cm="1">
        <f t="array" ref="I5">SUMPRODUCT(60^{0,-1,-2},{33,50,28})</f>
        <v>33.841111111111111</v>
      </c>
      <c r="J5" s="8">
        <f t="shared" si="0"/>
        <v>86.94583333333334</v>
      </c>
      <c r="K5" s="10">
        <f t="shared" si="1"/>
        <v>-4.0351964285714388</v>
      </c>
      <c r="L5" s="11">
        <f t="shared" si="2"/>
        <v>-10.746142857142855</v>
      </c>
    </row>
    <row r="6" spans="1:12" x14ac:dyDescent="0.2">
      <c r="A6" s="1">
        <v>-8</v>
      </c>
      <c r="B6" s="1">
        <v>-4</v>
      </c>
      <c r="C6" s="1">
        <v>5</v>
      </c>
      <c r="D6" t="s">
        <v>10</v>
      </c>
      <c r="E6" s="3">
        <v>0.23666666666666666</v>
      </c>
      <c r="F6" s="4">
        <f>-(1+56/60+30.4/3600)</f>
        <v>-1.9417777777777778</v>
      </c>
      <c r="G6" s="5">
        <v>1.85</v>
      </c>
      <c r="H6" s="7" cm="1">
        <f t="array" ref="H6">SUMPRODUCT(60^{0,-1,-2},{213,42,47.9})</f>
        <v>213.71330555555554</v>
      </c>
      <c r="I6" s="7" cm="1">
        <f t="array" ref="I6">SUMPRODUCT(60^{0,-1,-2},{40,20,0.7})</f>
        <v>40.333527777777782</v>
      </c>
      <c r="J6" s="8">
        <f t="shared" si="0"/>
        <v>85.199999999999989</v>
      </c>
      <c r="K6" s="10">
        <f t="shared" si="1"/>
        <v>-2.2893630952380875</v>
      </c>
      <c r="L6" s="11">
        <f t="shared" si="2"/>
        <v>-3.019281746031746</v>
      </c>
    </row>
    <row r="7" spans="1:12" x14ac:dyDescent="0.2">
      <c r="A7" s="1">
        <v>-3.25</v>
      </c>
      <c r="B7" s="1">
        <v>-2.75</v>
      </c>
      <c r="C7" s="1">
        <v>5</v>
      </c>
      <c r="D7" t="s">
        <v>12</v>
      </c>
      <c r="E7" s="3">
        <v>0.23349768518518518</v>
      </c>
      <c r="F7" s="4">
        <f>-(1+12/60+4.2/3600)</f>
        <v>-1.2011666666666667</v>
      </c>
      <c r="G7" s="5">
        <v>1.65</v>
      </c>
      <c r="H7" s="7" cm="1">
        <f t="array" ref="H7">SUMPRODUCT(60^{0,-1,-2},{215,28,32.6})</f>
        <v>215.47572222222223</v>
      </c>
      <c r="I7" s="7" cm="1">
        <f t="array" ref="I7">SUMPRODUCT(60^{0,-1,-2},{40,31,53})</f>
        <v>40.531388888888891</v>
      </c>
      <c r="J7" s="8">
        <f t="shared" si="0"/>
        <v>84.05916666666667</v>
      </c>
      <c r="K7" s="10">
        <f t="shared" si="1"/>
        <v>-1.1485297619047685</v>
      </c>
      <c r="L7" s="11">
        <f t="shared" si="2"/>
        <v>-2.2786706349206352</v>
      </c>
    </row>
    <row r="8" spans="1:12" x14ac:dyDescent="0.2">
      <c r="A8" s="1">
        <v>1.25</v>
      </c>
      <c r="B8" s="1">
        <v>-0.75</v>
      </c>
      <c r="C8" s="1">
        <v>5</v>
      </c>
      <c r="D8" t="s">
        <v>14</v>
      </c>
      <c r="E8" s="3">
        <v>0.2305763888888889</v>
      </c>
      <c r="F8" s="4">
        <f>-(0+17/60+54/3600)</f>
        <v>-0.29833333333333334</v>
      </c>
      <c r="G8" s="5">
        <v>2.4</v>
      </c>
      <c r="H8" s="7" cm="1">
        <f t="array" ref="H8">SUMPRODUCT(60^{0,-1,-2},{217,14,37.7})</f>
        <v>217.24380555555555</v>
      </c>
      <c r="I8" s="7" cm="1">
        <f t="array" ref="I8">SUMPRODUCT(60^{0,-1,-2},{40,53,4.4})</f>
        <v>40.884555555555558</v>
      </c>
      <c r="J8" s="8">
        <f t="shared" si="0"/>
        <v>83.007500000000007</v>
      </c>
      <c r="K8" s="10">
        <f t="shared" si="1"/>
        <v>-9.6863095238106212E-2</v>
      </c>
      <c r="L8" s="11">
        <f t="shared" si="2"/>
        <v>-1.3758373015873018</v>
      </c>
    </row>
    <row r="9" spans="1:12" x14ac:dyDescent="0.2">
      <c r="A9" s="1">
        <v>7.25</v>
      </c>
      <c r="B9" s="1">
        <v>-7.25</v>
      </c>
      <c r="C9" s="1">
        <v>5</v>
      </c>
      <c r="D9" t="s">
        <v>15</v>
      </c>
      <c r="E9" s="3">
        <v>0.22534722222222223</v>
      </c>
      <c r="F9" s="4" cm="1">
        <f t="array" ref="F9">-SUMPRODUCT(60^{0,-1,-2},{2,23,47})</f>
        <v>-2.3963888888888887</v>
      </c>
      <c r="G9" s="5">
        <v>3.35</v>
      </c>
      <c r="H9" s="7" cm="1">
        <f t="array" ref="H9">SUMPRODUCT(60^{0,-1,-2},{218,11,34.2})</f>
        <v>218.19283333333334</v>
      </c>
      <c r="I9" s="7" cm="1">
        <f t="array" ref="I9">SUMPRODUCT(60^{0,-1,-2},{38,9,48.6})</f>
        <v>38.163499999999999</v>
      </c>
      <c r="J9" s="8">
        <f t="shared" si="0"/>
        <v>81.125</v>
      </c>
      <c r="K9" s="10">
        <f t="shared" si="1"/>
        <v>1.7856369047619012</v>
      </c>
      <c r="L9" s="11">
        <f t="shared" si="2"/>
        <v>-3.4738928571428573</v>
      </c>
    </row>
    <row r="10" spans="1:12" x14ac:dyDescent="0.2">
      <c r="A10" s="1">
        <v>-21</v>
      </c>
      <c r="B10" s="1">
        <v>28.75</v>
      </c>
      <c r="C10" s="1">
        <v>5</v>
      </c>
      <c r="D10" t="s">
        <v>18</v>
      </c>
      <c r="E10" s="3">
        <v>0.25167129629629631</v>
      </c>
      <c r="F10" s="4">
        <f>+(9+38/60+50.9/3600)</f>
        <v>9.6474722222222216</v>
      </c>
      <c r="G10" s="5">
        <v>4.3</v>
      </c>
      <c r="H10" s="7" cm="1">
        <f t="array" ref="H10">SUMPRODUCT(60^{0,-1,-2},{213,27,16.4})</f>
        <v>213.45455555555554</v>
      </c>
      <c r="I10" s="7" cm="1">
        <f t="array" ref="I10">SUMPRODUCT(60^{0,-1,-2},{53,6,41})</f>
        <v>53.111388888888889</v>
      </c>
      <c r="J10" s="8">
        <f t="shared" si="0"/>
        <v>90.601666666666659</v>
      </c>
      <c r="K10" s="10">
        <f t="shared" si="1"/>
        <v>-7.6910297619047583</v>
      </c>
      <c r="L10" s="11">
        <f t="shared" si="2"/>
        <v>8.5699682539682538</v>
      </c>
    </row>
    <row r="11" spans="1:12" x14ac:dyDescent="0.2">
      <c r="A11" s="1">
        <v>-16</v>
      </c>
      <c r="B11" s="1">
        <v>22</v>
      </c>
      <c r="C11" s="1">
        <v>5</v>
      </c>
      <c r="D11" t="s">
        <v>3</v>
      </c>
      <c r="E11" s="3">
        <v>0.24666319444444443</v>
      </c>
      <c r="F11" s="4">
        <f>+(7+24/60+27.6/3600)</f>
        <v>7.4076666666666666</v>
      </c>
      <c r="G11" s="5">
        <v>0.45</v>
      </c>
      <c r="H11" s="7" cm="1">
        <f t="array" ref="H11">SUMPRODUCT(60^{0,-1,-2},{214,33,58})</f>
        <v>214.56611111111113</v>
      </c>
      <c r="I11" s="7" cm="1">
        <f t="array" ref="I11">SUMPRODUCT(60^{0,-1,-2},{50,19,58})</f>
        <v>50.332777777777778</v>
      </c>
      <c r="J11" s="8">
        <f t="shared" si="0"/>
        <v>88.798749999999998</v>
      </c>
      <c r="K11" s="10">
        <f t="shared" si="1"/>
        <v>-5.8881130952380971</v>
      </c>
      <c r="L11" s="11">
        <f t="shared" si="2"/>
        <v>6.330162698412698</v>
      </c>
    </row>
    <row r="12" spans="1:12" x14ac:dyDescent="0.2">
      <c r="A12" s="1">
        <v>12.25</v>
      </c>
      <c r="B12" s="1">
        <v>15.75</v>
      </c>
      <c r="C12" s="1">
        <v>5</v>
      </c>
      <c r="D12" t="s">
        <v>5</v>
      </c>
      <c r="E12" s="3">
        <v>0.22580092592592593</v>
      </c>
      <c r="F12" s="4">
        <f>+(6+21/60+0.9/3600)</f>
        <v>6.35025</v>
      </c>
      <c r="G12" s="5">
        <v>1.6</v>
      </c>
      <c r="H12" s="7" cm="1">
        <f t="array" ref="H12">SUMPRODUCT(60^{0,-1,-2},{223,42,12})</f>
        <v>223.70333333333332</v>
      </c>
      <c r="I12" s="7" cm="1">
        <f t="array" ref="I12">SUMPRODUCT(60^{0,-1,-2},{45,54,8})</f>
        <v>45.902222222222221</v>
      </c>
      <c r="J12" s="8">
        <f t="shared" si="0"/>
        <v>81.288333333333341</v>
      </c>
      <c r="K12" s="10">
        <f t="shared" si="1"/>
        <v>1.6223035714285601</v>
      </c>
      <c r="L12" s="11">
        <f t="shared" si="2"/>
        <v>5.2727460317460313</v>
      </c>
    </row>
    <row r="13" spans="1:12" x14ac:dyDescent="0.2">
      <c r="A13" s="1">
        <v>46.5</v>
      </c>
      <c r="B13" s="1">
        <v>11.55</v>
      </c>
      <c r="C13" s="1">
        <v>5</v>
      </c>
      <c r="D13" t="s">
        <v>17</v>
      </c>
      <c r="E13" s="3">
        <v>0.20129629629629631</v>
      </c>
      <c r="F13" s="4">
        <f>+(6+57/60+43.6/3600)</f>
        <v>6.9621111111111116</v>
      </c>
      <c r="G13" s="5">
        <v>1.6</v>
      </c>
      <c r="H13" s="7" cm="1">
        <f t="array" ref="H13">SUMPRODUCT(60^{0,-1,-2},{234,13,50})</f>
        <v>234.23055555555555</v>
      </c>
      <c r="I13" s="7" cm="1">
        <f t="array" ref="I13">SUMPRODUCT(60^{0,-1,-2},{41,30,2})</f>
        <v>41.500555555555557</v>
      </c>
      <c r="J13" s="8">
        <f t="shared" si="0"/>
        <v>72.466666666666669</v>
      </c>
      <c r="K13" s="10">
        <f t="shared" si="1"/>
        <v>10.443970238095233</v>
      </c>
      <c r="L13" s="11">
        <f t="shared" si="2"/>
        <v>5.8846071428571429</v>
      </c>
    </row>
    <row r="14" spans="1:12" x14ac:dyDescent="0.2">
      <c r="A14" s="1">
        <v>5.25</v>
      </c>
      <c r="B14" s="1">
        <v>25</v>
      </c>
      <c r="C14" s="1">
        <v>5</v>
      </c>
      <c r="D14" t="s">
        <v>16</v>
      </c>
      <c r="E14" s="3">
        <v>0.23253009259259261</v>
      </c>
      <c r="F14" s="4">
        <f>+(9+29/60+24.4/3600)</f>
        <v>9.4901111111111103</v>
      </c>
      <c r="G14" s="5">
        <v>4.3499999999999996</v>
      </c>
      <c r="H14" s="7" cm="1">
        <f t="array" ref="H14">SUMPRODUCT(60^{0,-1,-2},{223,1,15})</f>
        <v>223.02083333333334</v>
      </c>
      <c r="I14" s="7" cm="1">
        <f t="array" ref="I14">SUMPRODUCT(60^{0,-1,-2},{49,49,37})</f>
        <v>49.82694444444445</v>
      </c>
      <c r="J14" s="8">
        <f t="shared" si="0"/>
        <v>83.710833333333341</v>
      </c>
      <c r="K14" s="10">
        <f t="shared" si="1"/>
        <v>-0.80019642857143936</v>
      </c>
      <c r="L14" s="11">
        <f t="shared" si="2"/>
        <v>8.4126071428571425</v>
      </c>
    </row>
    <row r="15" spans="1:12" x14ac:dyDescent="0.2">
      <c r="A15" s="1">
        <v>5.5</v>
      </c>
      <c r="B15" s="1">
        <v>26.5</v>
      </c>
      <c r="C15" s="1">
        <v>5</v>
      </c>
      <c r="D15" t="s">
        <v>4</v>
      </c>
      <c r="E15" s="3">
        <v>0.23275046296296295</v>
      </c>
      <c r="F15" s="4">
        <f>+(9+56/60+4.9/3600)</f>
        <v>9.9346944444444443</v>
      </c>
      <c r="G15" s="5">
        <v>3.5</v>
      </c>
      <c r="H15" s="7" cm="1">
        <f t="array" ref="H15">SUMPRODUCT(60^{0,-1,-2},{223,16,12})</f>
        <v>223.27</v>
      </c>
      <c r="I15" s="7" cm="1">
        <f t="array" ref="I15">SUMPRODUCT(60^{0,-1,-2},{50,14,57})</f>
        <v>50.249166666666667</v>
      </c>
      <c r="J15" s="8">
        <f t="shared" si="0"/>
        <v>83.790166666666664</v>
      </c>
      <c r="K15" s="10">
        <f t="shared" si="1"/>
        <v>-0.87952976190476306</v>
      </c>
      <c r="L15" s="11">
        <f t="shared" si="2"/>
        <v>8.8571904761904765</v>
      </c>
    </row>
    <row r="17" spans="2:10" x14ac:dyDescent="0.2">
      <c r="J17" s="9"/>
    </row>
    <row r="26" spans="2:10" x14ac:dyDescent="0.2">
      <c r="B26" s="6"/>
      <c r="D26" s="6"/>
    </row>
    <row r="34" spans="2:4" x14ac:dyDescent="0.2">
      <c r="B34" s="6"/>
      <c r="D34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Leif Hille</dc:creator>
  <cp:lastModifiedBy>Leif Hille</cp:lastModifiedBy>
  <dcterms:created xsi:type="dcterms:W3CDTF">2023-12-03T13:44:44Z</dcterms:created>
  <dcterms:modified xsi:type="dcterms:W3CDTF">2023-12-03T17:38:25Z</dcterms:modified>
</cp:coreProperties>
</file>