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if/Documents/sinkt/SourceCode/Python/Space_and_Astronomy/NEA_Tracking_Calcs/hardware/YagiCalc/"/>
    </mc:Choice>
  </mc:AlternateContent>
  <xr:revisionPtr revIDLastSave="0" documentId="13_ncr:1_{17BF65C3-FB36-724A-9ABE-CB1761CBFB4E}" xr6:coauthVersionLast="47" xr6:coauthVersionMax="47" xr10:uidLastSave="{00000000-0000-0000-0000-000000000000}"/>
  <bookViews>
    <workbookView xWindow="3420" yWindow="1400" windowWidth="28160" windowHeight="20180" activeTab="1" xr2:uid="{6CD0BBB5-C840-4C4B-BA44-2B625580F1C6}"/>
  </bookViews>
  <sheets>
    <sheet name="YagiCalcs" sheetId="1" r:id="rId1"/>
    <sheet name="Sheet3" sheetId="3" r:id="rId2"/>
    <sheet name="Toroid Calcs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1" i="3" l="1"/>
  <c r="H61" i="3"/>
  <c r="G61" i="3"/>
  <c r="E61" i="3"/>
  <c r="D61" i="3"/>
  <c r="F61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M54" i="3"/>
  <c r="M53" i="3" s="1"/>
  <c r="M52" i="3" s="1"/>
  <c r="M51" i="3" s="1"/>
  <c r="M50" i="3" s="1"/>
  <c r="M49" i="3" s="1"/>
  <c r="M48" i="3" s="1"/>
  <c r="M47" i="3" s="1"/>
  <c r="M46" i="3" s="1"/>
  <c r="M45" i="3" s="1"/>
  <c r="M44" i="3" s="1"/>
  <c r="M43" i="3" s="1"/>
  <c r="M55" i="3"/>
  <c r="F7" i="3"/>
  <c r="F8" i="3"/>
  <c r="F9" i="3"/>
  <c r="F10" i="3"/>
  <c r="F11" i="3"/>
  <c r="F12" i="3"/>
  <c r="F13" i="3"/>
  <c r="F14" i="3"/>
  <c r="F15" i="3"/>
  <c r="F6" i="3"/>
  <c r="L50" i="3"/>
  <c r="K44" i="3"/>
  <c r="L44" i="3" s="1"/>
  <c r="K45" i="3"/>
  <c r="L45" i="3" s="1"/>
  <c r="K46" i="3"/>
  <c r="L46" i="3"/>
  <c r="K47" i="3"/>
  <c r="L47" i="3" s="1"/>
  <c r="K48" i="3"/>
  <c r="L48" i="3"/>
  <c r="K49" i="3"/>
  <c r="L49" i="3"/>
  <c r="K50" i="3"/>
  <c r="K51" i="3"/>
  <c r="L51" i="3"/>
  <c r="K52" i="3"/>
  <c r="L52" i="3"/>
  <c r="K53" i="3"/>
  <c r="L53" i="3"/>
  <c r="K54" i="3"/>
  <c r="L54" i="3"/>
  <c r="K55" i="3"/>
  <c r="L55" i="3" s="1"/>
  <c r="K56" i="3"/>
  <c r="L56" i="3"/>
  <c r="K57" i="3"/>
  <c r="L57" i="3"/>
  <c r="K58" i="3"/>
  <c r="L58" i="3"/>
  <c r="K59" i="3"/>
  <c r="L59" i="3"/>
  <c r="K60" i="3"/>
  <c r="L60" i="3" s="1"/>
  <c r="L43" i="3"/>
  <c r="K43" i="3"/>
  <c r="K42" i="3"/>
  <c r="K38" i="3"/>
  <c r="K40" i="3" s="1"/>
  <c r="P31" i="3"/>
  <c r="P29" i="3"/>
  <c r="Q30" i="3"/>
  <c r="M29" i="3"/>
  <c r="N29" i="3" s="1"/>
  <c r="O29" i="3" s="1"/>
  <c r="M28" i="3"/>
  <c r="N28" i="3"/>
  <c r="O28" i="3"/>
  <c r="O26" i="3"/>
  <c r="O25" i="3"/>
  <c r="O24" i="3"/>
  <c r="N27" i="3"/>
  <c r="O27" i="3" s="1"/>
  <c r="P28" i="3"/>
  <c r="P30" i="3" s="1"/>
  <c r="S27" i="3" s="1"/>
  <c r="N26" i="3"/>
  <c r="Q26" i="3"/>
  <c r="R26" i="3" s="1"/>
  <c r="S26" i="3" s="1"/>
  <c r="N25" i="3"/>
  <c r="Q25" i="3"/>
  <c r="R25" i="3" s="1"/>
  <c r="S25" i="3" s="1"/>
  <c r="N24" i="3"/>
  <c r="Q24" i="3"/>
  <c r="R24" i="3" s="1"/>
  <c r="S24" i="3" s="1"/>
  <c r="C36" i="3"/>
  <c r="E18" i="3"/>
  <c r="E19" i="3"/>
  <c r="E20" i="3"/>
  <c r="E21" i="3"/>
  <c r="E17" i="3"/>
  <c r="D6" i="3"/>
  <c r="D7" i="3"/>
  <c r="D8" i="3"/>
  <c r="D9" i="3"/>
  <c r="D10" i="3"/>
  <c r="D11" i="3"/>
  <c r="D12" i="3"/>
  <c r="D13" i="3"/>
  <c r="D14" i="3"/>
  <c r="D15" i="3"/>
  <c r="D5" i="3"/>
  <c r="N6" i="3"/>
  <c r="K6" i="3" s="1"/>
  <c r="N7" i="3"/>
  <c r="K7" i="3" s="1"/>
  <c r="N8" i="3"/>
  <c r="K8" i="3" s="1"/>
  <c r="N9" i="3"/>
  <c r="K9" i="3" s="1"/>
  <c r="N10" i="3"/>
  <c r="K10" i="3" s="1"/>
  <c r="N11" i="3"/>
  <c r="K11" i="3" s="1"/>
  <c r="N12" i="3"/>
  <c r="K12" i="3" s="1"/>
  <c r="N13" i="3"/>
  <c r="K13" i="3" s="1"/>
  <c r="N14" i="3"/>
  <c r="K14" i="3" s="1"/>
  <c r="N15" i="3"/>
  <c r="K15" i="3" s="1"/>
  <c r="N5" i="3"/>
  <c r="K5" i="3" s="1"/>
  <c r="J6" i="3"/>
  <c r="M6" i="3" s="1"/>
  <c r="O6" i="3"/>
  <c r="J7" i="3"/>
  <c r="M7" i="3"/>
  <c r="O7" i="3"/>
  <c r="J8" i="3"/>
  <c r="M8" i="3" s="1"/>
  <c r="O8" i="3"/>
  <c r="J9" i="3"/>
  <c r="M9" i="3" s="1"/>
  <c r="O9" i="3"/>
  <c r="J10" i="3"/>
  <c r="M10" i="3" s="1"/>
  <c r="O10" i="3"/>
  <c r="J11" i="3"/>
  <c r="M11" i="3"/>
  <c r="O11" i="3"/>
  <c r="J12" i="3"/>
  <c r="M12" i="3"/>
  <c r="O12" i="3"/>
  <c r="J13" i="3"/>
  <c r="M13" i="3" s="1"/>
  <c r="O13" i="3"/>
  <c r="J14" i="3"/>
  <c r="M14" i="3"/>
  <c r="O14" i="3"/>
  <c r="J15" i="3"/>
  <c r="M15" i="3" s="1"/>
  <c r="O15" i="3"/>
  <c r="O5" i="3"/>
  <c r="J5" i="3"/>
  <c r="M5" i="3" s="1"/>
  <c r="D2" i="3"/>
  <c r="E2" i="3" s="1"/>
  <c r="J1" i="1"/>
  <c r="E4" i="2"/>
  <c r="D7" i="2" s="1"/>
  <c r="H15" i="1" a="1"/>
  <c r="H15" i="1" s="1"/>
  <c r="G15" i="1" a="1"/>
  <c r="G15" i="1" s="1"/>
  <c r="O15" i="1" a="1"/>
  <c r="O15" i="1" s="1"/>
  <c r="K15" i="1" a="1"/>
  <c r="K15" i="1" s="1"/>
  <c r="D15" i="1"/>
  <c r="C15" i="1"/>
  <c r="H12" i="1" a="1"/>
  <c r="H12" i="1" s="1"/>
  <c r="G12" i="1" a="1"/>
  <c r="G12" i="1" s="1"/>
  <c r="G10" i="1" a="1"/>
  <c r="G10" i="1" s="1"/>
  <c r="G6" i="1" a="1"/>
  <c r="G6" i="1" s="1"/>
  <c r="H10" i="1" a="1"/>
  <c r="H10" i="1" s="1"/>
  <c r="H6" i="1" a="1"/>
  <c r="H6" i="1" s="1"/>
  <c r="H3" i="1" a="1"/>
  <c r="H3" i="1" s="1"/>
  <c r="G3" i="1" a="1"/>
  <c r="G3" i="1" s="1"/>
  <c r="O12" i="1" a="1"/>
  <c r="O12" i="1" s="1"/>
  <c r="K12" i="1" a="1"/>
  <c r="K12" i="1" s="1"/>
  <c r="D12" i="1"/>
  <c r="C12" i="1"/>
  <c r="O10" i="1" a="1"/>
  <c r="O10" i="1" s="1"/>
  <c r="K10" i="1" a="1"/>
  <c r="K10" i="1" s="1"/>
  <c r="D10" i="1"/>
  <c r="C10" i="1"/>
  <c r="O6" i="1" a="1"/>
  <c r="O6" i="1" s="1"/>
  <c r="K6" i="1" a="1"/>
  <c r="K6" i="1" s="1"/>
  <c r="D6" i="1"/>
  <c r="C6" i="1"/>
  <c r="C3" i="1"/>
  <c r="O3" i="1" a="1"/>
  <c r="O3" i="1" s="1"/>
  <c r="K3" i="1" a="1"/>
  <c r="K3" i="1" s="1"/>
  <c r="D3" i="1"/>
  <c r="C19" i="1"/>
  <c r="D19" i="1"/>
  <c r="P19" i="1" s="1" a="1"/>
  <c r="P19" i="1" s="1"/>
  <c r="K19" i="1" a="1"/>
  <c r="K19" i="1" s="1"/>
  <c r="I19" i="1" a="1"/>
  <c r="I19" i="1" s="1"/>
  <c r="M19" i="1" a="1"/>
  <c r="M19" i="1" s="1"/>
  <c r="N19" i="1" a="1"/>
  <c r="N19" i="1" s="1"/>
  <c r="Q19" i="1" a="1"/>
  <c r="Q19" i="1" s="1"/>
  <c r="C18" i="1"/>
  <c r="K18" i="1" a="1"/>
  <c r="K18" i="1" s="1"/>
  <c r="K17" i="1" a="1"/>
  <c r="K17" i="1" s="1"/>
  <c r="K16" i="1" a="1"/>
  <c r="K16" i="1" s="1"/>
  <c r="K13" i="1" a="1"/>
  <c r="K13" i="1" s="1"/>
  <c r="K14" i="1" a="1"/>
  <c r="K14" i="1" s="1"/>
  <c r="K11" i="1" a="1"/>
  <c r="K11" i="1" s="1"/>
  <c r="K9" i="1" a="1"/>
  <c r="K9" i="1" s="1"/>
  <c r="K4" i="1" a="1"/>
  <c r="K4" i="1" s="1"/>
  <c r="K5" i="1" a="1"/>
  <c r="K5" i="1" s="1"/>
  <c r="K7" i="1" a="1"/>
  <c r="K7" i="1" s="1"/>
  <c r="K8" i="1" a="1"/>
  <c r="K8" i="1" s="1"/>
  <c r="K2" i="1" a="1"/>
  <c r="K2" i="1" s="1"/>
  <c r="N18" i="1" a="1"/>
  <c r="N18" i="1" s="1"/>
  <c r="Q18" i="1" a="1"/>
  <c r="Q18" i="1" s="1"/>
  <c r="I18" i="1" a="1"/>
  <c r="I18" i="1" s="1"/>
  <c r="M18" i="1" a="1"/>
  <c r="M18" i="1" s="1"/>
  <c r="D18" i="1"/>
  <c r="P18" i="1" s="1" a="1"/>
  <c r="P18" i="1" s="1"/>
  <c r="D16" i="1"/>
  <c r="P16" i="1" s="1" a="1"/>
  <c r="P16" i="1" s="1"/>
  <c r="I16" i="1" a="1"/>
  <c r="I16" i="1" s="1"/>
  <c r="M16" i="1" a="1"/>
  <c r="M16" i="1" s="1"/>
  <c r="N16" i="1" a="1"/>
  <c r="N16" i="1" s="1"/>
  <c r="Q16" i="1" a="1"/>
  <c r="Q16" i="1" s="1"/>
  <c r="D17" i="1"/>
  <c r="P17" i="1" s="1" a="1"/>
  <c r="P17" i="1" s="1"/>
  <c r="I17" i="1" a="1"/>
  <c r="I17" i="1" s="1"/>
  <c r="M17" i="1" a="1"/>
  <c r="M17" i="1" s="1"/>
  <c r="N17" i="1" a="1"/>
  <c r="N17" i="1" s="1"/>
  <c r="Q17" i="1" a="1"/>
  <c r="Q17" i="1" s="1"/>
  <c r="Q4" i="1" a="1"/>
  <c r="Q4" i="1" s="1"/>
  <c r="Q5" i="1" a="1"/>
  <c r="Q5" i="1" s="1"/>
  <c r="Q7" i="1" a="1"/>
  <c r="Q7" i="1" s="1"/>
  <c r="Q8" i="1" a="1"/>
  <c r="Q8" i="1" s="1"/>
  <c r="Q9" i="1" a="1"/>
  <c r="Q9" i="1" s="1"/>
  <c r="Q11" i="1" a="1"/>
  <c r="Q11" i="1" s="1"/>
  <c r="Q13" i="1" a="1"/>
  <c r="Q13" i="1" s="1"/>
  <c r="Q14" i="1" a="1"/>
  <c r="Q14" i="1" s="1"/>
  <c r="Q2" i="1" a="1"/>
  <c r="Q2" i="1" s="1"/>
  <c r="N14" i="1" a="1"/>
  <c r="N14" i="1" s="1"/>
  <c r="M14" i="1" a="1"/>
  <c r="M14" i="1" s="1"/>
  <c r="N13" i="1" a="1"/>
  <c r="N13" i="1" s="1"/>
  <c r="M13" i="1" a="1"/>
  <c r="M13" i="1" s="1"/>
  <c r="N11" i="1" a="1"/>
  <c r="N11" i="1" s="1"/>
  <c r="M11" i="1" a="1"/>
  <c r="M11" i="1" s="1"/>
  <c r="N9" i="1" a="1"/>
  <c r="N9" i="1" s="1"/>
  <c r="M9" i="1" a="1"/>
  <c r="M9" i="1" s="1"/>
  <c r="N8" i="1" a="1"/>
  <c r="N8" i="1" s="1"/>
  <c r="M8" i="1" a="1"/>
  <c r="M8" i="1" s="1"/>
  <c r="N7" i="1" a="1"/>
  <c r="N7" i="1" s="1"/>
  <c r="M7" i="1" a="1"/>
  <c r="M7" i="1" s="1"/>
  <c r="N5" i="1" a="1"/>
  <c r="N5" i="1" s="1"/>
  <c r="N4" i="1" a="1"/>
  <c r="N4" i="1" s="1"/>
  <c r="N2" i="1" a="1"/>
  <c r="N2" i="1" s="1"/>
  <c r="M2" i="1" a="1"/>
  <c r="M2" i="1" s="1"/>
  <c r="I5" i="1" a="1"/>
  <c r="I5" i="1" s="1"/>
  <c r="I8" i="1" a="1"/>
  <c r="I8" i="1" s="1"/>
  <c r="I9" i="1" a="1"/>
  <c r="I9" i="1" s="1"/>
  <c r="I11" i="1" a="1"/>
  <c r="I11" i="1" s="1"/>
  <c r="I13" i="1" a="1"/>
  <c r="I13" i="1" s="1"/>
  <c r="I14" i="1" a="1"/>
  <c r="I14" i="1" s="1"/>
  <c r="I2" i="1" a="1"/>
  <c r="I2" i="1" s="1"/>
  <c r="D14" i="1"/>
  <c r="P14" i="1" s="1" a="1"/>
  <c r="P14" i="1" s="1"/>
  <c r="D13" i="1"/>
  <c r="P13" i="1" s="1" a="1"/>
  <c r="P13" i="1" s="1"/>
  <c r="D11" i="1"/>
  <c r="P11" i="1" s="1" a="1"/>
  <c r="P11" i="1" s="1"/>
  <c r="I7" i="1" a="1"/>
  <c r="I7" i="1" s="1"/>
  <c r="O9" i="1" a="1"/>
  <c r="O9" i="1" s="1"/>
  <c r="D9" i="1"/>
  <c r="P9" i="1" s="1" a="1"/>
  <c r="P9" i="1" s="1"/>
  <c r="O8" i="1" a="1"/>
  <c r="O8" i="1" s="1"/>
  <c r="D8" i="1"/>
  <c r="P8" i="1" s="1" a="1"/>
  <c r="P8" i="1" s="1"/>
  <c r="O7" i="1" a="1"/>
  <c r="O7" i="1" s="1"/>
  <c r="D7" i="1"/>
  <c r="M5" i="1" a="1"/>
  <c r="M5" i="1" s="1"/>
  <c r="M4" i="1" a="1"/>
  <c r="M4" i="1" s="1"/>
  <c r="D4" i="1"/>
  <c r="P4" i="1" s="1" a="1"/>
  <c r="P4" i="1" s="1"/>
  <c r="O4" i="1" a="1"/>
  <c r="O4" i="1" s="1"/>
  <c r="D5" i="1"/>
  <c r="O5" i="1" a="1"/>
  <c r="O5" i="1" s="1"/>
  <c r="O2" i="1" a="1"/>
  <c r="O2" i="1" s="1"/>
  <c r="D2" i="1"/>
  <c r="P2" i="1" s="1" a="1"/>
  <c r="P2" i="1" s="1"/>
  <c r="K39" i="3" l="1"/>
  <c r="K41" i="3" s="1"/>
  <c r="K33" i="3"/>
  <c r="H6" i="3"/>
  <c r="H5" i="3"/>
  <c r="G15" i="3"/>
  <c r="H7" i="3"/>
  <c r="G6" i="3"/>
  <c r="G11" i="3"/>
  <c r="G12" i="3"/>
  <c r="G13" i="3"/>
  <c r="H15" i="3"/>
  <c r="H8" i="3"/>
  <c r="G7" i="3"/>
  <c r="H9" i="3"/>
  <c r="G8" i="3"/>
  <c r="H10" i="3"/>
  <c r="G9" i="3"/>
  <c r="H11" i="3"/>
  <c r="G10" i="3"/>
  <c r="H12" i="3"/>
  <c r="H13" i="3"/>
  <c r="H14" i="3"/>
  <c r="G14" i="3"/>
  <c r="P15" i="1" a="1"/>
  <c r="P15" i="1" s="1"/>
  <c r="I15" i="1" a="1"/>
  <c r="I15" i="1" s="1"/>
  <c r="M15" i="1" a="1"/>
  <c r="M15" i="1" s="1"/>
  <c r="Q15" i="1" a="1"/>
  <c r="Q15" i="1" s="1"/>
  <c r="N15" i="1" a="1"/>
  <c r="N15" i="1" s="1"/>
  <c r="I12" i="1" a="1"/>
  <c r="I12" i="1" s="1"/>
  <c r="P12" i="1" a="1"/>
  <c r="P12" i="1" s="1"/>
  <c r="M12" i="1" a="1"/>
  <c r="M12" i="1" s="1"/>
  <c r="Q12" i="1" a="1"/>
  <c r="Q12" i="1" s="1"/>
  <c r="N12" i="1" a="1"/>
  <c r="N12" i="1" s="1"/>
  <c r="I10" i="1" a="1"/>
  <c r="I10" i="1" s="1"/>
  <c r="P10" i="1" a="1"/>
  <c r="P10" i="1" s="1"/>
  <c r="M10" i="1" a="1"/>
  <c r="M10" i="1" s="1"/>
  <c r="Q10" i="1" a="1"/>
  <c r="Q10" i="1" s="1"/>
  <c r="N10" i="1" a="1"/>
  <c r="N10" i="1" s="1"/>
  <c r="I6" i="1" a="1"/>
  <c r="I6" i="1" s="1"/>
  <c r="P6" i="1" a="1"/>
  <c r="P6" i="1" s="1"/>
  <c r="M6" i="1" a="1"/>
  <c r="M6" i="1" s="1"/>
  <c r="Q6" i="1" a="1"/>
  <c r="Q6" i="1" s="1"/>
  <c r="N6" i="1" a="1"/>
  <c r="N6" i="1" s="1"/>
  <c r="N3" i="1" a="1"/>
  <c r="N3" i="1" s="1"/>
  <c r="Q3" i="1" a="1"/>
  <c r="Q3" i="1" s="1"/>
  <c r="M3" i="1" a="1"/>
  <c r="M3" i="1" s="1"/>
  <c r="P3" i="1" a="1"/>
  <c r="P3" i="1" s="1"/>
  <c r="I3" i="1" a="1"/>
  <c r="I3" i="1" s="1"/>
  <c r="P7" i="1" a="1"/>
  <c r="P7" i="1" s="1"/>
  <c r="I4" i="1" a="1"/>
  <c r="I4" i="1" s="1"/>
  <c r="P5" i="1" a="1"/>
  <c r="P5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<sst xmlns="http://schemas.openxmlformats.org/spreadsheetml/2006/main" count="172" uniqueCount="110">
  <si>
    <t>Nprim</t>
  </si>
  <si>
    <t>Nsec</t>
  </si>
  <si>
    <t>Zprim</t>
  </si>
  <si>
    <t>Zsec</t>
  </si>
  <si>
    <t>Turns</t>
  </si>
  <si>
    <t>Turn Ratio Squared</t>
  </si>
  <si>
    <t>Length</t>
  </si>
  <si>
    <t>Freq (MHz)</t>
  </si>
  <si>
    <t>width (cm)</t>
  </si>
  <si>
    <t>Type</t>
  </si>
  <si>
    <t>Yagi 3 el</t>
  </si>
  <si>
    <t>Elem</t>
  </si>
  <si>
    <t>Spacing</t>
  </si>
  <si>
    <t>Length(in)</t>
  </si>
  <si>
    <t>Spacing(in)</t>
  </si>
  <si>
    <t>Width(in)</t>
  </si>
  <si>
    <t>Yagi 4 el</t>
  </si>
  <si>
    <t>Yagi 6 el</t>
  </si>
  <si>
    <t>Yagi 8 el</t>
  </si>
  <si>
    <t>Yagi 11 el</t>
  </si>
  <si>
    <t>Count</t>
  </si>
  <si>
    <t>len(cm)</t>
  </si>
  <si>
    <t>spacing(cm)</t>
  </si>
  <si>
    <t>len(lambda)</t>
  </si>
  <si>
    <t>spacing(lambda)</t>
  </si>
  <si>
    <t>41, 38.5, 37</t>
  </si>
  <si>
    <t>0, 8.5, 20</t>
  </si>
  <si>
    <t>41, 38.5, 37.5, 33</t>
  </si>
  <si>
    <t>26, 24.5, 23.75</t>
  </si>
  <si>
    <t>0, 5.5, 13.5</t>
  </si>
  <si>
    <t>26.25, 24.5, 24.1, 22</t>
  </si>
  <si>
    <t>0, 5, 11.75, 23.5</t>
  </si>
  <si>
    <t>26.25, 24.5, 24.1, 23.5, 23.5, 21</t>
  </si>
  <si>
    <t>0, 5, 10.75, 22, 33.75, 45.5</t>
  </si>
  <si>
    <t>13.5, 13, 12.5, 12, 12, 11</t>
  </si>
  <si>
    <t>0, 2.5, 5.5, 11.25, 17.5, 24</t>
  </si>
  <si>
    <t>13.5, 13, 12.5, 12, 12, 12, 12, 11</t>
  </si>
  <si>
    <t>0, 2.5, 5.5, 11.25, 17.5, 24.0, 30.75, 38.0</t>
  </si>
  <si>
    <t>13.5, 13, 12.5, 12, 12, 12, 12, 12, 11.75, 11.75, 11.0</t>
  </si>
  <si>
    <t>0, 2.5, 5.5, 11.25, 17.5, 24, 30.75, 38, 45.5, 53.0, 59.5</t>
  </si>
  <si>
    <t>Yagi 10 el</t>
  </si>
  <si>
    <t>6.2, 5.7, 5.6, 5.5, 5.5, 5.4,5.3,5.2, 5.1, 5.1</t>
  </si>
  <si>
    <t>4.3 , 4, 3.9, 3.8, 3.75, 3.75, 3.65, 3.6, 3.6, 3.5</t>
  </si>
  <si>
    <t>0, 2.4, 3.9, 5.8, 9, 12.4, 17.4, 22.4, 27.6, 33.0</t>
  </si>
  <si>
    <t>0, 1.7, 2.8, 4.0, 6.3, 8.7, 12.2, 15.6, 19.3, 23</t>
  </si>
  <si>
    <t>4.02, 0, 3.78, 3.74, 3.7, 3.7, 3.66, 3.62, 3.62, 3.58, 3.58, 3.54, 3.54, 3.54, 3.5</t>
  </si>
  <si>
    <t>0, 2.01, 2.64, 4.13, 5.91, 7.99, 10.31, 12.8, 15.43, 18.19, 21.06, 24.06, 27.17, 30.35, 33.62</t>
  </si>
  <si>
    <t>9.31, 4.9, 19.6, 9.8,0.49,1.56</t>
  </si>
  <si>
    <t>F-Di Len</t>
  </si>
  <si>
    <t>14.35, 7.55, 30.21, 15.11, 0.76,2.4</t>
  </si>
  <si>
    <t>4.78, 2.52, 10.07, 5.04, 0.25,.8</t>
  </si>
  <si>
    <t>2.29, 1.21, 4.82, 2.41, 0.12, .38</t>
  </si>
  <si>
    <t>1.59, 0.84, 3.36, 1.68, 0.08, 0.27</t>
  </si>
  <si>
    <t>1.46, 0.77, 3.06, 1.53,0.08, .24</t>
  </si>
  <si>
    <t>Yagi 15 el
changpuak.ch</t>
  </si>
  <si>
    <t>Yagi 10 el
changpuak.ch</t>
  </si>
  <si>
    <t>Freq 
(MHz)</t>
  </si>
  <si>
    <t>Wave- 
length</t>
  </si>
  <si>
    <t>gain 
(dBd)</t>
  </si>
  <si>
    <t>Source</t>
  </si>
  <si>
    <t>Yagi+Trombone</t>
  </si>
  <si>
    <t xml:space="preserve">-1 88.9 mm 728.8 mm (Reflector) 0 98.0 mm 678.0 mm ("Driven" Element) 1 83.8 mm 635.6 mm 2 83.8 mm 609.4 mm 3 86.4 mm 543.4 mm 4 86.4 mm 469.7 mm 5 83.8 mm 375.7 mm 6 81.3 mm 286.8 mm 7 81.3 mm 192.9 mm 8 81.3 mm 102.2 mm 9 81.3 mm 10.0 mm 0.0 mm = end of PVC pipe </t>
  </si>
  <si>
    <t>Len</t>
  </si>
  <si>
    <t>WL(m)</t>
  </si>
  <si>
    <t>WL(mm)</t>
  </si>
  <si>
    <t>X</t>
  </si>
  <si>
    <t>#14</t>
  </si>
  <si>
    <t>x1</t>
  </si>
  <si>
    <t>x2</t>
  </si>
  <si>
    <t>y2</t>
  </si>
  <si>
    <t>z1</t>
  </si>
  <si>
    <t>y1</t>
  </si>
  <si>
    <t>z2</t>
  </si>
  <si>
    <t>GW</t>
  </si>
  <si>
    <t>Y</t>
  </si>
  <si>
    <t>Z</t>
  </si>
  <si>
    <t>DIA</t>
  </si>
  <si>
    <t>Len(mm)</t>
  </si>
  <si>
    <t>Len(in)</t>
  </si>
  <si>
    <t>3 8/16</t>
  </si>
  <si>
    <t>3 14/16</t>
  </si>
  <si>
    <t>3 5/16</t>
  </si>
  <si>
    <t>3 6/16</t>
  </si>
  <si>
    <t>3 3/16</t>
  </si>
  <si>
    <r>
      <t>SR</t>
    </r>
    <r>
      <rPr>
        <sz val="12"/>
        <color theme="1"/>
        <rFont val="Calibri"/>
        <family val="2"/>
        <scheme val="minor"/>
      </rPr>
      <t>=0.2</t>
    </r>
  </si>
  <si>
    <t>R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</si>
  <si>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</si>
  <si>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</si>
  <si>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</si>
  <si>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</si>
  <si>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</si>
  <si>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</si>
  <si>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</si>
  <si>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</si>
  <si>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</si>
  <si>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</si>
  <si>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</si>
  <si>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</si>
  <si>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</si>
  <si>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</si>
  <si>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</si>
  <si>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Spacing between directors,    (SD/)</t>
  </si>
  <si>
    <t>Gain (dB)</t>
  </si>
  <si>
    <t>Boom Length of Yagi-Uda Array (in lambda)</t>
  </si>
  <si>
    <t>diameter=0.0085 x Lambda</t>
  </si>
  <si>
    <t>MHz</t>
  </si>
  <si>
    <t>m</t>
  </si>
  <si>
    <t>mm</t>
  </si>
  <si>
    <t>in</t>
  </si>
  <si>
    <t>WL(in)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</si>
</sst>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70" formatCode="0.000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rgb="FFFFFFFF"/>
      <name val="Calibri"/>
      <family val="2"/>
      <scheme val="minor"/>
    </font>
    <font>
      <sz val="12"/>
      <color rgb="FF000000"/>
      <name val="Menlo"/>
      <family val="2"/>
    </font>
    <font>
      <sz val="12"/>
      <color rgb="FF098658"/>
      <name val="Menlo"/>
      <family val="2"/>
    </font>
    <font>
      <i/>
      <sz val="12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0" xfId="0" quotePrefix="1"/>
    <xf numFmtId="0" fontId="0" fillId="0" borderId="0" xfId="0" applyAlignment="1">
      <alignment vertical="top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/>
    </xf>
    <xf numFmtId="0" fontId="2" fillId="0" borderId="0" xfId="2" applyAlignment="1">
      <alignment vertical="top"/>
    </xf>
    <xf numFmtId="0" fontId="0" fillId="0" borderId="0" xfId="0" applyAlignment="1">
      <alignment horizontal="center" vertical="top" wrapText="1"/>
    </xf>
    <xf numFmtId="170" fontId="0" fillId="0" borderId="0" xfId="0" applyNumberFormat="1" applyAlignment="1">
      <alignment vertical="top"/>
    </xf>
    <xf numFmtId="0" fontId="2" fillId="0" borderId="0" xfId="2" applyAlignment="1">
      <alignment vertical="top" wrapText="1"/>
    </xf>
    <xf numFmtId="0" fontId="0" fillId="2" borderId="0" xfId="0" applyFill="1" applyAlignment="1">
      <alignment vertical="top"/>
    </xf>
    <xf numFmtId="0" fontId="0" fillId="2" borderId="0" xfId="0" applyFill="1" applyAlignment="1">
      <alignment horizontal="center" vertical="top"/>
    </xf>
    <xf numFmtId="170" fontId="0" fillId="2" borderId="0" xfId="0" applyNumberFormat="1" applyFill="1" applyAlignment="1">
      <alignment vertical="top"/>
    </xf>
    <xf numFmtId="0" fontId="0" fillId="2" borderId="0" xfId="0" quotePrefix="1" applyFill="1" applyAlignment="1">
      <alignment vertical="top" wrapText="1"/>
    </xf>
    <xf numFmtId="0" fontId="0" fillId="2" borderId="0" xfId="0" applyFill="1" applyAlignment="1">
      <alignment vertical="top" wrapText="1"/>
    </xf>
    <xf numFmtId="0" fontId="3" fillId="0" borderId="0" xfId="0" applyFont="1"/>
    <xf numFmtId="0" fontId="4" fillId="0" borderId="0" xfId="0" applyFont="1"/>
    <xf numFmtId="0" fontId="5" fillId="0" borderId="0" xfId="0" applyFont="1"/>
    <xf numFmtId="11" fontId="0" fillId="0" borderId="0" xfId="0" applyNumberFormat="1"/>
    <xf numFmtId="43" fontId="0" fillId="0" borderId="0" xfId="1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2" fillId="0" borderId="0" xfId="2"/>
    <xf numFmtId="43" fontId="0" fillId="0" borderId="0" xfId="1" applyFont="1" applyAlignment="1">
      <alignment horizontal="center"/>
    </xf>
    <xf numFmtId="43" fontId="0" fillId="0" borderId="0" xfId="0" applyNumberFormat="1"/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37</xdr:row>
      <xdr:rowOff>0</xdr:rowOff>
    </xdr:from>
    <xdr:to>
      <xdr:col>1</xdr:col>
      <xdr:colOff>342900</xdr:colOff>
      <xdr:row>38</xdr:row>
      <xdr:rowOff>0</xdr:rowOff>
    </xdr:to>
    <xdr:pic>
      <xdr:nvPicPr>
        <xdr:cNvPr id="2" name="Picture 1" descr="wavelength">
          <a:extLst>
            <a:ext uri="{FF2B5EF4-FFF2-40B4-BE49-F238E27FC236}">
              <a16:creationId xmlns:a16="http://schemas.microsoft.com/office/drawing/2014/main" id="{7AD78D02-3FA2-6943-3C7B-E6CEA2298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7518400"/>
          <a:ext cx="2667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317500</xdr:colOff>
      <xdr:row>38</xdr:row>
      <xdr:rowOff>254000</xdr:rowOff>
    </xdr:from>
    <xdr:to>
      <xdr:col>1</xdr:col>
      <xdr:colOff>584200</xdr:colOff>
      <xdr:row>40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78BAD74-5C6A-39CD-85C3-26CC4B3D0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8077200"/>
          <a:ext cx="2667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57</xdr:row>
      <xdr:rowOff>152400</xdr:rowOff>
    </xdr:from>
    <xdr:to>
      <xdr:col>0</xdr:col>
      <xdr:colOff>495300</xdr:colOff>
      <xdr:row>59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D63C37-C3F9-A4EE-E394-9FA92B593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1938000"/>
          <a:ext cx="2667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520700</xdr:colOff>
      <xdr:row>32</xdr:row>
      <xdr:rowOff>0</xdr:rowOff>
    </xdr:from>
    <xdr:to>
      <xdr:col>24</xdr:col>
      <xdr:colOff>38100</xdr:colOff>
      <xdr:row>42</xdr:row>
      <xdr:rowOff>53043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310C271-EEAF-FE53-7436-BE9B3F6DA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77700" y="6502400"/>
          <a:ext cx="7772400" cy="2288243"/>
        </a:xfrm>
        <a:prstGeom prst="rect">
          <a:avLst/>
        </a:prstGeom>
      </xdr:spPr>
    </xdr:pic>
    <xdr:clientData/>
  </xdr:twoCellAnchor>
  <xdr:twoCellAnchor editAs="oneCell">
    <xdr:from>
      <xdr:col>14</xdr:col>
      <xdr:colOff>558800</xdr:colOff>
      <xdr:row>42</xdr:row>
      <xdr:rowOff>76200</xdr:rowOff>
    </xdr:from>
    <xdr:to>
      <xdr:col>24</xdr:col>
      <xdr:colOff>76200</xdr:colOff>
      <xdr:row>62</xdr:row>
      <xdr:rowOff>93115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DD38FE-3F69-163F-E270-5ECB3ABF9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15800" y="8813800"/>
          <a:ext cx="7772400" cy="40809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638A7-3B07-2F41-B853-E557657C7B05}">
  <dimension ref="A1:Q23"/>
  <sheetViews>
    <sheetView workbookViewId="0">
      <pane xSplit="2" ySplit="1" topLeftCell="D14" activePane="bottomRight" state="frozen"/>
      <selection pane="topRight" activeCell="C1" sqref="C1"/>
      <selection pane="bottomLeft" activeCell="A2" sqref="A2"/>
      <selection pane="bottomRight" activeCell="G21" sqref="G21"/>
    </sheetView>
  </sheetViews>
  <sheetFormatPr baseColWidth="10" defaultRowHeight="16" x14ac:dyDescent="0.2"/>
  <cols>
    <col min="1" max="1" width="13.5" style="2" customWidth="1"/>
    <col min="2" max="2" width="6.33203125" style="5" bestFit="1" customWidth="1"/>
    <col min="3" max="3" width="12.1640625" style="2" bestFit="1" customWidth="1"/>
    <col min="4" max="4" width="6.6640625" style="2" bestFit="1" customWidth="1"/>
    <col min="5" max="5" width="7.5" style="5" customWidth="1"/>
    <col min="6" max="6" width="5.6640625" style="5" bestFit="1" customWidth="1"/>
    <col min="7" max="7" width="14.33203125" style="2" customWidth="1"/>
    <col min="8" max="8" width="15.1640625" style="2" customWidth="1"/>
    <col min="9" max="9" width="5.83203125" style="5" bestFit="1" customWidth="1"/>
    <col min="10" max="10" width="20.5" style="2" customWidth="1"/>
    <col min="11" max="11" width="7.83203125" style="2" bestFit="1" customWidth="1"/>
    <col min="12" max="12" width="10.83203125" style="5"/>
    <col min="13" max="13" width="20.33203125" style="2" customWidth="1"/>
    <col min="14" max="14" width="18.5" style="2" customWidth="1"/>
    <col min="15" max="15" width="10.1640625" style="5" bestFit="1" customWidth="1"/>
    <col min="16" max="17" width="17.33203125" style="2" customWidth="1"/>
    <col min="18" max="16384" width="10.83203125" style="2"/>
  </cols>
  <sheetData>
    <row r="1" spans="1:17" ht="34" x14ac:dyDescent="0.2">
      <c r="A1" s="2" t="s">
        <v>9</v>
      </c>
      <c r="B1" s="7" t="s">
        <v>56</v>
      </c>
      <c r="C1" s="2" t="s">
        <v>59</v>
      </c>
      <c r="D1" s="4" t="s">
        <v>57</v>
      </c>
      <c r="E1" s="5" t="s">
        <v>11</v>
      </c>
      <c r="F1" s="7" t="s">
        <v>58</v>
      </c>
      <c r="G1" s="2" t="s">
        <v>13</v>
      </c>
      <c r="H1" s="2" t="s">
        <v>14</v>
      </c>
      <c r="I1" s="5" t="s">
        <v>20</v>
      </c>
      <c r="J1" s="9" t="str">
        <f>HYPERLINK("https://www.changpuak.ch/electronics/Dipole_folded.php","Folded Dipole Len Changpuan.ch")</f>
        <v>Folded Dipole Len Changpuan.ch</v>
      </c>
      <c r="K1" s="2" t="s">
        <v>48</v>
      </c>
      <c r="L1" s="5" t="s">
        <v>15</v>
      </c>
      <c r="M1" s="2" t="s">
        <v>21</v>
      </c>
      <c r="N1" s="2" t="s">
        <v>22</v>
      </c>
      <c r="O1" s="5" t="s">
        <v>8</v>
      </c>
      <c r="P1" s="2" t="s">
        <v>23</v>
      </c>
      <c r="Q1" s="2" t="s">
        <v>24</v>
      </c>
    </row>
    <row r="2" spans="1:17" ht="34" x14ac:dyDescent="0.2">
      <c r="A2" s="2" t="s">
        <v>10</v>
      </c>
      <c r="B2" s="5">
        <v>144</v>
      </c>
      <c r="C2" s="2" t="s">
        <v>60</v>
      </c>
      <c r="D2" s="8">
        <f>300/B2</f>
        <v>2.0833333333333335</v>
      </c>
      <c r="E2" s="5">
        <v>3</v>
      </c>
      <c r="G2" s="3" t="s">
        <v>25</v>
      </c>
      <c r="H2" s="3" t="s">
        <v>26</v>
      </c>
      <c r="I2" s="5" t="str" cm="1">
        <f t="array" ref="I2">COUNT(VALUE(_xlfn.TEXTSPLIT(G2,",")))&amp;","&amp;COUNT(VALUE(_xlfn.TEXTSPLIT(H2,",")))</f>
        <v>3,3</v>
      </c>
      <c r="J2" s="3" t="s">
        <v>49</v>
      </c>
      <c r="K2" s="5" cm="1">
        <f t="array" ref="K2">SUMPRODUCT({1,2,1,1,1,0},VALUE(_xlfn.TEXTSPLIT(J2,",")))</f>
        <v>75.53</v>
      </c>
      <c r="L2" s="5">
        <v>1</v>
      </c>
      <c r="M2" s="4" t="str" cm="1">
        <f t="array" ref="M2">_xlfn.TEXTJOIN(", ",FALSE,0.1*INT(0.5+304.8*VALUE(_xlfn.TEXTSPLIT(G2,","))/12))</f>
        <v>104.1, 97.8, 94</v>
      </c>
      <c r="N2" s="4" t="str" cm="1">
        <f t="array" ref="N2">_xlfn.TEXTJOIN(", ",FALSE,0.1*INT(0.5+304.8*VALUE(_xlfn.TEXTSPLIT(H2,","))/12))</f>
        <v>0, 21.6, 50.8</v>
      </c>
      <c r="O2" s="5" cm="1">
        <f t="array" ref="O2">_xlfn.TEXTJOIN(",",FALSE,0.3048*VALUE(_xlfn.TEXTSPLIT(L2,","))/12)*100</f>
        <v>2.54</v>
      </c>
      <c r="P2" s="4" t="str" cm="1">
        <f t="array" ref="P2">_xlfn.TEXTJOIN(", ",FALSE,0.01*INT(0.5+3048*VALUE(_xlfn.TEXTSPLIT(G2,","))/12/(100*D2)))</f>
        <v>0.5, 0.47, 0.45</v>
      </c>
      <c r="Q2" s="4" t="str" cm="1">
        <f t="array" ref="Q2">_xlfn.TEXTJOIN(", ",FALSE,0.01*INT(0.5+3048*VALUE(_xlfn.TEXTSPLIT(H2,","))/12/(100*E2)))</f>
        <v>0, 0.07, 0.17</v>
      </c>
    </row>
    <row r="3" spans="1:17" ht="34" x14ac:dyDescent="0.2">
      <c r="A3" s="2" t="s">
        <v>10</v>
      </c>
      <c r="B3" s="5">
        <v>144</v>
      </c>
      <c r="C3" s="6" t="str">
        <f>HYPERLINK("https://www.changpuak.ch/electronics/yagi_uda_antenna_DL6WU.php", "Yagi Calc Site")</f>
        <v>Yagi Calc Site</v>
      </c>
      <c r="D3" s="8">
        <f>300/B3</f>
        <v>2.0833333333333335</v>
      </c>
      <c r="E3" s="5">
        <v>3</v>
      </c>
      <c r="F3" s="5">
        <v>5.2</v>
      </c>
      <c r="G3" s="3" t="str" cm="1">
        <f t="array" ref="G3">_xlfn.TEXTJOIN(", ",TRUE,INT(100*{1004,0,947}/25.4+0.5)/100)</f>
        <v>39.53, 0, 37.28</v>
      </c>
      <c r="H3" s="3" t="str" cm="1">
        <f t="array" ref="H3">_xlfn.TEXTJOIN(", ",TRUE,INT(100*{0,500,656}/25.4+0.5)/100)</f>
        <v>0, 19.69, 25.83</v>
      </c>
      <c r="I3" s="5" t="str" cm="1">
        <f t="array" ref="I3">COUNT(VALUE(_xlfn.TEXTSPLIT(G3,",")))&amp;","&amp;COUNT(VALUE(_xlfn.TEXTSPLIT(H3,",")))</f>
        <v>3,3</v>
      </c>
      <c r="J3" s="3" t="s">
        <v>49</v>
      </c>
      <c r="K3" s="5" cm="1">
        <f t="array" ref="K3">SUMPRODUCT({1,2,1,1,1,0},VALUE(_xlfn.TEXTSPLIT(J3,",")))</f>
        <v>75.53</v>
      </c>
      <c r="L3" s="5">
        <v>1</v>
      </c>
      <c r="M3" s="4" t="str" cm="1">
        <f t="array" ref="M3">_xlfn.TEXTJOIN(", ",FALSE,0.1*INT(0.5+304.8*VALUE(_xlfn.TEXTSPLIT(G3,","))/12))</f>
        <v>100.4, 0, 94.7</v>
      </c>
      <c r="N3" s="4" t="str" cm="1">
        <f t="array" ref="N3">_xlfn.TEXTJOIN(", ",FALSE,0.1*INT(0.5+304.8*VALUE(_xlfn.TEXTSPLIT(H3,","))/12))</f>
        <v>0, 50, 65.6</v>
      </c>
      <c r="O3" s="5" cm="1">
        <f t="array" ref="O3">_xlfn.TEXTJOIN(",",FALSE,0.3048*VALUE(_xlfn.TEXTSPLIT(L3,","))/12)*100</f>
        <v>2.54</v>
      </c>
      <c r="P3" s="4" t="str" cm="1">
        <f t="array" ref="P3">_xlfn.TEXTJOIN(", ",FALSE,0.01*INT(0.5+3048*VALUE(_xlfn.TEXTSPLIT(G3,","))/12/(100*D3)))</f>
        <v>0.48, 0, 0.45</v>
      </c>
      <c r="Q3" s="4" t="str" cm="1">
        <f t="array" ref="Q3">_xlfn.TEXTJOIN(", ",FALSE,0.01*INT(0.5+3048*VALUE(_xlfn.TEXTSPLIT(H3,","))/12/(100*E3)))</f>
        <v>0, 0.17, 0.22</v>
      </c>
    </row>
    <row r="4" spans="1:17" ht="34" x14ac:dyDescent="0.2">
      <c r="A4" s="2" t="s">
        <v>16</v>
      </c>
      <c r="B4" s="5">
        <v>144</v>
      </c>
      <c r="C4" s="2" t="s">
        <v>60</v>
      </c>
      <c r="D4" s="8">
        <f>300/B4</f>
        <v>2.0833333333333335</v>
      </c>
      <c r="E4" s="5">
        <v>4</v>
      </c>
      <c r="G4" s="3" t="s">
        <v>27</v>
      </c>
      <c r="H4" s="3" t="s">
        <v>26</v>
      </c>
      <c r="I4" s="5" t="str" cm="1">
        <f t="array" ref="I4">COUNT(VALUE(_xlfn.TEXTSPLIT(G4,",")))&amp;","&amp;COUNT(VALUE(_xlfn.TEXTSPLIT(H4,",")))</f>
        <v>4,3</v>
      </c>
      <c r="J4" s="3" t="s">
        <v>49</v>
      </c>
      <c r="K4" s="5" cm="1">
        <f t="array" ref="K4">SUMPRODUCT({1,2,1,1,1,0},VALUE(_xlfn.TEXTSPLIT(J4,",")))</f>
        <v>75.53</v>
      </c>
      <c r="L4" s="5">
        <v>1</v>
      </c>
      <c r="M4" s="4" t="str" cm="1">
        <f t="array" ref="M4">_xlfn.TEXTJOIN(", ",FALSE,0.1*INT(0.5+304.8*VALUE(_xlfn.TEXTSPLIT(G4,","))/12))</f>
        <v>104.1, 97.8, 95.3, 83.8</v>
      </c>
      <c r="N4" s="4" t="str" cm="1">
        <f t="array" ref="N4">_xlfn.TEXTJOIN(", ",FALSE,0.1*INT(0.5+304.8*VALUE(_xlfn.TEXTSPLIT(H4,","))/12))</f>
        <v>0, 21.6, 50.8</v>
      </c>
      <c r="O4" s="5" cm="1">
        <f t="array" ref="O4">_xlfn.TEXTJOIN(",",FALSE,0.3048*VALUE(_xlfn.TEXTSPLIT(L4,","))/12)*100</f>
        <v>2.54</v>
      </c>
      <c r="P4" s="4" t="str" cm="1">
        <f t="array" ref="P4">_xlfn.TEXTJOIN(", ",FALSE,0.01*INT(0.5+3048*VALUE(_xlfn.TEXTSPLIT(G4,","))/12/(100*D4)))</f>
        <v>0.5, 0.47, 0.46, 0.4</v>
      </c>
      <c r="Q4" s="4" t="str" cm="1">
        <f t="array" ref="Q4">_xlfn.TEXTJOIN(", ",FALSE,0.01*INT(0.5+3048*VALUE(_xlfn.TEXTSPLIT(H4,","))/12/(100*E4)))</f>
        <v>0, 0.05, 0.13</v>
      </c>
    </row>
    <row r="5" spans="1:17" ht="34" x14ac:dyDescent="0.2">
      <c r="A5" s="2" t="s">
        <v>17</v>
      </c>
      <c r="B5" s="5">
        <v>144</v>
      </c>
      <c r="C5" s="2" t="s">
        <v>60</v>
      </c>
      <c r="D5" s="8">
        <f>300/B5</f>
        <v>2.0833333333333335</v>
      </c>
      <c r="E5" s="5">
        <v>6</v>
      </c>
      <c r="G5" s="3" t="s">
        <v>27</v>
      </c>
      <c r="H5" s="3" t="s">
        <v>26</v>
      </c>
      <c r="I5" s="5" t="str" cm="1">
        <f t="array" ref="I5">COUNT(VALUE(_xlfn.TEXTSPLIT(G5,",")))&amp;","&amp;COUNT(VALUE(_xlfn.TEXTSPLIT(H5,",")))</f>
        <v>4,3</v>
      </c>
      <c r="J5" s="3" t="s">
        <v>49</v>
      </c>
      <c r="K5" s="5" cm="1">
        <f t="array" ref="K5">SUMPRODUCT({1,2,1,1,1,0},VALUE(_xlfn.TEXTSPLIT(J5,",")))</f>
        <v>75.53</v>
      </c>
      <c r="L5" s="5">
        <v>1</v>
      </c>
      <c r="M5" s="4" t="str" cm="1">
        <f t="array" ref="M5">_xlfn.TEXTJOIN(", ",FALSE,0.1*INT(0.5+304.8*VALUE(_xlfn.TEXTSPLIT(G5,","))/12))</f>
        <v>104.1, 97.8, 95.3, 83.8</v>
      </c>
      <c r="N5" s="4" t="str" cm="1">
        <f t="array" ref="N5">_xlfn.TEXTJOIN(", ",FALSE,0.1*INT(0.5+304.8*VALUE(_xlfn.TEXTSPLIT(H5,","))/12))</f>
        <v>0, 21.6, 50.8</v>
      </c>
      <c r="O5" s="5" cm="1">
        <f t="array" ref="O5">_xlfn.TEXTJOIN(",",FALSE,0.3048*VALUE(_xlfn.TEXTSPLIT(L5,","))/12)*100</f>
        <v>2.54</v>
      </c>
      <c r="P5" s="4" t="str" cm="1">
        <f t="array" ref="P5">_xlfn.TEXTJOIN(", ",FALSE,0.01*INT(0.5+3048*VALUE(_xlfn.TEXTSPLIT(G5,","))/12/(100*D5)))</f>
        <v>0.5, 0.47, 0.46, 0.4</v>
      </c>
      <c r="Q5" s="4" t="str" cm="1">
        <f t="array" ref="Q5">_xlfn.TEXTJOIN(", ",FALSE,0.01*INT(0.5+3048*VALUE(_xlfn.TEXTSPLIT(H5,","))/12/(100*E5)))</f>
        <v>0, 0.04, 0.08</v>
      </c>
    </row>
    <row r="6" spans="1:17" ht="51" x14ac:dyDescent="0.2">
      <c r="A6" s="2" t="s">
        <v>17</v>
      </c>
      <c r="B6" s="5">
        <v>144</v>
      </c>
      <c r="C6" s="6" t="str">
        <f>HYPERLINK("https://www.changpuak.ch/electronics/yagi_uda_antenna_DL6WU.php", "Yagi Calc Site")</f>
        <v>Yagi Calc Site</v>
      </c>
      <c r="D6" s="8">
        <f>300/B6</f>
        <v>2.0833333333333335</v>
      </c>
      <c r="E6" s="5">
        <v>3</v>
      </c>
      <c r="F6" s="5">
        <v>9</v>
      </c>
      <c r="G6" s="3" t="str" cm="1">
        <f t="array" ref="G6">_xlfn.TEXTJOIN(", ",TRUE,INT(100*{1004,0,947,938,930,923}/25.4+0.5)/100)</f>
        <v>39.53, 0, 37.28, 36.93, 36.61, 36.34</v>
      </c>
      <c r="H6" s="3" t="str" cm="1">
        <f t="array" ref="H6">_xlfn.TEXTJOIN(", ",TRUE,INT(100*{0,500,656,1031,1479,2000}/25.4+0.5)/100)</f>
        <v>0, 19.69, 25.83, 40.59, 58.23, 78.74</v>
      </c>
      <c r="I6" s="5" t="str" cm="1">
        <f t="array" ref="I6">COUNT(VALUE(_xlfn.TEXTSPLIT(G6,",")))&amp;","&amp;COUNT(VALUE(_xlfn.TEXTSPLIT(H6,",")))</f>
        <v>6,6</v>
      </c>
      <c r="J6" s="3" t="s">
        <v>49</v>
      </c>
      <c r="K6" s="5" cm="1">
        <f t="array" ref="K6">SUMPRODUCT({1,2,1,1,1,0},VALUE(_xlfn.TEXTSPLIT(J6,",")))</f>
        <v>75.53</v>
      </c>
      <c r="L6" s="5">
        <v>1</v>
      </c>
      <c r="M6" s="4" t="str" cm="1">
        <f t="array" ref="M6">_xlfn.TEXTJOIN(", ",FALSE,0.1*INT(0.5+304.8*VALUE(_xlfn.TEXTSPLIT(G6,","))/12))</f>
        <v>100.4, 0, 94.7, 93.8, 93, 92.3</v>
      </c>
      <c r="N6" s="4" t="str" cm="1">
        <f t="array" ref="N6">_xlfn.TEXTJOIN(", ",FALSE,0.1*INT(0.5+304.8*VALUE(_xlfn.TEXTSPLIT(H6,","))/12))</f>
        <v>0, 50, 65.6, 103.1, 147.9, 200</v>
      </c>
      <c r="O6" s="5" cm="1">
        <f t="array" ref="O6">_xlfn.TEXTJOIN(",",FALSE,0.3048*VALUE(_xlfn.TEXTSPLIT(L6,","))/12)*100</f>
        <v>2.54</v>
      </c>
      <c r="P6" s="4" t="str" cm="1">
        <f t="array" ref="P6">_xlfn.TEXTJOIN(", ",FALSE,0.01*INT(0.5+3048*VALUE(_xlfn.TEXTSPLIT(G6,","))/12/(100*D6)))</f>
        <v>0.48, 0, 0.45, 0.45, 0.45, 0.44</v>
      </c>
      <c r="Q6" s="4" t="str" cm="1">
        <f t="array" ref="Q6">_xlfn.TEXTJOIN(", ",FALSE,0.01*INT(0.5+3048*VALUE(_xlfn.TEXTSPLIT(H6,","))/12/(100*E6)))</f>
        <v>0, 0.17, 0.22, 0.34, 0.49, 0.67</v>
      </c>
    </row>
    <row r="7" spans="1:17" ht="34" x14ac:dyDescent="0.2">
      <c r="A7" s="2" t="s">
        <v>10</v>
      </c>
      <c r="B7" s="5">
        <v>222</v>
      </c>
      <c r="C7" s="2" t="s">
        <v>60</v>
      </c>
      <c r="D7" s="8">
        <f>300/B7</f>
        <v>1.3513513513513513</v>
      </c>
      <c r="E7" s="5">
        <v>3</v>
      </c>
      <c r="G7" s="3" t="s">
        <v>28</v>
      </c>
      <c r="H7" s="3" t="s">
        <v>29</v>
      </c>
      <c r="I7" s="5" t="str" cm="1">
        <f t="array" ref="I7">COUNT(VALUE(_xlfn.TEXTSPLIT(G7,",")))&amp;","&amp;COUNT(VALUE(_xlfn.TEXTSPLIT(H7,",")))</f>
        <v>3,3</v>
      </c>
      <c r="J7" s="3" t="s">
        <v>47</v>
      </c>
      <c r="K7" s="5" cm="1">
        <f t="array" ref="K7">SUMPRODUCT({1,2,1,1,1,0},VALUE(_xlfn.TEXTSPLIT(J7,",")))</f>
        <v>49.000000000000007</v>
      </c>
      <c r="L7" s="5">
        <v>1</v>
      </c>
      <c r="M7" s="4" t="str" cm="1">
        <f t="array" ref="M7">_xlfn.TEXTJOIN(", ",FALSE,0.1*INT(0.5+304.8*VALUE(_xlfn.TEXTSPLIT(G7,","))/12))</f>
        <v>66, 62.2, 60.3</v>
      </c>
      <c r="N7" s="4" t="str" cm="1">
        <f t="array" ref="N7">_xlfn.TEXTJOIN(", ",FALSE,0.1*INT(0.5+304.8*VALUE(_xlfn.TEXTSPLIT(H7,","))/12))</f>
        <v>0, 14, 34.3</v>
      </c>
      <c r="O7" s="5" cm="1">
        <f t="array" ref="O7">_xlfn.TEXTJOIN(",",FALSE,0.3048*VALUE(_xlfn.TEXTSPLIT(L7,","))/12)*100</f>
        <v>2.54</v>
      </c>
      <c r="P7" s="4" t="str" cm="1">
        <f t="array" ref="P7">_xlfn.TEXTJOIN(", ",FALSE,0.01*INT(0.5+3048*VALUE(_xlfn.TEXTSPLIT(G7,","))/12/(100*D7)))</f>
        <v>0.49, 0.46, 0.45</v>
      </c>
      <c r="Q7" s="4" t="str" cm="1">
        <f t="array" ref="Q7">_xlfn.TEXTJOIN(", ",FALSE,0.01*INT(0.5+3048*VALUE(_xlfn.TEXTSPLIT(H7,","))/12/(100*E7)))</f>
        <v>0, 0.05, 0.11</v>
      </c>
    </row>
    <row r="8" spans="1:17" ht="34" x14ac:dyDescent="0.2">
      <c r="A8" s="2" t="s">
        <v>16</v>
      </c>
      <c r="B8" s="5">
        <v>222</v>
      </c>
      <c r="C8" s="2" t="s">
        <v>60</v>
      </c>
      <c r="D8" s="8">
        <f>300/B8</f>
        <v>1.3513513513513513</v>
      </c>
      <c r="E8" s="5">
        <v>4</v>
      </c>
      <c r="G8" s="3" t="s">
        <v>30</v>
      </c>
      <c r="H8" s="3" t="s">
        <v>31</v>
      </c>
      <c r="I8" s="5" t="str" cm="1">
        <f t="array" ref="I8">COUNT(VALUE(_xlfn.TEXTSPLIT(G8,",")))&amp;","&amp;COUNT(VALUE(_xlfn.TEXTSPLIT(H8,",")))</f>
        <v>4,4</v>
      </c>
      <c r="J8" s="3" t="s">
        <v>47</v>
      </c>
      <c r="K8" s="5" cm="1">
        <f t="array" ref="K8">SUMPRODUCT({1,2,1,1,1,0},VALUE(_xlfn.TEXTSPLIT(J8,",")))</f>
        <v>49.000000000000007</v>
      </c>
      <c r="L8" s="5">
        <v>1</v>
      </c>
      <c r="M8" s="4" t="str" cm="1">
        <f t="array" ref="M8">_xlfn.TEXTJOIN(", ",FALSE,0.1*INT(0.5+304.8*VALUE(_xlfn.TEXTSPLIT(G8,","))/12))</f>
        <v>66.7, 62.2, 61.2, 55.9</v>
      </c>
      <c r="N8" s="4" t="str" cm="1">
        <f t="array" ref="N8">_xlfn.TEXTJOIN(", ",FALSE,0.1*INT(0.5+304.8*VALUE(_xlfn.TEXTSPLIT(H8,","))/12))</f>
        <v>0, 12.7, 29.8, 59.7</v>
      </c>
      <c r="O8" s="5" cm="1">
        <f t="array" ref="O8">_xlfn.TEXTJOIN(",",FALSE,0.3048*VALUE(_xlfn.TEXTSPLIT(L8,","))/12)*100</f>
        <v>2.54</v>
      </c>
      <c r="P8" s="4" t="str" cm="1">
        <f t="array" ref="P8">_xlfn.TEXTJOIN(", ",FALSE,0.01*INT(0.5+3048*VALUE(_xlfn.TEXTSPLIT(G8,","))/12/(100*D8)))</f>
        <v>0.49, 0.46, 0.45, 0.41</v>
      </c>
      <c r="Q8" s="4" t="str" cm="1">
        <f t="array" ref="Q8">_xlfn.TEXTJOIN(", ",FALSE,0.01*INT(0.5+3048*VALUE(_xlfn.TEXTSPLIT(H8,","))/12/(100*E8)))</f>
        <v>0, 0.03, 0.07, 0.15</v>
      </c>
    </row>
    <row r="9" spans="1:17" ht="51" x14ac:dyDescent="0.2">
      <c r="A9" s="2" t="s">
        <v>17</v>
      </c>
      <c r="B9" s="5">
        <v>222</v>
      </c>
      <c r="C9" s="2" t="s">
        <v>60</v>
      </c>
      <c r="D9" s="8">
        <f>300/B9</f>
        <v>1.3513513513513513</v>
      </c>
      <c r="E9" s="5">
        <v>6</v>
      </c>
      <c r="G9" s="3" t="s">
        <v>32</v>
      </c>
      <c r="H9" s="3" t="s">
        <v>33</v>
      </c>
      <c r="I9" s="5" t="str" cm="1">
        <f t="array" ref="I9">COUNT(VALUE(_xlfn.TEXTSPLIT(G9,",")))&amp;","&amp;COUNT(VALUE(_xlfn.TEXTSPLIT(H9,",")))</f>
        <v>6,6</v>
      </c>
      <c r="J9" s="3" t="s">
        <v>47</v>
      </c>
      <c r="K9" s="5" cm="1">
        <f t="array" ref="K9">SUMPRODUCT({1,2,1,1,1,0},VALUE(_xlfn.TEXTSPLIT(J9,",")))</f>
        <v>49.000000000000007</v>
      </c>
      <c r="L9" s="5">
        <v>1</v>
      </c>
      <c r="M9" s="4" t="str" cm="1">
        <f t="array" ref="M9">_xlfn.TEXTJOIN(", ",FALSE,0.1*INT(0.5+304.8*VALUE(_xlfn.TEXTSPLIT(G9,","))/12))</f>
        <v>66.7, 62.2, 61.2, 59.7, 59.7, 53.3</v>
      </c>
      <c r="N9" s="4" t="str" cm="1">
        <f t="array" ref="N9">_xlfn.TEXTJOIN(", ",FALSE,0.1*INT(0.5+304.8*VALUE(_xlfn.TEXTSPLIT(H9,","))/12))</f>
        <v>0, 12.7, 27.3, 55.9, 85.7, 115.6</v>
      </c>
      <c r="O9" s="5" cm="1">
        <f t="array" ref="O9">_xlfn.TEXTJOIN(",",FALSE,0.3048*VALUE(_xlfn.TEXTSPLIT(L9,","))/12)*100</f>
        <v>2.54</v>
      </c>
      <c r="P9" s="4" t="str" cm="1">
        <f t="array" ref="P9">_xlfn.TEXTJOIN(", ",FALSE,0.01*INT(0.5+3048*VALUE(_xlfn.TEXTSPLIT(G9,","))/12/(100*D9)))</f>
        <v>0.49, 0.46, 0.45, 0.44, 0.44, 0.39</v>
      </c>
      <c r="Q9" s="4" t="str" cm="1">
        <f t="array" ref="Q9">_xlfn.TEXTJOIN(", ",FALSE,0.01*INT(0.5+3048*VALUE(_xlfn.TEXTSPLIT(H9,","))/12/(100*E9)))</f>
        <v>0, 0.02, 0.05, 0.09, 0.14, 0.19</v>
      </c>
    </row>
    <row r="10" spans="1:17" ht="51" x14ac:dyDescent="0.2">
      <c r="A10" s="2" t="s">
        <v>17</v>
      </c>
      <c r="B10" s="5">
        <v>222</v>
      </c>
      <c r="C10" s="6" t="str">
        <f>HYPERLINK("https://www.changpuak.ch/electronics/yagi_uda_antenna_DL6WU.php", "Yagi Calc Site")</f>
        <v>Yagi Calc Site</v>
      </c>
      <c r="D10" s="8">
        <f>300/B10</f>
        <v>1.3513513513513513</v>
      </c>
      <c r="E10" s="5">
        <v>3</v>
      </c>
      <c r="F10" s="5">
        <v>9</v>
      </c>
      <c r="G10" s="3" t="str" cm="1">
        <f t="array" ref="G10">_xlfn.TEXTJOIN(", ",TRUE,INT(100*{651,0,614,609,603,598}/25.4+0.5)/100)</f>
        <v>25.63, 0, 24.17, 23.98, 23.74, 23.54</v>
      </c>
      <c r="H10" s="3" t="str" cm="1">
        <f t="array" ref="H10">_xlfn.TEXTJOIN(", ",TRUE,INT(100*{0,324,426,669,959,1297}/25.4+0.5)/100)</f>
        <v>0, 12.76, 16.77, 26.34, 37.76, 51.06</v>
      </c>
      <c r="I10" s="5" t="str" cm="1">
        <f t="array" ref="I10">COUNT(VALUE(_xlfn.TEXTSPLIT(G10,",")))&amp;","&amp;COUNT(VALUE(_xlfn.TEXTSPLIT(H10,",")))</f>
        <v>6,6</v>
      </c>
      <c r="J10" s="3" t="s">
        <v>49</v>
      </c>
      <c r="K10" s="5" cm="1">
        <f t="array" ref="K10">SUMPRODUCT({1,2,1,1,1,0},VALUE(_xlfn.TEXTSPLIT(J10,",")))</f>
        <v>75.53</v>
      </c>
      <c r="L10" s="5">
        <v>1</v>
      </c>
      <c r="M10" s="4" t="str" cm="1">
        <f t="array" ref="M10">_xlfn.TEXTJOIN(", ",FALSE,0.1*INT(0.5+304.8*VALUE(_xlfn.TEXTSPLIT(G10,","))/12))</f>
        <v>65.1, 0, 61.4, 60.9, 60.3, 59.8</v>
      </c>
      <c r="N10" s="4" t="str" cm="1">
        <f t="array" ref="N10">_xlfn.TEXTJOIN(", ",FALSE,0.1*INT(0.5+304.8*VALUE(_xlfn.TEXTSPLIT(H10,","))/12))</f>
        <v>0, 32.4, 42.6, 66.9, 95.9, 129.7</v>
      </c>
      <c r="O10" s="5" cm="1">
        <f t="array" ref="O10">_xlfn.TEXTJOIN(",",FALSE,0.3048*VALUE(_xlfn.TEXTSPLIT(L10,","))/12)*100</f>
        <v>2.54</v>
      </c>
      <c r="P10" s="4" t="str" cm="1">
        <f t="array" ref="P10">_xlfn.TEXTJOIN(", ",FALSE,0.01*INT(0.5+3048*VALUE(_xlfn.TEXTSPLIT(G10,","))/12/(100*D10)))</f>
        <v>0.48, 0, 0.45, 0.45, 0.45, 0.44</v>
      </c>
      <c r="Q10" s="4" t="str" cm="1">
        <f t="array" ref="Q10">_xlfn.TEXTJOIN(", ",FALSE,0.01*INT(0.5+3048*VALUE(_xlfn.TEXTSPLIT(H10,","))/12/(100*E10)))</f>
        <v>0, 0.11, 0.14, 0.22, 0.32, 0.43</v>
      </c>
    </row>
    <row r="11" spans="1:17" ht="34" x14ac:dyDescent="0.2">
      <c r="A11" s="2" t="s">
        <v>17</v>
      </c>
      <c r="B11" s="5">
        <v>432</v>
      </c>
      <c r="C11" s="2" t="s">
        <v>60</v>
      </c>
      <c r="D11" s="8">
        <f>300/B11</f>
        <v>0.69444444444444442</v>
      </c>
      <c r="E11" s="5">
        <v>6</v>
      </c>
      <c r="G11" s="3" t="s">
        <v>34</v>
      </c>
      <c r="H11" s="4" t="s">
        <v>35</v>
      </c>
      <c r="I11" s="5" t="str" cm="1">
        <f t="array" ref="I11">COUNT(VALUE(_xlfn.TEXTSPLIT(G11,",")))&amp;","&amp;COUNT(VALUE(_xlfn.TEXTSPLIT(H11,",")))</f>
        <v>6,6</v>
      </c>
      <c r="J11" s="3" t="s">
        <v>50</v>
      </c>
      <c r="K11" s="5" cm="1">
        <f t="array" ref="K11">SUMPRODUCT({1,2,1,1,1,0},VALUE(_xlfn.TEXTSPLIT(J11,",")))</f>
        <v>25.18</v>
      </c>
      <c r="L11" s="5">
        <v>0.5</v>
      </c>
      <c r="M11" s="4" t="str" cm="1">
        <f t="array" ref="M11">_xlfn.TEXTJOIN(", ",FALSE,0.1*INT(0.5+304.8*VALUE(_xlfn.TEXTSPLIT(G11,","))/12))</f>
        <v>34.3, 33, 31.8, 30.5, 30.5, 27.9</v>
      </c>
      <c r="N11" s="4" t="str" cm="1">
        <f t="array" ref="N11">_xlfn.TEXTJOIN(", ",FALSE,0.1*INT(0.5+304.8*VALUE(_xlfn.TEXTSPLIT(H11,","))/12))</f>
        <v>0, 6.4, 14, 28.6, 44.5, 61</v>
      </c>
      <c r="O11" s="5">
        <v>0.5</v>
      </c>
      <c r="P11" s="4" t="str" cm="1">
        <f t="array" ref="P11">_xlfn.TEXTJOIN(", ",FALSE,0.01*INT(0.5+3048*VALUE(_xlfn.TEXTSPLIT(G11,","))/12/(100*D11)))</f>
        <v>0.49, 0.48, 0.46, 0.44, 0.44, 0.4</v>
      </c>
      <c r="Q11" s="4" t="str" cm="1">
        <f t="array" ref="Q11">_xlfn.TEXTJOIN(", ",FALSE,0.01*INT(0.5+3048*VALUE(_xlfn.TEXTSPLIT(H11,","))/12/(100*E11)))</f>
        <v>0, 0.01, 0.02, 0.05, 0.07, 0.1</v>
      </c>
    </row>
    <row r="12" spans="1:17" ht="51" x14ac:dyDescent="0.2">
      <c r="A12" s="2" t="s">
        <v>17</v>
      </c>
      <c r="B12" s="5">
        <v>432</v>
      </c>
      <c r="C12" s="6" t="str">
        <f>HYPERLINK("https://www.changpuak.ch/electronics/yagi_uda_antenna_DL6WU.php", "Yagi Calc Site")</f>
        <v>Yagi Calc Site</v>
      </c>
      <c r="D12" s="8">
        <f>300/B12</f>
        <v>0.69444444444444442</v>
      </c>
      <c r="E12" s="5">
        <v>3</v>
      </c>
      <c r="F12" s="5">
        <v>9</v>
      </c>
      <c r="G12" s="3" t="str" cm="1">
        <f t="array" ref="G12">_xlfn.TEXTJOIN(", ",TRUE,INT(100*{335,0,316,313,310,307}/25.4+0.5)/100)</f>
        <v>13.19, 0, 12.44, 12.32, 12.2, 12.09</v>
      </c>
      <c r="H12" s="3" t="str" cm="1">
        <f t="array" ref="H12">_xlfn.TEXTJOIN(", ",TRUE,INT(100*{0,167,219,344,493,667}/25.4+0.5)/100)</f>
        <v>0, 6.57, 8.62, 13.54, 19.41, 26.26</v>
      </c>
      <c r="I12" s="5" t="str" cm="1">
        <f t="array" ref="I12">COUNT(VALUE(_xlfn.TEXTSPLIT(G12,",")))&amp;","&amp;COUNT(VALUE(_xlfn.TEXTSPLIT(H12,",")))</f>
        <v>6,6</v>
      </c>
      <c r="J12" s="3" t="s">
        <v>49</v>
      </c>
      <c r="K12" s="5" cm="1">
        <f t="array" ref="K12">SUMPRODUCT({1,2,1,1,1,0},VALUE(_xlfn.TEXTSPLIT(J12,",")))</f>
        <v>75.53</v>
      </c>
      <c r="L12" s="5">
        <v>1</v>
      </c>
      <c r="M12" s="4" t="str" cm="1">
        <f t="array" ref="M12">_xlfn.TEXTJOIN(", ",FALSE,0.1*INT(0.5+304.8*VALUE(_xlfn.TEXTSPLIT(G12,","))/12))</f>
        <v>33.5, 0, 31.6, 31.3, 31, 30.7</v>
      </c>
      <c r="N12" s="4" t="str" cm="1">
        <f t="array" ref="N12">_xlfn.TEXTJOIN(", ",FALSE,0.1*INT(0.5+304.8*VALUE(_xlfn.TEXTSPLIT(H12,","))/12))</f>
        <v>0, 16.7, 21.9, 34.4, 49.3, 66.7</v>
      </c>
      <c r="O12" s="5" cm="1">
        <f t="array" ref="O12">_xlfn.TEXTJOIN(",",FALSE,0.3048*VALUE(_xlfn.TEXTSPLIT(L12,","))/12)*100</f>
        <v>2.54</v>
      </c>
      <c r="P12" s="4" t="str" cm="1">
        <f t="array" ref="P12">_xlfn.TEXTJOIN(", ",FALSE,0.01*INT(0.5+3048*VALUE(_xlfn.TEXTSPLIT(G12,","))/12/(100*D12)))</f>
        <v>0.48, 0, 0.46, 0.45, 0.45, 0.44</v>
      </c>
      <c r="Q12" s="4" t="str" cm="1">
        <f t="array" ref="Q12">_xlfn.TEXTJOIN(", ",FALSE,0.01*INT(0.5+3048*VALUE(_xlfn.TEXTSPLIT(H12,","))/12/(100*E12)))</f>
        <v>0, 0.06, 0.07, 0.11, 0.16, 0.22</v>
      </c>
    </row>
    <row r="13" spans="1:17" ht="51" x14ac:dyDescent="0.2">
      <c r="A13" s="2" t="s">
        <v>18</v>
      </c>
      <c r="B13" s="5">
        <v>432</v>
      </c>
      <c r="C13" s="2" t="s">
        <v>60</v>
      </c>
      <c r="D13" s="8">
        <f>300/B13</f>
        <v>0.69444444444444442</v>
      </c>
      <c r="E13" s="5">
        <v>8</v>
      </c>
      <c r="G13" s="3" t="s">
        <v>36</v>
      </c>
      <c r="H13" s="3" t="s">
        <v>37</v>
      </c>
      <c r="I13" s="5" t="str" cm="1">
        <f t="array" ref="I13">COUNT(VALUE(_xlfn.TEXTSPLIT(G13,",")))&amp;","&amp;COUNT(VALUE(_xlfn.TEXTSPLIT(H13,",")))</f>
        <v>8,8</v>
      </c>
      <c r="J13" s="3" t="s">
        <v>50</v>
      </c>
      <c r="K13" s="5" cm="1">
        <f t="array" ref="K13">SUMPRODUCT({1,2,1,1,1,0},VALUE(_xlfn.TEXTSPLIT(J13,",")))</f>
        <v>25.18</v>
      </c>
      <c r="L13" s="5">
        <v>0.5</v>
      </c>
      <c r="M13" s="4" t="str" cm="1">
        <f t="array" ref="M13">_xlfn.TEXTJOIN(", ",FALSE,0.1*INT(0.5+304.8*VALUE(_xlfn.TEXTSPLIT(G13,","))/12))</f>
        <v>34.3, 33, 31.8, 30.5, 30.5, 30.5, 30.5, 27.9</v>
      </c>
      <c r="N13" s="4" t="str" cm="1">
        <f t="array" ref="N13">_xlfn.TEXTJOIN(", ",FALSE,0.1*INT(0.5+304.8*VALUE(_xlfn.TEXTSPLIT(H13,","))/12))</f>
        <v>0, 6.4, 14, 28.6, 44.5, 61, 78.1, 96.5</v>
      </c>
      <c r="O13" s="5">
        <v>0.5</v>
      </c>
      <c r="P13" s="4" t="str" cm="1">
        <f t="array" ref="P13">_xlfn.TEXTJOIN(", ",FALSE,0.01*INT(0.5+3048*VALUE(_xlfn.TEXTSPLIT(G13,","))/12/(100*D13)))</f>
        <v>0.49, 0.48, 0.46, 0.44, 0.44, 0.44, 0.44, 0.4</v>
      </c>
      <c r="Q13" s="4" t="str" cm="1">
        <f t="array" ref="Q13">_xlfn.TEXTJOIN(", ",FALSE,0.01*INT(0.5+3048*VALUE(_xlfn.TEXTSPLIT(H13,","))/12/(100*E13)))</f>
        <v>0, 0.01, 0.02, 0.04, 0.06, 0.08, 0.1, 0.12</v>
      </c>
    </row>
    <row r="14" spans="1:17" ht="68" x14ac:dyDescent="0.2">
      <c r="A14" s="2" t="s">
        <v>19</v>
      </c>
      <c r="B14" s="5">
        <v>432</v>
      </c>
      <c r="C14" s="2" t="s">
        <v>60</v>
      </c>
      <c r="D14" s="8">
        <f>300/B14</f>
        <v>0.69444444444444442</v>
      </c>
      <c r="E14" s="5">
        <v>11</v>
      </c>
      <c r="G14" s="3" t="s">
        <v>38</v>
      </c>
      <c r="H14" s="4" t="s">
        <v>39</v>
      </c>
      <c r="I14" s="5" t="str" cm="1">
        <f t="array" ref="I14">COUNT(VALUE(_xlfn.TEXTSPLIT(G14,",")))&amp;","&amp;COUNT(VALUE(_xlfn.TEXTSPLIT(H14,",")))</f>
        <v>11,11</v>
      </c>
      <c r="J14" s="3" t="s">
        <v>50</v>
      </c>
      <c r="K14" s="5" cm="1">
        <f t="array" ref="K14">SUMPRODUCT({1,2,1,1,1,0},VALUE(_xlfn.TEXTSPLIT(J14,",")))</f>
        <v>25.18</v>
      </c>
      <c r="L14" s="5">
        <v>0.5</v>
      </c>
      <c r="M14" s="4" t="str" cm="1">
        <f t="array" ref="M14">_xlfn.TEXTJOIN(", ",FALSE,0.1*INT(0.5+304.8*VALUE(_xlfn.TEXTSPLIT(G14,","))/12))</f>
        <v>34.3, 33, 31.8, 30.5, 30.5, 30.5, 30.5, 30.5, 29.8, 29.8, 27.9</v>
      </c>
      <c r="N14" s="4" t="str" cm="1">
        <f t="array" ref="N14">_xlfn.TEXTJOIN(", ",FALSE,0.1*INT(0.5+304.8*VALUE(_xlfn.TEXTSPLIT(H14,","))/12))</f>
        <v>0, 6.4, 14, 28.6, 44.5, 61, 78.1, 96.5, 115.6, 134.6, 151.1</v>
      </c>
      <c r="O14" s="5">
        <v>0.5</v>
      </c>
      <c r="P14" s="4" t="str" cm="1">
        <f t="array" ref="P14">_xlfn.TEXTJOIN(", ",FALSE,0.01*INT(0.5+3048*VALUE(_xlfn.TEXTSPLIT(G14,","))/12/(100*D14)))</f>
        <v>0.49, 0.48, 0.46, 0.44, 0.44, 0.44, 0.44, 0.44, 0.43, 0.43, 0.4</v>
      </c>
      <c r="Q14" s="4" t="str" cm="1">
        <f t="array" ref="Q14">_xlfn.TEXTJOIN(", ",FALSE,0.01*INT(0.5+3048*VALUE(_xlfn.TEXTSPLIT(H14,","))/12/(100*E14)))</f>
        <v>0, 0.01, 0.01, 0.03, 0.04, 0.06, 0.07, 0.09, 0.11, 0.12, 0.14</v>
      </c>
    </row>
    <row r="15" spans="1:17" ht="85" x14ac:dyDescent="0.2">
      <c r="A15" s="2" t="s">
        <v>19</v>
      </c>
      <c r="B15" s="5">
        <v>432</v>
      </c>
      <c r="C15" s="6" t="str">
        <f>HYPERLINK("https://www.changpuak.ch/electronics/yagi_uda_antenna_DL6WU.php", "Yagi Calc Site")</f>
        <v>Yagi Calc Site</v>
      </c>
      <c r="D15" s="8">
        <f>300/B15</f>
        <v>0.69444444444444442</v>
      </c>
      <c r="E15" s="5">
        <v>11</v>
      </c>
      <c r="F15" s="5">
        <v>12.3</v>
      </c>
      <c r="G15" s="3" t="str" cm="1">
        <f t="array" ref="G15">_xlfn.TEXTJOIN(", ",TRUE,INT(100*{335,0,316,313,310,307,305,303,301,300,298}/25.4+0.5)/100)</f>
        <v>13.19, 0, 12.44, 12.32, 12.2, 12.09, 12.01, 11.93, 11.85, 11.81, 11.73</v>
      </c>
      <c r="H15" s="3" t="str" cm="1">
        <f t="array" ref="H15">_xlfn.TEXTJOIN(", ",TRUE,INT(100*{0,167,219,344,493,667,861,1069,1288,1517,1757}/25.4+0.5)/100)</f>
        <v>0, 6.57, 8.62, 13.54, 19.41, 26.26, 33.9, 42.09, 50.71, 59.72, 69.17</v>
      </c>
      <c r="I15" s="5" t="str" cm="1">
        <f t="array" ref="I15">COUNT(VALUE(_xlfn.TEXTSPLIT(G15,",")))&amp;","&amp;COUNT(VALUE(_xlfn.TEXTSPLIT(H15,",")))</f>
        <v>11,11</v>
      </c>
      <c r="J15" s="3" t="s">
        <v>49</v>
      </c>
      <c r="K15" s="5" cm="1">
        <f t="array" ref="K15">SUMPRODUCT({1,2,1,1,1,0},VALUE(_xlfn.TEXTSPLIT(J15,",")))</f>
        <v>75.53</v>
      </c>
      <c r="L15" s="5">
        <v>1</v>
      </c>
      <c r="M15" s="4" t="str" cm="1">
        <f t="array" ref="M15">_xlfn.TEXTJOIN(", ",FALSE,0.1*INT(0.5+304.8*VALUE(_xlfn.TEXTSPLIT(G15,","))/12))</f>
        <v>33.5, 0, 31.6, 31.3, 31, 30.7, 30.5, 30.3, 30.1, 30, 29.8</v>
      </c>
      <c r="N15" s="4" t="str" cm="1">
        <f t="array" ref="N15">_xlfn.TEXTJOIN(", ",FALSE,0.1*INT(0.5+304.8*VALUE(_xlfn.TEXTSPLIT(H15,","))/12))</f>
        <v>0, 16.7, 21.9, 34.4, 49.3, 66.7, 86.1, 106.9, 128.8, 151.7, 175.7</v>
      </c>
      <c r="O15" s="5" cm="1">
        <f t="array" ref="O15">_xlfn.TEXTJOIN(",",FALSE,0.3048*VALUE(_xlfn.TEXTSPLIT(L15,","))/12)*100</f>
        <v>2.54</v>
      </c>
      <c r="P15" s="4" t="str" cm="1">
        <f t="array" ref="P15">_xlfn.TEXTJOIN(", ",FALSE,0.01*INT(0.5+3048*VALUE(_xlfn.TEXTSPLIT(G15,","))/12/(100*D15)))</f>
        <v>0.48, 0, 0.46, 0.45, 0.45, 0.44, 0.44, 0.44, 0.43, 0.43, 0.43</v>
      </c>
      <c r="Q15" s="4" t="str" cm="1">
        <f t="array" ref="Q15">_xlfn.TEXTJOIN(", ",FALSE,0.01*INT(0.5+3048*VALUE(_xlfn.TEXTSPLIT(H15,","))/12/(100*E15)))</f>
        <v>0, 0.02, 0.02, 0.03, 0.04, 0.06, 0.08, 0.1, 0.12, 0.14, 0.16</v>
      </c>
    </row>
    <row r="16" spans="1:17" ht="68" x14ac:dyDescent="0.2">
      <c r="A16" s="2" t="s">
        <v>40</v>
      </c>
      <c r="B16" s="5">
        <v>902</v>
      </c>
      <c r="C16" s="2" t="s">
        <v>60</v>
      </c>
      <c r="D16" s="8">
        <f>300/B16</f>
        <v>0.33259423503325941</v>
      </c>
      <c r="E16" s="5">
        <v>11</v>
      </c>
      <c r="G16" s="3" t="s">
        <v>41</v>
      </c>
      <c r="H16" s="4" t="s">
        <v>43</v>
      </c>
      <c r="I16" s="5" t="str" cm="1">
        <f t="array" ref="I16">COUNT(VALUE(_xlfn.TEXTSPLIT(G16,",")))&amp;","&amp;COUNT(VALUE(_xlfn.TEXTSPLIT(H16,",")))</f>
        <v>10,10</v>
      </c>
      <c r="J16" s="4" t="s">
        <v>51</v>
      </c>
      <c r="K16" s="4" cm="1">
        <f t="array" ref="K16">SUMPRODUCT({1,2,1,1,1,0},VALUE(_xlfn.TEXTSPLIT(J16,",")))</f>
        <v>12.06</v>
      </c>
      <c r="L16" s="5">
        <v>0.5</v>
      </c>
      <c r="M16" s="4" t="str" cm="1">
        <f t="array" ref="M16">_xlfn.TEXTJOIN(", ",FALSE,0.1*INT(0.5+304.8*VALUE(_xlfn.TEXTSPLIT(G16,","))/12))</f>
        <v>15.7, 14.5, 14.2, 14, 14, 13.7, 13.5, 13.2, 13, 13</v>
      </c>
      <c r="N16" s="4" t="str" cm="1">
        <f t="array" ref="N16">_xlfn.TEXTJOIN(", ",FALSE,0.1*INT(0.5+304.8*VALUE(_xlfn.TEXTSPLIT(H16,","))/12))</f>
        <v>0, 6.1, 9.9, 14.7, 22.9, 31.5, 44.2, 56.9, 70.1, 83.8</v>
      </c>
      <c r="O16" s="5">
        <v>0.5</v>
      </c>
      <c r="P16" s="4" t="str" cm="1">
        <f t="array" ref="P16">_xlfn.TEXTJOIN(", ",FALSE,0.01*INT(0.5+3048*VALUE(_xlfn.TEXTSPLIT(G16,","))/12/(100*D16)))</f>
        <v>0.47, 0.44, 0.43, 0.42, 0.42, 0.41, 0.4, 0.4, 0.39, 0.39</v>
      </c>
      <c r="Q16" s="4" t="str" cm="1">
        <f t="array" ref="Q16">_xlfn.TEXTJOIN(", ",FALSE,0.01*INT(0.5+3048*VALUE(_xlfn.TEXTSPLIT(H16,","))/12/(100*E16)))</f>
        <v>0, 0.01, 0.01, 0.01, 0.02, 0.03, 0.04, 0.05, 0.06, 0.08</v>
      </c>
    </row>
    <row r="17" spans="1:17" s="10" customFormat="1" ht="51" x14ac:dyDescent="0.2">
      <c r="A17" s="10" t="s">
        <v>40</v>
      </c>
      <c r="B17" s="11">
        <v>1296</v>
      </c>
      <c r="C17" s="10" t="s">
        <v>60</v>
      </c>
      <c r="D17" s="12">
        <f>300/B17</f>
        <v>0.23148148148148148</v>
      </c>
      <c r="E17" s="11">
        <v>10</v>
      </c>
      <c r="F17" s="11"/>
      <c r="G17" s="13" t="s">
        <v>42</v>
      </c>
      <c r="H17" s="14" t="s">
        <v>44</v>
      </c>
      <c r="I17" s="11" t="str" cm="1">
        <f t="array" ref="I17">COUNT(VALUE(_xlfn.TEXTSPLIT(G17,",")))&amp;","&amp;COUNT(VALUE(_xlfn.TEXTSPLIT(H17,",")))</f>
        <v>10,10</v>
      </c>
      <c r="J17" s="14" t="s">
        <v>52</v>
      </c>
      <c r="K17" s="14" cm="1">
        <f t="array" ref="K17">SUMPRODUCT({1,2,1,1,1,0},VALUE(_xlfn.TEXTSPLIT(J17,",")))</f>
        <v>8.39</v>
      </c>
      <c r="L17" s="11">
        <v>0.5</v>
      </c>
      <c r="M17" s="14" t="str" cm="1">
        <f t="array" ref="M17">_xlfn.TEXTJOIN(", ",FALSE,0.1*INT(0.5+304.8*VALUE(_xlfn.TEXTSPLIT(G17,","))/12))</f>
        <v>10.9, 10.2, 9.9, 9.7, 9.5, 9.5, 9.3, 9.1, 9.1, 8.9</v>
      </c>
      <c r="N17" s="14" t="str" cm="1">
        <f t="array" ref="N17">_xlfn.TEXTJOIN(", ",FALSE,0.1*INT(0.5+304.8*VALUE(_xlfn.TEXTSPLIT(H17,","))/12))</f>
        <v>0, 4.3, 7.1, 10.2, 16, 22.1, 31, 39.6, 49, 58.4</v>
      </c>
      <c r="O17" s="11">
        <v>0.5</v>
      </c>
      <c r="P17" s="14" t="str" cm="1">
        <f t="array" ref="P17">_xlfn.TEXTJOIN(", ",FALSE,0.01*INT(0.5+3048*VALUE(_xlfn.TEXTSPLIT(G17,","))/12/(100*D17)))</f>
        <v>0.47, 0.44, 0.43, 0.42, 0.41, 0.41, 0.4, 0.4, 0.4, 0.38</v>
      </c>
      <c r="Q17" s="14" t="str" cm="1">
        <f t="array" ref="Q17">_xlfn.TEXTJOIN(", ",FALSE,0.01*INT(0.5+3048*VALUE(_xlfn.TEXTSPLIT(H17,","))/12/(100*E17)))</f>
        <v>0, 0, 0.01, 0.01, 0.02, 0.02, 0.03, 0.04, 0.05, 0.06</v>
      </c>
    </row>
    <row r="18" spans="1:17" ht="119" x14ac:dyDescent="0.2">
      <c r="A18" s="4" t="s">
        <v>55</v>
      </c>
      <c r="B18" s="5">
        <v>1420</v>
      </c>
      <c r="C18" s="6" t="str">
        <f>HYPERLINK("https://www.changpuak.ch/electronics/yagi_uda_antenna_DL6WU.php", "Yagi Calc Site")</f>
        <v>Yagi Calc Site</v>
      </c>
      <c r="D18" s="8">
        <f>300/B18</f>
        <v>0.21126760563380281</v>
      </c>
      <c r="E18" s="5">
        <v>15</v>
      </c>
      <c r="G18" s="3" t="s">
        <v>45</v>
      </c>
      <c r="H18" s="4" t="s">
        <v>46</v>
      </c>
      <c r="I18" s="5" t="str" cm="1">
        <f t="array" ref="I18">COUNT(VALUE(_xlfn.TEXTSPLIT(G18,",")))&amp;","&amp;COUNT(VALUE(_xlfn.TEXTSPLIT(H18,",")))</f>
        <v>15,15</v>
      </c>
      <c r="J18" s="4" t="s">
        <v>53</v>
      </c>
      <c r="K18" s="4" cm="1">
        <f t="array" ref="K18">SUMPRODUCT({1,2,1,1,1,0},VALUE(_xlfn.TEXTSPLIT(J18,",")))</f>
        <v>7.6700000000000008</v>
      </c>
      <c r="L18" s="5">
        <v>0.5</v>
      </c>
      <c r="M18" s="4" t="str" cm="1">
        <f t="array" ref="M18">_xlfn.TEXTJOIN(", ",FALSE,0.1*INT(0.5+304.8*VALUE(_xlfn.TEXTSPLIT(G18,","))/12))</f>
        <v>10.2, 0, 9.6, 9.5, 9.4, 9.4, 9.3, 9.2, 9.2, 9.1, 9.1, 9, 9, 9, 8.9</v>
      </c>
      <c r="N18" s="4" t="str" cm="1">
        <f t="array" ref="N18">_xlfn.TEXTJOIN(", ",FALSE,0.1*INT(0.5+304.8*VALUE(_xlfn.TEXTSPLIT(H18,","))/12))</f>
        <v>0, 5.1, 6.7, 10.5, 15, 20.3, 26.2, 32.5, 39.2, 46.2, 53.5, 61.1, 69, 77.1, 85.4</v>
      </c>
      <c r="P18" s="4" t="str" cm="1">
        <f t="array" ref="P18">_xlfn.TEXTJOIN(", ",FALSE,0.01*INT(0.5+3048*VALUE(_xlfn.TEXTSPLIT(G18,","))/12/(100*D18)))</f>
        <v>0.48, 0, 0.45, 0.45, 0.44, 0.44, 0.44, 0.44, 0.44, 0.43, 0.43, 0.43, 0.43, 0.43, 0.42</v>
      </c>
      <c r="Q18" s="4" t="str" cm="1">
        <f t="array" ref="Q18">_xlfn.TEXTJOIN(", ",FALSE,0.01*INT(0.5+3048*VALUE(_xlfn.TEXTSPLIT(H18,","))/12/(100*E18)))</f>
        <v>0, 0, 0, 0.01, 0.01, 0.01, 0.02, 0.02, 0.03, 0.03, 0.04, 0.04, 0.05, 0.05, 0.06</v>
      </c>
    </row>
    <row r="19" spans="1:17" ht="119" x14ac:dyDescent="0.2">
      <c r="A19" s="4" t="s">
        <v>54</v>
      </c>
      <c r="B19" s="5">
        <v>1420</v>
      </c>
      <c r="C19" s="6" t="str">
        <f>HYPERLINK("https://www.changpuak.ch/electronics/yagi_uda_antenna_DL6WU.php", "Yagi Calc Site")</f>
        <v>Yagi Calc Site</v>
      </c>
      <c r="D19" s="8">
        <f>300/B19</f>
        <v>0.21126760563380281</v>
      </c>
      <c r="E19" s="5">
        <v>15</v>
      </c>
      <c r="G19" s="3" t="s">
        <v>45</v>
      </c>
      <c r="H19" s="4" t="s">
        <v>46</v>
      </c>
      <c r="I19" s="5" t="str" cm="1">
        <f t="array" ref="I19">COUNT(VALUE(_xlfn.TEXTSPLIT(G19,",")))&amp;","&amp;COUNT(VALUE(_xlfn.TEXTSPLIT(H19,",")))</f>
        <v>15,15</v>
      </c>
      <c r="J19" s="4" t="s">
        <v>53</v>
      </c>
      <c r="K19" s="4" cm="1">
        <f t="array" ref="K19">SUMPRODUCT({1,2,1,1,1,0},VALUE(_xlfn.TEXTSPLIT(J19,",")))</f>
        <v>7.6700000000000008</v>
      </c>
      <c r="L19" s="5">
        <v>0.5</v>
      </c>
      <c r="M19" s="4" t="str" cm="1">
        <f t="array" ref="M19">_xlfn.TEXTJOIN(", ",FALSE,0.1*INT(0.5+304.8*VALUE(_xlfn.TEXTSPLIT(G19,","))/12))</f>
        <v>10.2, 0, 9.6, 9.5, 9.4, 9.4, 9.3, 9.2, 9.2, 9.1, 9.1, 9, 9, 9, 8.9</v>
      </c>
      <c r="N19" s="4" t="str" cm="1">
        <f t="array" ref="N19">_xlfn.TEXTJOIN(", ",FALSE,0.1*INT(0.5+304.8*VALUE(_xlfn.TEXTSPLIT(H19,","))/12))</f>
        <v>0, 5.1, 6.7, 10.5, 15, 20.3, 26.2, 32.5, 39.2, 46.2, 53.5, 61.1, 69, 77.1, 85.4</v>
      </c>
      <c r="P19" s="4" t="str" cm="1">
        <f t="array" ref="P19">_xlfn.TEXTJOIN(", ",FALSE,0.01*INT(0.5+3048*VALUE(_xlfn.TEXTSPLIT(G19,","))/12/(100*D19)))</f>
        <v>0.48, 0, 0.45, 0.45, 0.44, 0.44, 0.44, 0.44, 0.44, 0.43, 0.43, 0.43, 0.43, 0.43, 0.42</v>
      </c>
      <c r="Q19" s="4" t="str" cm="1">
        <f t="array" ref="Q19">_xlfn.TEXTJOIN(", ",FALSE,0.01*INT(0.5+3048*VALUE(_xlfn.TEXTSPLIT(H19,","))/12/(100*E19)))</f>
        <v>0, 0, 0, 0.01, 0.01, 0.01, 0.02, 0.02, 0.03, 0.03, 0.04, 0.04, 0.05, 0.05, 0.06</v>
      </c>
    </row>
    <row r="23" spans="1:17" x14ac:dyDescent="0.2">
      <c r="G23" s="15" t="s">
        <v>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1277-E5F9-264B-B4E4-BE04573826AA}">
  <dimension ref="B1:S62"/>
  <sheetViews>
    <sheetView tabSelected="1" topLeftCell="A17" workbookViewId="0">
      <selection activeCell="M41" sqref="M41"/>
    </sheetView>
  </sheetViews>
  <sheetFormatPr baseColWidth="10" defaultRowHeight="16" x14ac:dyDescent="0.2"/>
  <sheetData>
    <row r="1" spans="2:16" x14ac:dyDescent="0.2">
      <c r="C1" s="21" t="s">
        <v>7</v>
      </c>
      <c r="D1" s="21" t="s">
        <v>63</v>
      </c>
      <c r="E1" s="21" t="s">
        <v>64</v>
      </c>
    </row>
    <row r="2" spans="2:16" x14ac:dyDescent="0.2">
      <c r="C2" s="22">
        <v>1420</v>
      </c>
      <c r="D2" s="22">
        <f>300000000/C2</f>
        <v>211267.60563380283</v>
      </c>
      <c r="E2" s="22">
        <f>1000*D2</f>
        <v>211267605.63380283</v>
      </c>
    </row>
    <row r="4" spans="2:16" x14ac:dyDescent="0.2">
      <c r="C4" t="s">
        <v>77</v>
      </c>
      <c r="D4" t="s">
        <v>78</v>
      </c>
      <c r="E4" t="s">
        <v>65</v>
      </c>
      <c r="G4" s="21" t="s">
        <v>12</v>
      </c>
      <c r="H4" s="21" t="s">
        <v>62</v>
      </c>
      <c r="J4" t="s">
        <v>67</v>
      </c>
      <c r="K4" s="1" t="s">
        <v>71</v>
      </c>
      <c r="L4" t="s">
        <v>70</v>
      </c>
      <c r="M4" t="s">
        <v>68</v>
      </c>
      <c r="N4" t="s">
        <v>69</v>
      </c>
      <c r="O4" t="s">
        <v>72</v>
      </c>
    </row>
    <row r="5" spans="2:16" x14ac:dyDescent="0.2">
      <c r="B5" s="16">
        <v>-1</v>
      </c>
      <c r="C5">
        <v>88.9</v>
      </c>
      <c r="D5" t="str">
        <f>INT(C5/25.4)&amp;" "&amp;INT(0.5+16*(C5-INT(C5/25.4)*25.4)/25.4)&amp;"/16"</f>
        <v>3 8/16</v>
      </c>
      <c r="E5">
        <v>-51</v>
      </c>
      <c r="H5" s="19">
        <f>C5/$E$2</f>
        <v>4.2079333333333332E-7</v>
      </c>
      <c r="J5" s="23">
        <f>E5</f>
        <v>-51</v>
      </c>
      <c r="K5" s="23">
        <f>-N5</f>
        <v>-44</v>
      </c>
      <c r="L5" s="23">
        <v>100</v>
      </c>
      <c r="M5" s="23">
        <f>J5</f>
        <v>-51</v>
      </c>
      <c r="N5" s="23">
        <f>INT(0.5+C5/2)</f>
        <v>44</v>
      </c>
      <c r="O5" s="23">
        <f>L5</f>
        <v>100</v>
      </c>
      <c r="P5" s="24" t="s">
        <v>66</v>
      </c>
    </row>
    <row r="6" spans="2:16" x14ac:dyDescent="0.2">
      <c r="B6" s="17">
        <v>0</v>
      </c>
      <c r="C6">
        <v>98</v>
      </c>
      <c r="D6" t="str">
        <f t="shared" ref="D6:D15" si="0">INT(C6/25.4)&amp;" "&amp;INT(0.5+16*(C6-INT(C6/25.4)*25.4)/25.4)&amp;"/16"</f>
        <v>3 14/16</v>
      </c>
      <c r="E6">
        <v>0</v>
      </c>
      <c r="F6">
        <f>E6-E5</f>
        <v>51</v>
      </c>
      <c r="G6" s="19">
        <f>(E6-E5)/$E$2</f>
        <v>2.4139999999999998E-7</v>
      </c>
      <c r="H6" s="19">
        <f>C6/$E$2</f>
        <v>4.6386666666666661E-7</v>
      </c>
      <c r="J6" s="23">
        <f>E6</f>
        <v>0</v>
      </c>
      <c r="K6" s="23">
        <f>-N6</f>
        <v>-49</v>
      </c>
      <c r="L6" s="23">
        <v>100</v>
      </c>
      <c r="M6" s="23">
        <f>J6</f>
        <v>0</v>
      </c>
      <c r="N6" s="23">
        <f>INT(0.5+C6/2)</f>
        <v>49</v>
      </c>
      <c r="O6" s="23">
        <f t="shared" ref="O6:O15" si="1">L6</f>
        <v>100</v>
      </c>
      <c r="P6" s="24" t="s">
        <v>66</v>
      </c>
    </row>
    <row r="7" spans="2:16" x14ac:dyDescent="0.2">
      <c r="B7" s="17">
        <v>1</v>
      </c>
      <c r="C7">
        <v>83.8</v>
      </c>
      <c r="D7" t="str">
        <f t="shared" si="0"/>
        <v>3 5/16</v>
      </c>
      <c r="E7">
        <v>41</v>
      </c>
      <c r="F7">
        <f t="shared" ref="F7:F15" si="2">E7-E6</f>
        <v>41</v>
      </c>
      <c r="G7" s="19">
        <f>(E7-E6)/$E$2</f>
        <v>1.9406666666666664E-7</v>
      </c>
      <c r="H7" s="19">
        <f>C7/$E$2</f>
        <v>3.9665333333333331E-7</v>
      </c>
      <c r="J7" s="23">
        <f>E7</f>
        <v>41</v>
      </c>
      <c r="K7" s="23">
        <f>-N7</f>
        <v>-42</v>
      </c>
      <c r="L7" s="23">
        <v>100</v>
      </c>
      <c r="M7" s="23">
        <f>J7</f>
        <v>41</v>
      </c>
      <c r="N7" s="23">
        <f>INT(0.5+C7/2)</f>
        <v>42</v>
      </c>
      <c r="O7" s="23">
        <f t="shared" si="1"/>
        <v>100</v>
      </c>
      <c r="P7" s="24" t="s">
        <v>66</v>
      </c>
    </row>
    <row r="8" spans="2:16" x14ac:dyDescent="0.2">
      <c r="B8" s="17">
        <v>2</v>
      </c>
      <c r="C8">
        <v>83.8</v>
      </c>
      <c r="D8" t="str">
        <f t="shared" si="0"/>
        <v>3 5/16</v>
      </c>
      <c r="E8">
        <v>67</v>
      </c>
      <c r="F8">
        <f t="shared" si="2"/>
        <v>26</v>
      </c>
      <c r="G8" s="19">
        <f>(E8-E7)/$E$2</f>
        <v>1.2306666666666666E-7</v>
      </c>
      <c r="H8" s="19">
        <f>C8/$E$2</f>
        <v>3.9665333333333331E-7</v>
      </c>
      <c r="J8" s="23">
        <f>E8</f>
        <v>67</v>
      </c>
      <c r="K8" s="23">
        <f>-N8</f>
        <v>-42</v>
      </c>
      <c r="L8" s="23">
        <v>100</v>
      </c>
      <c r="M8" s="23">
        <f>J8</f>
        <v>67</v>
      </c>
      <c r="N8" s="23">
        <f>INT(0.5+C8/2)</f>
        <v>42</v>
      </c>
      <c r="O8" s="23">
        <f t="shared" si="1"/>
        <v>100</v>
      </c>
      <c r="P8" s="24" t="s">
        <v>66</v>
      </c>
    </row>
    <row r="9" spans="2:16" x14ac:dyDescent="0.2">
      <c r="B9" s="17">
        <v>3</v>
      </c>
      <c r="C9">
        <v>86.4</v>
      </c>
      <c r="D9" t="str">
        <f t="shared" si="0"/>
        <v>3 6/16</v>
      </c>
      <c r="E9">
        <v>133</v>
      </c>
      <c r="F9">
        <f t="shared" si="2"/>
        <v>66</v>
      </c>
      <c r="G9" s="19">
        <f>(E9-E8)/$E$2</f>
        <v>3.1239999999999997E-7</v>
      </c>
      <c r="H9" s="19">
        <f>C9/$E$2</f>
        <v>4.0895999999999998E-7</v>
      </c>
      <c r="J9" s="23">
        <f>E9</f>
        <v>133</v>
      </c>
      <c r="K9" s="23">
        <f>-N9</f>
        <v>-43</v>
      </c>
      <c r="L9" s="23">
        <v>100</v>
      </c>
      <c r="M9" s="23">
        <f>J9</f>
        <v>133</v>
      </c>
      <c r="N9" s="23">
        <f>INT(0.5+C9/2)</f>
        <v>43</v>
      </c>
      <c r="O9" s="23">
        <f t="shared" si="1"/>
        <v>100</v>
      </c>
      <c r="P9" s="24" t="s">
        <v>66</v>
      </c>
    </row>
    <row r="10" spans="2:16" x14ac:dyDescent="0.2">
      <c r="B10" s="17">
        <v>4</v>
      </c>
      <c r="C10">
        <v>86.4</v>
      </c>
      <c r="D10" t="str">
        <f t="shared" si="0"/>
        <v>3 6/16</v>
      </c>
      <c r="E10">
        <v>207</v>
      </c>
      <c r="F10">
        <f t="shared" si="2"/>
        <v>74</v>
      </c>
      <c r="G10" s="19">
        <f>(E10-E9)/$E$2</f>
        <v>3.5026666666666665E-7</v>
      </c>
      <c r="H10" s="19">
        <f>C10/$E$2</f>
        <v>4.0895999999999998E-7</v>
      </c>
      <c r="J10" s="23">
        <f>E10</f>
        <v>207</v>
      </c>
      <c r="K10" s="23">
        <f>-N10</f>
        <v>-43</v>
      </c>
      <c r="L10" s="23">
        <v>100</v>
      </c>
      <c r="M10" s="23">
        <f>J10</f>
        <v>207</v>
      </c>
      <c r="N10" s="23">
        <f>INT(0.5+C10/2)</f>
        <v>43</v>
      </c>
      <c r="O10" s="23">
        <f t="shared" si="1"/>
        <v>100</v>
      </c>
      <c r="P10" s="24" t="s">
        <v>66</v>
      </c>
    </row>
    <row r="11" spans="2:16" x14ac:dyDescent="0.2">
      <c r="B11" s="17">
        <v>5</v>
      </c>
      <c r="C11">
        <v>83.8</v>
      </c>
      <c r="D11" t="str">
        <f t="shared" si="0"/>
        <v>3 5/16</v>
      </c>
      <c r="E11">
        <v>301</v>
      </c>
      <c r="F11">
        <f t="shared" si="2"/>
        <v>94</v>
      </c>
      <c r="G11" s="19">
        <f>(E11-E10)/$E$2</f>
        <v>4.4493333333333332E-7</v>
      </c>
      <c r="H11" s="19">
        <f>C11/$E$2</f>
        <v>3.9665333333333331E-7</v>
      </c>
      <c r="J11" s="23">
        <f>E11</f>
        <v>301</v>
      </c>
      <c r="K11" s="23">
        <f>-N11</f>
        <v>-42</v>
      </c>
      <c r="L11" s="23">
        <v>100</v>
      </c>
      <c r="M11" s="23">
        <f>J11</f>
        <v>301</v>
      </c>
      <c r="N11" s="23">
        <f>INT(0.5+C11/2)</f>
        <v>42</v>
      </c>
      <c r="O11" s="23">
        <f t="shared" si="1"/>
        <v>100</v>
      </c>
      <c r="P11" s="24" t="s">
        <v>66</v>
      </c>
    </row>
    <row r="12" spans="2:16" x14ac:dyDescent="0.2">
      <c r="B12" s="17">
        <v>6</v>
      </c>
      <c r="C12">
        <v>81.3</v>
      </c>
      <c r="D12" t="str">
        <f t="shared" si="0"/>
        <v>3 3/16</v>
      </c>
      <c r="E12">
        <v>390</v>
      </c>
      <c r="F12">
        <f t="shared" si="2"/>
        <v>89</v>
      </c>
      <c r="G12" s="19">
        <f>(E12-E11)/$E$2</f>
        <v>4.2126666666666664E-7</v>
      </c>
      <c r="H12" s="19">
        <f>C12/$E$2</f>
        <v>3.8481999999999997E-7</v>
      </c>
      <c r="J12" s="23">
        <f>E12</f>
        <v>390</v>
      </c>
      <c r="K12" s="23">
        <f>-N12</f>
        <v>-41</v>
      </c>
      <c r="L12" s="23">
        <v>100</v>
      </c>
      <c r="M12" s="23">
        <f>J12</f>
        <v>390</v>
      </c>
      <c r="N12" s="23">
        <f>INT(0.5+C12/2)</f>
        <v>41</v>
      </c>
      <c r="O12" s="23">
        <f t="shared" si="1"/>
        <v>100</v>
      </c>
      <c r="P12" s="24" t="s">
        <v>66</v>
      </c>
    </row>
    <row r="13" spans="2:16" x14ac:dyDescent="0.2">
      <c r="B13" s="17">
        <v>7</v>
      </c>
      <c r="C13">
        <v>81.3</v>
      </c>
      <c r="D13" t="str">
        <f t="shared" si="0"/>
        <v>3 3/16</v>
      </c>
      <c r="E13">
        <v>484</v>
      </c>
      <c r="F13">
        <f t="shared" si="2"/>
        <v>94</v>
      </c>
      <c r="G13" s="19">
        <f>(E13-E12)/$E$2</f>
        <v>4.4493333333333332E-7</v>
      </c>
      <c r="H13" s="19">
        <f>C13/$E$2</f>
        <v>3.8481999999999997E-7</v>
      </c>
      <c r="J13" s="23">
        <f>E13</f>
        <v>484</v>
      </c>
      <c r="K13" s="23">
        <f>-N13</f>
        <v>-41</v>
      </c>
      <c r="L13" s="23">
        <v>100</v>
      </c>
      <c r="M13" s="23">
        <f>J13</f>
        <v>484</v>
      </c>
      <c r="N13" s="23">
        <f>INT(0.5+C13/2)</f>
        <v>41</v>
      </c>
      <c r="O13" s="23">
        <f t="shared" si="1"/>
        <v>100</v>
      </c>
      <c r="P13" s="24" t="s">
        <v>66</v>
      </c>
    </row>
    <row r="14" spans="2:16" x14ac:dyDescent="0.2">
      <c r="B14" s="17">
        <v>8</v>
      </c>
      <c r="C14">
        <v>81.3</v>
      </c>
      <c r="D14" t="str">
        <f t="shared" si="0"/>
        <v>3 3/16</v>
      </c>
      <c r="E14">
        <v>575</v>
      </c>
      <c r="F14">
        <f t="shared" si="2"/>
        <v>91</v>
      </c>
      <c r="G14" s="19">
        <f>(E14-E13)/$E$2</f>
        <v>4.3073333333333331E-7</v>
      </c>
      <c r="H14" s="19">
        <f>C14/$E$2</f>
        <v>3.8481999999999997E-7</v>
      </c>
      <c r="J14" s="23">
        <f>E14</f>
        <v>575</v>
      </c>
      <c r="K14" s="23">
        <f>-N14</f>
        <v>-41</v>
      </c>
      <c r="L14" s="23">
        <v>100</v>
      </c>
      <c r="M14" s="23">
        <f>J14</f>
        <v>575</v>
      </c>
      <c r="N14" s="23">
        <f>INT(0.5+C14/2)</f>
        <v>41</v>
      </c>
      <c r="O14" s="23">
        <f t="shared" si="1"/>
        <v>100</v>
      </c>
      <c r="P14" s="24" t="s">
        <v>66</v>
      </c>
    </row>
    <row r="15" spans="2:16" x14ac:dyDescent="0.2">
      <c r="B15" s="17">
        <v>9</v>
      </c>
      <c r="C15">
        <v>81.3</v>
      </c>
      <c r="D15" t="str">
        <f t="shared" si="0"/>
        <v>3 3/16</v>
      </c>
      <c r="E15">
        <v>667</v>
      </c>
      <c r="F15">
        <f t="shared" si="2"/>
        <v>92</v>
      </c>
      <c r="G15" s="19">
        <f>(E15-E14)/$E$2</f>
        <v>4.3546666666666665E-7</v>
      </c>
      <c r="H15" s="19">
        <f>C15/$E$2</f>
        <v>3.8481999999999997E-7</v>
      </c>
      <c r="J15" s="23">
        <f>E15</f>
        <v>667</v>
      </c>
      <c r="K15" s="23">
        <f>-N15</f>
        <v>-41</v>
      </c>
      <c r="L15" s="23">
        <v>100</v>
      </c>
      <c r="M15" s="23">
        <f>J15</f>
        <v>667</v>
      </c>
      <c r="N15" s="23">
        <f>INT(0.5+C15/2)</f>
        <v>41</v>
      </c>
      <c r="O15" s="23">
        <f t="shared" si="1"/>
        <v>100</v>
      </c>
      <c r="P15" s="24" t="s">
        <v>66</v>
      </c>
    </row>
    <row r="17" spans="2:19" x14ac:dyDescent="0.2">
      <c r="D17" t="s">
        <v>80</v>
      </c>
      <c r="E17">
        <f>COUNTIF($D$5:$D$15,"="&amp;D17)</f>
        <v>1</v>
      </c>
    </row>
    <row r="18" spans="2:19" x14ac:dyDescent="0.2">
      <c r="D18" t="s">
        <v>79</v>
      </c>
      <c r="E18">
        <f t="shared" ref="E18:E21" si="3">COUNTIF($D$5:$D$15,"="&amp;D18)</f>
        <v>1</v>
      </c>
    </row>
    <row r="19" spans="2:19" x14ac:dyDescent="0.2">
      <c r="D19" t="s">
        <v>82</v>
      </c>
      <c r="E19">
        <f t="shared" si="3"/>
        <v>2</v>
      </c>
    </row>
    <row r="20" spans="2:19" x14ac:dyDescent="0.2">
      <c r="D20" t="s">
        <v>81</v>
      </c>
      <c r="E20">
        <f t="shared" si="3"/>
        <v>3</v>
      </c>
    </row>
    <row r="21" spans="2:19" x14ac:dyDescent="0.2">
      <c r="D21" t="s">
        <v>83</v>
      </c>
      <c r="E21">
        <f t="shared" si="3"/>
        <v>4</v>
      </c>
    </row>
    <row r="23" spans="2:19" x14ac:dyDescent="0.2">
      <c r="E23" t="s">
        <v>65</v>
      </c>
      <c r="F23" t="s">
        <v>74</v>
      </c>
      <c r="G23" t="s">
        <v>75</v>
      </c>
      <c r="H23" t="s">
        <v>65</v>
      </c>
      <c r="I23" t="s">
        <v>74</v>
      </c>
      <c r="J23" t="s">
        <v>75</v>
      </c>
      <c r="K23" t="s">
        <v>76</v>
      </c>
      <c r="M23" t="s">
        <v>6</v>
      </c>
      <c r="N23" t="s">
        <v>77</v>
      </c>
      <c r="O23" t="s">
        <v>78</v>
      </c>
      <c r="P23" t="s">
        <v>105</v>
      </c>
      <c r="Q23" t="s">
        <v>63</v>
      </c>
      <c r="R23" t="s">
        <v>109</v>
      </c>
    </row>
    <row r="24" spans="2:19" x14ac:dyDescent="0.2">
      <c r="B24" t="s">
        <v>73</v>
      </c>
      <c r="C24">
        <v>1</v>
      </c>
      <c r="D24">
        <v>32</v>
      </c>
      <c r="E24">
        <v>0</v>
      </c>
      <c r="F24">
        <v>-1.524</v>
      </c>
      <c r="G24">
        <v>2.54</v>
      </c>
      <c r="H24">
        <v>0</v>
      </c>
      <c r="I24">
        <v>1.524</v>
      </c>
      <c r="J24">
        <v>2.54</v>
      </c>
      <c r="K24">
        <v>8.8900000000000003E-3</v>
      </c>
      <c r="M24">
        <v>1.75</v>
      </c>
      <c r="N24">
        <f>25.4*M24</f>
        <v>44.449999999999996</v>
      </c>
      <c r="O24" t="str">
        <f t="shared" ref="O24:Q29" si="4">INT(N24/25.4)&amp;" "&amp;INT(0.5+16*(N24-INT(N24/25.4)*25.4)/25.4)&amp;"/16"</f>
        <v>1 12/16</v>
      </c>
      <c r="P24">
        <v>1296</v>
      </c>
      <c r="Q24" s="22">
        <f>300000000/P24/1000000</f>
        <v>0.23148148148148148</v>
      </c>
      <c r="R24" s="18">
        <f>Q24*1000/25.4</f>
        <v>9.1134441528142318</v>
      </c>
      <c r="S24" s="18">
        <f>M24/R24</f>
        <v>0.192024</v>
      </c>
    </row>
    <row r="25" spans="2:19" x14ac:dyDescent="0.2">
      <c r="B25" t="s">
        <v>73</v>
      </c>
      <c r="C25">
        <v>2</v>
      </c>
      <c r="D25">
        <v>29</v>
      </c>
      <c r="E25">
        <v>0.52792910000000004</v>
      </c>
      <c r="F25">
        <v>-1.4224000000000001</v>
      </c>
      <c r="G25">
        <v>2.8448000000000002</v>
      </c>
      <c r="H25">
        <v>0.52792910000000004</v>
      </c>
      <c r="I25">
        <v>1.4224000000000001</v>
      </c>
      <c r="J25">
        <v>2.8448000000000002</v>
      </c>
      <c r="K25">
        <v>8.8900000000000003E-3</v>
      </c>
      <c r="M25">
        <v>2.6</v>
      </c>
      <c r="N25">
        <f>25.4*M25</f>
        <v>66.039999999999992</v>
      </c>
      <c r="O25" t="str">
        <f t="shared" si="4"/>
        <v>2 10/16</v>
      </c>
      <c r="P25">
        <v>902</v>
      </c>
      <c r="Q25" s="22">
        <f>300000000/P25/1000000</f>
        <v>0.33259423503325941</v>
      </c>
      <c r="R25" s="18">
        <f>Q25*1000/25.4</f>
        <v>13.094261221781867</v>
      </c>
      <c r="S25" s="18">
        <f>M25/R25</f>
        <v>0.19856026666666668</v>
      </c>
    </row>
    <row r="26" spans="2:19" x14ac:dyDescent="0.2">
      <c r="B26" t="s">
        <v>73</v>
      </c>
      <c r="C26">
        <v>3</v>
      </c>
      <c r="D26">
        <v>27</v>
      </c>
      <c r="E26">
        <v>1.165843</v>
      </c>
      <c r="F26">
        <v>-1.3462000000000001</v>
      </c>
      <c r="G26">
        <v>3.2130999999999998</v>
      </c>
      <c r="H26">
        <v>1.165843</v>
      </c>
      <c r="I26">
        <v>1.3462000000000001</v>
      </c>
      <c r="J26">
        <v>3.2130999999999998</v>
      </c>
      <c r="K26">
        <v>8.8900000000000003E-3</v>
      </c>
      <c r="M26">
        <v>6.25</v>
      </c>
      <c r="N26">
        <f>25.4*M26</f>
        <v>158.75</v>
      </c>
      <c r="O26" t="str">
        <f t="shared" si="4"/>
        <v>6 4/16</v>
      </c>
      <c r="P26">
        <v>432</v>
      </c>
      <c r="Q26" s="22">
        <f>300000000/P26/1000000</f>
        <v>0.69444444444444453</v>
      </c>
      <c r="R26" s="18">
        <f>Q26*1000/25.4</f>
        <v>27.340332458442703</v>
      </c>
      <c r="S26" s="18">
        <f>M26/R26</f>
        <v>0.22859999999999994</v>
      </c>
    </row>
    <row r="27" spans="2:19" x14ac:dyDescent="0.2">
      <c r="B27" t="s">
        <v>73</v>
      </c>
      <c r="C27">
        <v>4</v>
      </c>
      <c r="D27">
        <v>11</v>
      </c>
      <c r="E27">
        <v>0.45093939999999999</v>
      </c>
      <c r="F27">
        <v>-0.51752500000000001</v>
      </c>
      <c r="G27">
        <v>2.8003499999999999</v>
      </c>
      <c r="H27">
        <v>0.45093939999999999</v>
      </c>
      <c r="I27">
        <v>0.51752500000000001</v>
      </c>
      <c r="J27">
        <v>2.8003499999999999</v>
      </c>
      <c r="K27">
        <v>4.7625000000000002E-3</v>
      </c>
      <c r="M27">
        <v>1.62</v>
      </c>
      <c r="N27">
        <f>25.4*M27</f>
        <v>41.148000000000003</v>
      </c>
      <c r="O27" t="str">
        <f t="shared" si="4"/>
        <v>1 10/16</v>
      </c>
      <c r="P27">
        <v>1420</v>
      </c>
      <c r="S27" s="18">
        <f>M27/P30</f>
        <v>0.19476719999999997</v>
      </c>
    </row>
    <row r="28" spans="2:19" x14ac:dyDescent="0.2">
      <c r="B28" t="s">
        <v>73</v>
      </c>
      <c r="C28">
        <v>5</v>
      </c>
      <c r="D28">
        <v>9</v>
      </c>
      <c r="E28">
        <v>0.63241510000000001</v>
      </c>
      <c r="F28">
        <v>-0.46989999999999998</v>
      </c>
      <c r="G28">
        <v>2.905125</v>
      </c>
      <c r="H28">
        <v>0.63241510000000001</v>
      </c>
      <c r="I28">
        <v>0.46989999999999998</v>
      </c>
      <c r="J28">
        <v>2.905125</v>
      </c>
      <c r="K28">
        <v>4.7625000000000002E-3</v>
      </c>
      <c r="M28">
        <f>M27*2+0.5</f>
        <v>3.74</v>
      </c>
      <c r="N28">
        <f>25.4*M28</f>
        <v>94.995999999999995</v>
      </c>
      <c r="O28" t="str">
        <f t="shared" si="4"/>
        <v>3 12/16</v>
      </c>
      <c r="P28" s="22">
        <f>300000000/P27/1000000</f>
        <v>0.21126760563380284</v>
      </c>
    </row>
    <row r="29" spans="2:19" x14ac:dyDescent="0.2">
      <c r="B29" t="s">
        <v>73</v>
      </c>
      <c r="C29">
        <v>6</v>
      </c>
      <c r="D29">
        <v>9</v>
      </c>
      <c r="E29">
        <v>0.90737809999999997</v>
      </c>
      <c r="F29">
        <v>-0.44450000000000001</v>
      </c>
      <c r="G29">
        <v>3.0638749999999999</v>
      </c>
      <c r="H29">
        <v>0.90737809999999997</v>
      </c>
      <c r="I29">
        <v>0.44450000000000001</v>
      </c>
      <c r="J29">
        <v>3.0638749999999999</v>
      </c>
      <c r="K29">
        <v>4.7625000000000002E-3</v>
      </c>
      <c r="M29">
        <f>M27+0.5</f>
        <v>2.12</v>
      </c>
      <c r="N29">
        <f>25.4*M29</f>
        <v>53.847999999999999</v>
      </c>
      <c r="O29" t="str">
        <f t="shared" si="4"/>
        <v>2 2/16</v>
      </c>
      <c r="P29" s="18">
        <f>P28*1000</f>
        <v>211.26760563380284</v>
      </c>
    </row>
    <row r="30" spans="2:19" x14ac:dyDescent="0.2">
      <c r="B30" t="s">
        <v>73</v>
      </c>
      <c r="C30">
        <v>7</v>
      </c>
      <c r="D30">
        <v>8</v>
      </c>
      <c r="E30">
        <v>1.319823</v>
      </c>
      <c r="F30">
        <v>-0.40005000000000002</v>
      </c>
      <c r="G30">
        <v>3.302</v>
      </c>
      <c r="H30">
        <v>1.319823</v>
      </c>
      <c r="I30">
        <v>0.40005000000000002</v>
      </c>
      <c r="J30">
        <v>3.302</v>
      </c>
      <c r="K30">
        <v>4.7625000000000002E-3</v>
      </c>
      <c r="P30" s="19">
        <f>P28*1000/25.4</f>
        <v>8.3176222690473569</v>
      </c>
      <c r="Q30" t="str">
        <f>INT(P30/25.4)&amp;" "&amp;INT(0.5+16*(P30-INT(P30/25.4)*25.4)/25.4)&amp;"/16"</f>
        <v>0 5/16</v>
      </c>
    </row>
    <row r="31" spans="2:19" x14ac:dyDescent="0.2">
      <c r="P31" t="str">
        <f>INT(P29/25.4)&amp;" "&amp;INT(0.5+16*(P29-INT(P29/25.4)*25.4)/25.4)&amp;"/16"</f>
        <v>8 5/16</v>
      </c>
    </row>
    <row r="33" spans="2:14" x14ac:dyDescent="0.2">
      <c r="K33" s="18">
        <f>K24*D2</f>
        <v>1878.1690140845071</v>
      </c>
    </row>
    <row r="36" spans="2:14" x14ac:dyDescent="0.2">
      <c r="C36" s="28" t="str">
        <f>HYPERLINK("https://www.antenna-theory.com/antennas/travelling/yagi3.php", "Yagi design at Antenna Theory")</f>
        <v>Yagi design at Antenna Theory</v>
      </c>
    </row>
    <row r="37" spans="2:14" x14ac:dyDescent="0.2">
      <c r="K37" s="21">
        <v>1420</v>
      </c>
    </row>
    <row r="38" spans="2:14" ht="24" x14ac:dyDescent="0.3">
      <c r="C38" s="25"/>
      <c r="D38" s="26" t="s">
        <v>103</v>
      </c>
      <c r="K38" s="22">
        <f>300000000/K37/1000000</f>
        <v>0.21126760563380284</v>
      </c>
      <c r="L38" t="s">
        <v>106</v>
      </c>
    </row>
    <row r="39" spans="2:14" ht="24" x14ac:dyDescent="0.3">
      <c r="C39" s="25"/>
      <c r="D39" s="26"/>
      <c r="K39" s="22">
        <f>K38*1000</f>
        <v>211.26760563380284</v>
      </c>
      <c r="L39" t="s">
        <v>107</v>
      </c>
    </row>
    <row r="40" spans="2:14" x14ac:dyDescent="0.2">
      <c r="K40" s="29">
        <f>K38*1000/25.4</f>
        <v>8.3176222690473569</v>
      </c>
      <c r="L40" t="s">
        <v>108</v>
      </c>
    </row>
    <row r="41" spans="2:14" x14ac:dyDescent="0.2">
      <c r="B41" s="25" t="s">
        <v>84</v>
      </c>
      <c r="C41" s="25"/>
      <c r="K41" s="21" t="str">
        <f>INT(K39/25.4)&amp;" "&amp;INT(0.5+16*(K39-INT(K39/25.4)*25.4)/25.4)&amp;"/16"</f>
        <v>8 5/16</v>
      </c>
      <c r="L41" t="s">
        <v>108</v>
      </c>
    </row>
    <row r="42" spans="2:14" x14ac:dyDescent="0.2">
      <c r="D42" s="27">
        <v>0.4</v>
      </c>
      <c r="E42" s="27">
        <v>0.8</v>
      </c>
      <c r="F42" s="27">
        <v>1.2</v>
      </c>
      <c r="G42" s="27">
        <v>2.2000000000000002</v>
      </c>
      <c r="H42" s="27">
        <v>3.2</v>
      </c>
      <c r="I42" s="27">
        <v>4.2</v>
      </c>
      <c r="K42" s="30">
        <f>I42*K40</f>
        <v>34.9340135299989</v>
      </c>
      <c r="L42" t="s">
        <v>108</v>
      </c>
    </row>
    <row r="43" spans="2:14" x14ac:dyDescent="0.2">
      <c r="C43" t="s">
        <v>85</v>
      </c>
      <c r="D43">
        <v>0.48199999999999998</v>
      </c>
      <c r="E43">
        <v>0.48199999999999998</v>
      </c>
      <c r="F43">
        <v>0.48199999999999998</v>
      </c>
      <c r="G43">
        <v>0.48199999999999998</v>
      </c>
      <c r="H43">
        <v>0.48199999999999998</v>
      </c>
      <c r="I43">
        <v>0.47499999999999998</v>
      </c>
      <c r="K43" s="30">
        <f>I43*$K$40</f>
        <v>3.9508705777974944</v>
      </c>
      <c r="L43" s="21" t="str">
        <f>INT(K43)&amp;" "&amp;INT(0.5+16*(K43-INT(K43)))&amp;"/16"</f>
        <v>3 15/16</v>
      </c>
      <c r="M43" s="30">
        <f t="shared" ref="M43:M55" si="5">M44+$K$59</f>
        <v>34.303759565265622</v>
      </c>
      <c r="N43" s="21" t="str">
        <f>INT(M43)&amp;" "&amp;INT(0.5+16*(M43-INT(M43)))&amp;"/16"</f>
        <v>34 5/16</v>
      </c>
    </row>
    <row r="44" spans="2:14" x14ac:dyDescent="0.2">
      <c r="C44" t="s">
        <v>86</v>
      </c>
      <c r="D44">
        <v>0.442</v>
      </c>
      <c r="E44">
        <v>0.42799999999999999</v>
      </c>
      <c r="F44">
        <v>0.42799999999999999</v>
      </c>
      <c r="G44">
        <v>0.432</v>
      </c>
      <c r="H44">
        <v>0.42799999999999999</v>
      </c>
      <c r="I44">
        <v>0.42399999999999999</v>
      </c>
      <c r="K44" s="30">
        <f t="shared" ref="K44:K60" si="6">I44*$K$40</f>
        <v>3.5266718420760794</v>
      </c>
      <c r="L44" s="21" t="str">
        <f t="shared" ref="L44:N60" si="7">INT(K44)&amp;" "&amp;INT(0.5+16*(K44-INT(K44)))&amp;"/16"</f>
        <v>3 8/16</v>
      </c>
      <c r="M44" s="30">
        <f t="shared" si="5"/>
        <v>31.741931906399039</v>
      </c>
      <c r="N44" s="21" t="str">
        <f t="shared" si="7"/>
        <v>31 12/16</v>
      </c>
    </row>
    <row r="45" spans="2:14" x14ac:dyDescent="0.2">
      <c r="C45" t="s">
        <v>87</v>
      </c>
      <c r="E45">
        <v>0.42399999999999999</v>
      </c>
      <c r="F45">
        <v>0.42</v>
      </c>
      <c r="G45">
        <v>0.41499999999999998</v>
      </c>
      <c r="H45">
        <v>0.42</v>
      </c>
      <c r="I45">
        <v>0.42399999999999999</v>
      </c>
      <c r="K45" s="30">
        <f t="shared" si="6"/>
        <v>3.5266718420760794</v>
      </c>
      <c r="L45" s="21" t="str">
        <f t="shared" si="7"/>
        <v>3 8/16</v>
      </c>
      <c r="M45" s="30">
        <f t="shared" si="5"/>
        <v>29.180104247532451</v>
      </c>
      <c r="N45" s="21" t="str">
        <f t="shared" si="7"/>
        <v>29 3/16</v>
      </c>
    </row>
    <row r="46" spans="2:14" x14ac:dyDescent="0.2">
      <c r="C46" t="s">
        <v>88</v>
      </c>
      <c r="E46">
        <v>0.42799999999999999</v>
      </c>
      <c r="F46">
        <v>0.42</v>
      </c>
      <c r="G46">
        <v>0.40699999999999997</v>
      </c>
      <c r="H46">
        <v>0.40699999999999997</v>
      </c>
      <c r="I46">
        <v>0.42</v>
      </c>
      <c r="K46" s="30">
        <f t="shared" si="6"/>
        <v>3.4934013529998897</v>
      </c>
      <c r="L46" s="21" t="str">
        <f t="shared" si="7"/>
        <v>3 8/16</v>
      </c>
      <c r="M46" s="30">
        <f t="shared" si="5"/>
        <v>26.618276588665864</v>
      </c>
      <c r="N46" s="21" t="str">
        <f t="shared" si="7"/>
        <v>26 10/16</v>
      </c>
    </row>
    <row r="47" spans="2:14" x14ac:dyDescent="0.2">
      <c r="C47" t="s">
        <v>89</v>
      </c>
      <c r="F47">
        <v>0.42799999999999999</v>
      </c>
      <c r="G47">
        <v>0.39800000000000002</v>
      </c>
      <c r="H47">
        <v>0.39800000000000002</v>
      </c>
      <c r="I47">
        <v>0.40699999999999997</v>
      </c>
      <c r="K47" s="30">
        <f t="shared" si="6"/>
        <v>3.3852722635022738</v>
      </c>
      <c r="L47" s="21" t="str">
        <f t="shared" si="7"/>
        <v>3 6/16</v>
      </c>
      <c r="M47" s="30">
        <f t="shared" si="5"/>
        <v>24.056448929799277</v>
      </c>
      <c r="N47" s="21" t="str">
        <f t="shared" si="7"/>
        <v>24 1/16</v>
      </c>
    </row>
    <row r="48" spans="2:14" x14ac:dyDescent="0.2">
      <c r="C48" t="s">
        <v>90</v>
      </c>
      <c r="G48">
        <v>0.39</v>
      </c>
      <c r="H48">
        <v>0.39400000000000002</v>
      </c>
      <c r="I48">
        <v>0.40300000000000002</v>
      </c>
      <c r="K48" s="30">
        <f t="shared" si="6"/>
        <v>3.352001774426085</v>
      </c>
      <c r="L48" s="21" t="str">
        <f t="shared" si="7"/>
        <v>3 6/16</v>
      </c>
      <c r="M48" s="30">
        <f t="shared" si="5"/>
        <v>21.49462127093269</v>
      </c>
      <c r="N48" s="21" t="str">
        <f t="shared" si="7"/>
        <v>21 8/16</v>
      </c>
    </row>
    <row r="49" spans="3:14" x14ac:dyDescent="0.2">
      <c r="C49" t="s">
        <v>91</v>
      </c>
      <c r="G49">
        <v>0.39</v>
      </c>
      <c r="H49">
        <v>0.39</v>
      </c>
      <c r="I49">
        <v>0.39800000000000002</v>
      </c>
      <c r="K49" s="30">
        <f t="shared" si="6"/>
        <v>3.3104136630808481</v>
      </c>
      <c r="L49" s="21" t="str">
        <f t="shared" si="7"/>
        <v>3 5/16</v>
      </c>
      <c r="M49" s="30">
        <f t="shared" si="5"/>
        <v>18.932793612066103</v>
      </c>
      <c r="N49" s="21" t="str">
        <f t="shared" si="7"/>
        <v>18 15/16</v>
      </c>
    </row>
    <row r="50" spans="3:14" x14ac:dyDescent="0.2">
      <c r="C50" t="s">
        <v>92</v>
      </c>
      <c r="G50">
        <v>0.39</v>
      </c>
      <c r="H50">
        <v>0.38600000000000001</v>
      </c>
      <c r="I50">
        <v>0.39400000000000002</v>
      </c>
      <c r="K50" s="30">
        <f t="shared" si="6"/>
        <v>3.2771431740046588</v>
      </c>
      <c r="L50" s="21" t="str">
        <f>INT(K50)&amp;" "&amp;INT(0.5+16*(K50-INT(K50)))&amp;"/16"</f>
        <v>3 4/16</v>
      </c>
      <c r="M50" s="30">
        <f t="shared" si="5"/>
        <v>16.370965953199516</v>
      </c>
      <c r="N50" s="21" t="str">
        <f>INT(M50)&amp;" "&amp;INT(0.5+16*(M50-INT(M50)))&amp;"/16"</f>
        <v>16 6/16</v>
      </c>
    </row>
    <row r="51" spans="3:14" x14ac:dyDescent="0.2">
      <c r="C51" t="s">
        <v>93</v>
      </c>
      <c r="G51">
        <v>0.39</v>
      </c>
      <c r="H51">
        <v>0.38600000000000001</v>
      </c>
      <c r="I51">
        <v>0.39</v>
      </c>
      <c r="K51" s="30">
        <f t="shared" si="6"/>
        <v>3.2438726849284691</v>
      </c>
      <c r="L51" s="21" t="str">
        <f t="shared" si="7"/>
        <v>3 4/16</v>
      </c>
      <c r="M51" s="30">
        <f t="shared" si="5"/>
        <v>13.809138294332929</v>
      </c>
      <c r="N51" s="21" t="str">
        <f t="shared" si="7"/>
        <v>13 13/16</v>
      </c>
    </row>
    <row r="52" spans="3:14" x14ac:dyDescent="0.2">
      <c r="C52" t="s">
        <v>94</v>
      </c>
      <c r="G52">
        <v>0.39800000000000002</v>
      </c>
      <c r="H52">
        <v>0.38600000000000001</v>
      </c>
      <c r="I52">
        <v>0.39</v>
      </c>
      <c r="K52" s="30">
        <f t="shared" si="6"/>
        <v>3.2438726849284691</v>
      </c>
      <c r="L52" s="21" t="str">
        <f t="shared" si="7"/>
        <v>3 4/16</v>
      </c>
      <c r="M52" s="30">
        <f t="shared" si="5"/>
        <v>11.247310635466343</v>
      </c>
      <c r="N52" s="21" t="str">
        <f t="shared" si="7"/>
        <v>11 4/16</v>
      </c>
    </row>
    <row r="53" spans="3:14" x14ac:dyDescent="0.2">
      <c r="C53" t="s">
        <v>95</v>
      </c>
      <c r="G53">
        <v>0.40699999999999997</v>
      </c>
      <c r="H53">
        <v>0.38600000000000001</v>
      </c>
      <c r="I53">
        <v>0.39</v>
      </c>
      <c r="K53" s="30">
        <f t="shared" si="6"/>
        <v>3.2438726849284691</v>
      </c>
      <c r="L53" s="21" t="str">
        <f t="shared" si="7"/>
        <v>3 4/16</v>
      </c>
      <c r="M53" s="30">
        <f t="shared" si="5"/>
        <v>8.6854829765997579</v>
      </c>
      <c r="N53" s="21" t="str">
        <f t="shared" si="7"/>
        <v>8 11/16</v>
      </c>
    </row>
    <row r="54" spans="3:14" x14ac:dyDescent="0.2">
      <c r="C54" t="s">
        <v>96</v>
      </c>
      <c r="H54">
        <v>0.38600000000000001</v>
      </c>
      <c r="I54">
        <v>0.39</v>
      </c>
      <c r="K54" s="30">
        <f t="shared" si="6"/>
        <v>3.2438726849284691</v>
      </c>
      <c r="L54" s="21" t="str">
        <f t="shared" si="7"/>
        <v>3 4/16</v>
      </c>
      <c r="M54" s="30">
        <f t="shared" si="5"/>
        <v>6.1236553177331716</v>
      </c>
      <c r="N54" s="21" t="str">
        <f t="shared" si="7"/>
        <v>6 2/16</v>
      </c>
    </row>
    <row r="55" spans="3:14" x14ac:dyDescent="0.2">
      <c r="C55" t="s">
        <v>97</v>
      </c>
      <c r="H55">
        <v>0.38600000000000001</v>
      </c>
      <c r="I55">
        <v>0.39</v>
      </c>
      <c r="K55" s="30">
        <f t="shared" si="6"/>
        <v>3.2438726849284691</v>
      </c>
      <c r="L55" s="21" t="str">
        <f t="shared" si="7"/>
        <v>3 4/16</v>
      </c>
      <c r="M55" s="30">
        <f>M56+$K$59</f>
        <v>3.5618276588665858</v>
      </c>
      <c r="N55" s="21" t="str">
        <f t="shared" si="7"/>
        <v>3 9/16</v>
      </c>
    </row>
    <row r="56" spans="3:14" x14ac:dyDescent="0.2">
      <c r="C56" t="s">
        <v>98</v>
      </c>
      <c r="H56">
        <v>0.38600000000000001</v>
      </c>
      <c r="I56">
        <v>0.39</v>
      </c>
      <c r="K56" s="30">
        <f t="shared" si="6"/>
        <v>3.2438726849284691</v>
      </c>
      <c r="L56" s="21" t="str">
        <f t="shared" si="7"/>
        <v>3 4/16</v>
      </c>
      <c r="M56">
        <v>1</v>
      </c>
      <c r="N56" s="21" t="str">
        <f t="shared" si="7"/>
        <v>1 0/16</v>
      </c>
    </row>
    <row r="57" spans="3:14" x14ac:dyDescent="0.2">
      <c r="C57" t="s">
        <v>99</v>
      </c>
      <c r="H57">
        <v>0.38600000000000001</v>
      </c>
      <c r="K57" s="30">
        <f t="shared" si="6"/>
        <v>0</v>
      </c>
      <c r="L57" s="21" t="str">
        <f t="shared" si="7"/>
        <v>0 0/16</v>
      </c>
    </row>
    <row r="58" spans="3:14" x14ac:dyDescent="0.2">
      <c r="C58" t="s">
        <v>100</v>
      </c>
      <c r="H58">
        <v>0.38600000000000001</v>
      </c>
      <c r="K58" s="30">
        <f t="shared" si="6"/>
        <v>0</v>
      </c>
      <c r="L58" s="21" t="str">
        <f t="shared" si="7"/>
        <v>0 0/16</v>
      </c>
    </row>
    <row r="59" spans="3:14" x14ac:dyDescent="0.2">
      <c r="C59" s="20" t="s">
        <v>101</v>
      </c>
      <c r="D59">
        <v>0.2</v>
      </c>
      <c r="E59">
        <v>0.2</v>
      </c>
      <c r="F59">
        <v>0.25</v>
      </c>
      <c r="G59">
        <v>0.2</v>
      </c>
      <c r="H59">
        <v>0.2</v>
      </c>
      <c r="I59">
        <v>0.308</v>
      </c>
      <c r="K59" s="30">
        <f t="shared" si="6"/>
        <v>2.5618276588665858</v>
      </c>
      <c r="L59" s="21" t="str">
        <f t="shared" si="7"/>
        <v>2 9/16</v>
      </c>
    </row>
    <row r="60" spans="3:14" x14ac:dyDescent="0.2">
      <c r="C60" t="s">
        <v>102</v>
      </c>
      <c r="D60">
        <v>9.25</v>
      </c>
      <c r="E60">
        <v>11.35</v>
      </c>
      <c r="F60">
        <v>12.35</v>
      </c>
      <c r="G60">
        <v>14.4</v>
      </c>
      <c r="H60">
        <v>15.55</v>
      </c>
      <c r="I60">
        <v>16.350000000000001</v>
      </c>
      <c r="K60" s="30">
        <f t="shared" si="6"/>
        <v>135.99312409892428</v>
      </c>
      <c r="L60" s="21" t="str">
        <f t="shared" si="7"/>
        <v>135 16/16</v>
      </c>
    </row>
    <row r="61" spans="3:14" x14ac:dyDescent="0.2">
      <c r="D61">
        <f t="shared" ref="D61:I61" si="8">MAX(D45:D58)-MIN(D45:D58)</f>
        <v>0</v>
      </c>
      <c r="E61">
        <f t="shared" si="8"/>
        <v>4.0000000000000036E-3</v>
      </c>
      <c r="F61">
        <f>MAX(F45:F58)-MIN(F45:F58)</f>
        <v>8.0000000000000071E-3</v>
      </c>
      <c r="G61">
        <f t="shared" ref="G61:I61" si="9">MAX(G45:G58)-MIN(G45:G58)</f>
        <v>2.4999999999999967E-2</v>
      </c>
      <c r="H61">
        <f t="shared" si="9"/>
        <v>3.3999999999999975E-2</v>
      </c>
      <c r="I61">
        <f t="shared" si="9"/>
        <v>3.3999999999999975E-2</v>
      </c>
    </row>
    <row r="62" spans="3:14" x14ac:dyDescent="0.2">
      <c r="C62" t="s">
        <v>104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FA63B-D95F-5740-AF9C-DFC2383FB853}">
  <dimension ref="B3:G7"/>
  <sheetViews>
    <sheetView workbookViewId="0">
      <selection activeCell="B3" sqref="B3:G7"/>
    </sheetView>
  </sheetViews>
  <sheetFormatPr baseColWidth="10" defaultRowHeight="16" x14ac:dyDescent="0.2"/>
  <sheetData>
    <row r="3" spans="2:7" x14ac:dyDescent="0.2">
      <c r="B3" s="2"/>
      <c r="C3" s="5"/>
      <c r="D3" s="2" t="s">
        <v>4</v>
      </c>
      <c r="E3" s="5" t="s">
        <v>5</v>
      </c>
      <c r="F3" s="5"/>
      <c r="G3" s="2"/>
    </row>
    <row r="4" spans="2:7" x14ac:dyDescent="0.2">
      <c r="B4" s="2"/>
      <c r="C4" s="5" t="s">
        <v>0</v>
      </c>
      <c r="D4" s="2">
        <v>12</v>
      </c>
      <c r="E4" s="5">
        <f>(D4/D5)^2</f>
        <v>5.76</v>
      </c>
      <c r="F4" s="5"/>
      <c r="G4" s="2"/>
    </row>
    <row r="5" spans="2:7" x14ac:dyDescent="0.2">
      <c r="B5" s="2"/>
      <c r="C5" s="5" t="s">
        <v>1</v>
      </c>
      <c r="D5" s="2">
        <v>5</v>
      </c>
      <c r="E5" s="5"/>
      <c r="F5" s="5"/>
      <c r="G5" s="2"/>
    </row>
    <row r="6" spans="2:7" x14ac:dyDescent="0.2">
      <c r="B6" s="2"/>
      <c r="C6" s="5" t="s">
        <v>2</v>
      </c>
      <c r="D6" s="2">
        <v>292</v>
      </c>
      <c r="E6" s="5"/>
      <c r="F6" s="5"/>
      <c r="G6" s="2"/>
    </row>
    <row r="7" spans="2:7" x14ac:dyDescent="0.2">
      <c r="B7" s="2"/>
      <c r="C7" s="5" t="s">
        <v>3</v>
      </c>
      <c r="D7" s="8">
        <f>D6/E4</f>
        <v>50.694444444444443</v>
      </c>
      <c r="E7" s="5"/>
      <c r="F7" s="5"/>
      <c r="G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YagiCalcs</vt:lpstr>
      <vt:lpstr>Sheet3</vt:lpstr>
      <vt:lpstr>Toroid Calcs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Leif Hille</dc:creator>
  <cp:lastModifiedBy>Leif Hille</cp:lastModifiedBy>
  <dcterms:created xsi:type="dcterms:W3CDTF">2024-02-09T14:59:08Z</dcterms:created>
  <dcterms:modified xsi:type="dcterms:W3CDTF">2024-02-27T00:51:49Z</dcterms:modified>
</cp:coreProperties>
</file>