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ew\Documents\GitHub\AGVeval\Excel\"/>
    </mc:Choice>
  </mc:AlternateContent>
  <xr:revisionPtr revIDLastSave="0" documentId="13_ncr:1_{DC4372B5-B10A-492D-900A-9412E8559F9A}" xr6:coauthVersionLast="47" xr6:coauthVersionMax="47" xr10:uidLastSave="{00000000-0000-0000-0000-000000000000}"/>
  <bookViews>
    <workbookView xWindow="28680" yWindow="-120" windowWidth="29040" windowHeight="17640" activeTab="8" xr2:uid="{0EF2771D-CFB8-4DE0-9494-6A24E6C64F08}"/>
  </bookViews>
  <sheets>
    <sheet name="Overview" sheetId="1" r:id="rId1"/>
    <sheet name="License" sheetId="3" r:id="rId2"/>
    <sheet name="Revisions" sheetId="2" r:id="rId3"/>
    <sheet name="Inp_Baseline" sheetId="4" r:id="rId4"/>
    <sheet name="Inp_CheapAGV" sheetId="10" r:id="rId5"/>
    <sheet name="Inp_SlowVehicle" sheetId="11" r:id="rId6"/>
    <sheet name="Inp_Custom" sheetId="12" r:id="rId7"/>
    <sheet name="Model" sheetId="5" r:id="rId8"/>
    <sheet name="Outputs" sheetId="6" r:id="rId9"/>
    <sheet name="Sensitivity" sheetId="7" r:id="rId10"/>
    <sheet name="TechMaturity" sheetId="8" r:id="rId11"/>
    <sheet name="MissionModel" sheetId="9"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5" i="11" l="1"/>
  <c r="B30" i="11"/>
  <c r="B30" i="10"/>
  <c r="I3" i="8"/>
  <c r="I4" i="8"/>
  <c r="I5" i="8"/>
  <c r="I6" i="8"/>
  <c r="I7" i="8"/>
  <c r="I8" i="8"/>
  <c r="I9" i="8"/>
  <c r="I10" i="8"/>
  <c r="I2" i="8"/>
  <c r="E3" i="8"/>
  <c r="E4" i="8"/>
  <c r="E5" i="8"/>
  <c r="E6" i="8"/>
  <c r="E7" i="8"/>
  <c r="E8" i="8"/>
  <c r="E9" i="8"/>
  <c r="E10" i="8"/>
  <c r="E2" i="8"/>
  <c r="B8" i="5" a="1"/>
  <c r="B16" i="5" a="1"/>
  <c r="B5" i="5" a="1"/>
  <c r="B38" i="5" a="1"/>
  <c r="B20" i="5" a="1"/>
  <c r="B32" i="5" a="1"/>
  <c r="B17" i="5" a="1"/>
  <c r="B10" i="5" a="1"/>
  <c r="B4" i="5" a="1"/>
  <c r="B31" i="5" a="1"/>
  <c r="B30" i="5" a="1"/>
  <c r="B27" i="5" a="1"/>
  <c r="B37" i="5" a="1"/>
  <c r="B26" i="5" a="1"/>
  <c r="B25" i="5" a="1"/>
  <c r="B24" i="5" a="1"/>
  <c r="B3" i="5" a="1"/>
  <c r="B35" i="5" a="1"/>
  <c r="B15" i="5" a="1"/>
  <c r="B9" i="5" a="1"/>
  <c r="B41" i="5" a="1"/>
  <c r="B23" i="5" a="1"/>
  <c r="B40" i="5" a="1"/>
  <c r="B22" i="5" a="1"/>
  <c r="B7" i="5" a="1"/>
  <c r="B11" i="5" a="1"/>
  <c r="B33" i="5" a="1"/>
  <c r="B39" i="5" a="1"/>
  <c r="B34" i="5" a="1"/>
  <c r="B6" i="5" a="1"/>
  <c r="B21" i="5" a="1"/>
  <c r="B12" i="5" a="1"/>
  <c r="B36" i="5" a="1"/>
  <c r="B41" i="5" l="1"/>
  <c r="B40" i="5"/>
  <c r="B39" i="5"/>
  <c r="B38" i="5"/>
  <c r="B37" i="5"/>
  <c r="B36" i="5"/>
  <c r="B35" i="5"/>
  <c r="B34" i="5"/>
  <c r="B33" i="5"/>
  <c r="B32" i="5"/>
  <c r="B27" i="6" s="1"/>
  <c r="B31" i="5"/>
  <c r="B30" i="5"/>
  <c r="B27" i="5"/>
  <c r="B26" i="5"/>
  <c r="B25" i="5"/>
  <c r="B24" i="5"/>
  <c r="B23" i="5"/>
  <c r="B22" i="5"/>
  <c r="B21" i="5"/>
  <c r="B20" i="5"/>
  <c r="B17" i="5"/>
  <c r="B16" i="5"/>
  <c r="B15" i="5"/>
  <c r="B12" i="5"/>
  <c r="B11" i="5"/>
  <c r="B10" i="5"/>
  <c r="B9" i="5"/>
  <c r="B8" i="5"/>
  <c r="B7" i="5"/>
  <c r="B6" i="5"/>
  <c r="B5" i="5"/>
  <c r="B4" i="5"/>
  <c r="B3" i="5"/>
  <c r="G11" i="6" l="1"/>
  <c r="G27" i="6"/>
  <c r="G28" i="6"/>
  <c r="G31" i="6"/>
  <c r="G33" i="6"/>
  <c r="G23" i="6"/>
  <c r="G25" i="6"/>
  <c r="G12" i="6"/>
  <c r="G13" i="6"/>
  <c r="G29" i="6"/>
  <c r="G32" i="6"/>
  <c r="G22" i="6"/>
  <c r="G26" i="6"/>
  <c r="G14" i="6"/>
  <c r="G30" i="6"/>
  <c r="G20" i="6"/>
  <c r="G15" i="6"/>
  <c r="G16" i="6"/>
  <c r="G17" i="6"/>
  <c r="G18" i="6"/>
  <c r="G19" i="6"/>
  <c r="G24" i="6"/>
  <c r="G21" i="6"/>
  <c r="B24" i="6"/>
  <c r="B23" i="6"/>
  <c r="B3" i="6"/>
  <c r="B4" i="6" s="1"/>
  <c r="B5" i="6" s="1"/>
  <c r="B9" i="6" s="1"/>
  <c r="B17" i="6"/>
  <c r="B18" i="6" s="1"/>
  <c r="B19" i="6" s="1"/>
  <c r="B20" i="6" s="1"/>
  <c r="B30" i="6" s="1"/>
  <c r="I3" i="5"/>
  <c r="I4" i="5" s="1"/>
  <c r="B25" i="6" l="1"/>
  <c r="B22" i="6"/>
  <c r="B8" i="6"/>
  <c r="B10" i="6" s="1"/>
  <c r="B21" i="6"/>
  <c r="B6" i="6"/>
  <c r="I5" i="5"/>
  <c r="I6" i="5" s="1"/>
  <c r="B26" i="6" l="1"/>
  <c r="B28" i="6" s="1"/>
  <c r="B11" i="6"/>
  <c r="B12" i="6" s="1"/>
  <c r="B13" i="6" s="1"/>
  <c r="B14" i="6"/>
  <c r="B34" i="6" s="1"/>
  <c r="B7" i="6"/>
  <c r="B38" i="6" l="1"/>
  <c r="B29" i="6"/>
  <c r="B32" i="6"/>
  <c r="G3" i="6" s="1"/>
  <c r="B37" i="6"/>
  <c r="B33" i="6"/>
  <c r="B44" i="6" l="1"/>
  <c r="G5" i="6"/>
  <c r="G4" i="6"/>
  <c r="G7" i="6"/>
  <c r="G6" i="6"/>
  <c r="G10" i="6"/>
  <c r="G8" i="6"/>
  <c r="G9" i="6"/>
  <c r="B41"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<sst xmlns="http://schemas.openxmlformats.org/spreadsheetml/2006/main" count="657" uniqueCount="258">
  <si>
    <t>Redistribution and use in source and binary forms, with or without modification, are permitted provided that the following conditions are met:</t>
  </si>
  <si>
    <t>1. Redistributions of source code must retain the above copyright notice, this list of conditions and the following disclaimer.</t>
  </si>
  <si>
    <t>2. Redistributions in binary form must reproduce the above copyright notice, this list of conditions and the following disclaimer in the documentation and/or other materials provided with the distribution.</t>
  </si>
  <si>
    <t>3. Neither the name of the copyright holder nor the names of its contributors may be used to endorse or promote products derived from this software without specific prior written permission.</t>
  </si>
  <si>
    <t>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</si>
  <si>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Copyright 2023 Erik Wilhelm</t>
  </si>
  <si>
    <t>Version</t>
  </si>
  <si>
    <t>Author(s)</t>
  </si>
  <si>
    <t>Initial commit</t>
  </si>
  <si>
    <t>Changelog</t>
  </si>
  <si>
    <t>added licence and overview</t>
  </si>
  <si>
    <t xml:space="preserve">Automated Ground Vehicle Use Case Model </t>
  </si>
  <si>
    <t>The overarching goal of the model is to enable the economic feasibility of a wide variety of autonomous ground vehicle projects to be objectively evaluated. To achieve this goal, the model aims to answer the following questions:</t>
  </si>
  <si>
    <t>1. What is the net present value of an investment in an automated ground vehicle for a specific application use case compared to the business as usual case?</t>
  </si>
  <si>
    <t>2. What is the sensitivity of the amortization period to the input assumptions? In other words, which input assumptions have the greatest effect on the amortization period for the project?</t>
  </si>
  <si>
    <t>3. Which implications do the deployment of automated ground robots have on manpower needs? In other words, where can human resources be more effectively allocated?</t>
  </si>
  <si>
    <t>Contributors</t>
  </si>
  <si>
    <t>Erik Wilhelm</t>
  </si>
  <si>
    <t>Company</t>
  </si>
  <si>
    <t>Kyburz Switzerland</t>
  </si>
  <si>
    <t>Christoph Kammer</t>
  </si>
  <si>
    <t>The Mathworks</t>
  </si>
  <si>
    <t>Flurin Arner</t>
  </si>
  <si>
    <t>Flurin Arner Inc</t>
  </si>
  <si>
    <t>Markus Rohr</t>
  </si>
  <si>
    <t>Robolem</t>
  </si>
  <si>
    <t>AMAG</t>
  </si>
  <si>
    <t>ETH Zürich</t>
  </si>
  <si>
    <t>Christoph Zeier</t>
  </si>
  <si>
    <t>Cyril Zubr</t>
  </si>
  <si>
    <t>The inputs, outputs, and assumptions of the model are outlined in their respective worksheets.</t>
  </si>
  <si>
    <t>Please see the licence worksheet before deploying this model.</t>
  </si>
  <si>
    <t>If you use this model, please use this citation:</t>
  </si>
  <si>
    <t>Please see this paper for details about the assumptions, inputs, and for worked examples.</t>
  </si>
  <si>
    <t>LINK TO PAPER</t>
  </si>
  <si>
    <t>Title</t>
  </si>
  <si>
    <t>Date</t>
  </si>
  <si>
    <t>11.Aug.2023</t>
  </si>
  <si>
    <t>TRL</t>
  </si>
  <si>
    <t>Basic principles observed and reported</t>
  </si>
  <si>
    <t>Basic principles observed</t>
  </si>
  <si>
    <t>Technology concept and/or application formulated</t>
  </si>
  <si>
    <t>Technology concept formulated</t>
  </si>
  <si>
    <t>Analytical and experimental critical function and/or characteristic proof-of concept</t>
  </si>
  <si>
    <t>Experimental proof of concept</t>
  </si>
  <si>
    <t>Component and/or breadboard validation in laboratory environment</t>
  </si>
  <si>
    <t>Technology validated in lab</t>
  </si>
  <si>
    <t>Component and/or breadboard validation in relevant environment</t>
  </si>
  <si>
    <t>Technology validated in relevant environment (industrially relevant environment in the case of key enabling technologies)</t>
  </si>
  <si>
    <t>System/subsystem model or prototype demonstration in a relevant environment (ground or space)</t>
  </si>
  <si>
    <t>Technology demonstrated in relevant environment (industrially relevant environment in the case of key enabling technologies)</t>
  </si>
  <si>
    <t>System prototype demonstration in a space environment</t>
  </si>
  <si>
    <t>System prototype demonstration in operational environment</t>
  </si>
  <si>
    <t>Actual system completed and "flight qualified" through test and demonstration (ground or space)</t>
  </si>
  <si>
    <t>System complete and qualified</t>
  </si>
  <si>
    <t>Actual system "flight proven" through successful mission operations</t>
  </si>
  <si>
    <t>Actual system proven in operational environment (competitive manufacturing in the case of key enabling technologies; or in space)</t>
  </si>
  <si>
    <t>NASA usage</t>
  </si>
  <si>
    <t>European Union</t>
  </si>
  <si>
    <t xml:space="preserve">Source: </t>
  </si>
  <si>
    <t>https://en.wikipedia.org/wiki/Technology_readiness_level</t>
  </si>
  <si>
    <t>Number of Vehicles Deployed</t>
  </si>
  <si>
    <t>Number of Hours Operated</t>
  </si>
  <si>
    <t>Approx. Company Size</t>
  </si>
  <si>
    <t>3000+</t>
  </si>
  <si>
    <t>Years of Experience</t>
  </si>
  <si>
    <t>disengagement per km</t>
  </si>
  <si>
    <t>km between disengagement</t>
  </si>
  <si>
    <t>min per disengagement</t>
  </si>
  <si>
    <t>max_speed</t>
  </si>
  <si>
    <t>Notes:</t>
  </si>
  <si>
    <t>The basic maturity assumptions on the master branch in this section are used in the code cases.</t>
  </si>
  <si>
    <t>Company acceptance</t>
  </si>
  <si>
    <t>Level</t>
  </si>
  <si>
    <t>MissionSimilarity</t>
  </si>
  <si>
    <t>Example(s)</t>
  </si>
  <si>
    <t>MissionDeterminism</t>
  </si>
  <si>
    <t>None</t>
  </si>
  <si>
    <t>Minimum</t>
  </si>
  <si>
    <t>Minor</t>
  </si>
  <si>
    <t>Some</t>
  </si>
  <si>
    <t>Average</t>
  </si>
  <si>
    <t>Sufficient</t>
  </si>
  <si>
    <t>Good</t>
  </si>
  <si>
    <t>Excellent</t>
  </si>
  <si>
    <t xml:space="preserve">Outstanding </t>
  </si>
  <si>
    <t>Complete</t>
  </si>
  <si>
    <t>Company A takes over Company B's production process, inheriting proof-of-concept stage AGV systems in the aquisition; neither managment nor operations tolerates the pilot systems</t>
  </si>
  <si>
    <t>Upper management forces production and logistics departments to trial new AGV technology for external marketing purposes</t>
  </si>
  <si>
    <t>Well meaning senior department heads procure AGVs without adequate consultation of logistics needs; systems are viewed as too expensive and slow</t>
  </si>
  <si>
    <t>AGV system was procured with cross-management agreement, but before delivery company priorities and processes changed; system no longer serves present needs</t>
  </si>
  <si>
    <t>older generation AGV in service for several years, value in process is hard to justify; logistics and production tolerate system presense</t>
  </si>
  <si>
    <t>value of AGV is clear to articulate in ist application; and is understood by management and supervisors</t>
  </si>
  <si>
    <t>AGV works well in its mission, and its value is understood by all employees, including those sharing the shop floor with the system</t>
  </si>
  <si>
    <t>AGV supports the employees in mission-critical ways, and is valued highly at all levels</t>
  </si>
  <si>
    <t>AGV is viewed as critical for the success of the process to which its mission contributes</t>
  </si>
  <si>
    <t>Without the AGV, the system process is viewed as being impossible</t>
  </si>
  <si>
    <t>Each mission is completely different from the next</t>
  </si>
  <si>
    <t>There are some similarites between missions (e.g. they all start and end with a charging step)</t>
  </si>
  <si>
    <t>Parts of the mission are common between missions (e.g. the last building is always the same)</t>
  </si>
  <si>
    <t>The start and end buildings are the same, but the route is vastly different</t>
  </si>
  <si>
    <t>Only a few options exist for the robot to complete its mission; these can only be modified by trained employees</t>
  </si>
  <si>
    <t>There are many pre-programmed routes which are followed by the AGVs, but they are free to choose a route as desired; new routes trained by anyone</t>
  </si>
  <si>
    <t>Two options exist for the robot to complete its mission; these can only be programmed by AGV manufacturer</t>
  </si>
  <si>
    <t>One route programmed by the AGV manufacture exits; it changes every quarter</t>
  </si>
  <si>
    <t>One route programmed by the AGV manufacture exits; it changes every year</t>
  </si>
  <si>
    <t>One route programmed by the AGV manufacture exits; it never changes</t>
  </si>
  <si>
    <t>Peak periods of different vehicles and pedestrians (e.g. lunch time rush of bikes, cars, and people in front of a busy restaurant, but otherwise fewer obstacles)</t>
  </si>
  <si>
    <t>Massive numbers of different types of vehicles and pedestrians (e.g. downtown manhattan at rush hour); this traffic persists throughout the day</t>
  </si>
  <si>
    <t>Steady streams of moderate traffic</t>
  </si>
  <si>
    <t>Periods of moderate traffic, but mostly open roads</t>
  </si>
  <si>
    <t>Mostly open roads, periodic appearance of dynamic obstacles</t>
  </si>
  <si>
    <t>Occasional dynamic obstacles, which are all aware of the AGV's presence and attention</t>
  </si>
  <si>
    <t>Occasional dynamic obstacles, some of whom are untrained</t>
  </si>
  <si>
    <t>Rare dynamic obstacles, which are all aware of the AGV's presence and attention</t>
  </si>
  <si>
    <t>Open road, but no planned dynamic obstacles (e.g. possible to enter AGVs path if traffic rules on site are not followed)</t>
  </si>
  <si>
    <t>Closed road, difficult for dynamic obstacles to enter the AGVs path, even if rules are not followed</t>
  </si>
  <si>
    <t>Added missions</t>
  </si>
  <si>
    <t>15.Aug.2023</t>
  </si>
  <si>
    <t>mission and maturities modelled</t>
  </si>
  <si>
    <t>18.Oct.2023</t>
  </si>
  <si>
    <t>added input assumptions for scripts</t>
  </si>
  <si>
    <t>Added inputs</t>
  </si>
  <si>
    <t>Value</t>
  </si>
  <si>
    <t>Parameter</t>
  </si>
  <si>
    <t>Unit</t>
  </si>
  <si>
    <t>Discount Rate</t>
  </si>
  <si>
    <t>Percent</t>
  </si>
  <si>
    <t>Source</t>
  </si>
  <si>
    <t>Inp_Baseline</t>
  </si>
  <si>
    <t>Inp_CheapAGV</t>
  </si>
  <si>
    <t>Electricity Price</t>
  </si>
  <si>
    <t>EUR/kWh</t>
  </si>
  <si>
    <t>Diesel Price</t>
  </si>
  <si>
    <t>EUR/L</t>
  </si>
  <si>
    <t>Diesel Energy</t>
  </si>
  <si>
    <t>kWh/L</t>
  </si>
  <si>
    <t>Data Carriage Price</t>
  </si>
  <si>
    <t>EUR/MB</t>
  </si>
  <si>
    <t>Years of Operation</t>
  </si>
  <si>
    <t>Years</t>
  </si>
  <si>
    <t>Technology Readiness</t>
  </si>
  <si>
    <t>Unitless</t>
  </si>
  <si>
    <t>Company Acceptance</t>
  </si>
  <si>
    <t>Mission Similarity</t>
  </si>
  <si>
    <t>Mission Determinism</t>
  </si>
  <si>
    <t xml:space="preserve">Assumptions </t>
  </si>
  <si>
    <t>Mission Length</t>
  </si>
  <si>
    <t>km</t>
  </si>
  <si>
    <t>Material to Move</t>
  </si>
  <si>
    <t>Yearly Operation Days</t>
  </si>
  <si>
    <t>Days</t>
  </si>
  <si>
    <t>Mission Inputs</t>
  </si>
  <si>
    <t>AGV Inputs</t>
  </si>
  <si>
    <t>Human Operated Vehicle Inputs</t>
  </si>
  <si>
    <t>Vehicle Energy Consumption</t>
  </si>
  <si>
    <t>Operator Hourly Wage</t>
  </si>
  <si>
    <t xml:space="preserve">Vehicle Maintenance Cost </t>
  </si>
  <si>
    <t>Vehicle End of Life Cost</t>
  </si>
  <si>
    <t>Vehicle Average Speed</t>
  </si>
  <si>
    <t>Vehicle Material Capacity</t>
  </si>
  <si>
    <t>Vehicle Max Shift Length</t>
  </si>
  <si>
    <t>AGV Purchase Cost</t>
  </si>
  <si>
    <t>Vehicle Purchase Cost</t>
  </si>
  <si>
    <t>EUR</t>
  </si>
  <si>
    <t>L/100km</t>
  </si>
  <si>
    <t>EUR/hr</t>
  </si>
  <si>
    <t>km/hr</t>
  </si>
  <si>
    <t>hours</t>
  </si>
  <si>
    <t>AGV Leasing Cost</t>
  </si>
  <si>
    <t>AGV Maintenance Cost</t>
  </si>
  <si>
    <t>AVG End of Life Cost</t>
  </si>
  <si>
    <t>AGV Average Speed</t>
  </si>
  <si>
    <t>AGV Charge Rate</t>
  </si>
  <si>
    <t>AGV Disenagements per km</t>
  </si>
  <si>
    <t xml:space="preserve">AGV Disengagement time </t>
  </si>
  <si>
    <t>AGV Material capacity</t>
  </si>
  <si>
    <t>AGV Energy Consumption</t>
  </si>
  <si>
    <t>AGV Max Shift Length</t>
  </si>
  <si>
    <t>AGV Data Use</t>
  </si>
  <si>
    <t>EUR/vehice/month</t>
  </si>
  <si>
    <t>EUR/AGV/Year</t>
  </si>
  <si>
    <t>EUR/AGV/month</t>
  </si>
  <si>
    <t>kW</t>
  </si>
  <si>
    <t>disengagement/km</t>
  </si>
  <si>
    <t>minutes/disengagement</t>
  </si>
  <si>
    <t>kWh/km</t>
  </si>
  <si>
    <t>MB/day</t>
  </si>
  <si>
    <t>Inp_SlowVehicle</t>
  </si>
  <si>
    <t>Scenarios modelled at present:</t>
  </si>
  <si>
    <t>EarlyByte</t>
  </si>
  <si>
    <t>Remo Höppli</t>
  </si>
  <si>
    <t>Inp_Custom</t>
  </si>
  <si>
    <t>Calculated Parameters</t>
  </si>
  <si>
    <t>Vehicle daily missions</t>
  </si>
  <si>
    <t>Vehicle daily distance</t>
  </si>
  <si>
    <t>Vehicle daily time</t>
  </si>
  <si>
    <t>Number of vehicle required</t>
  </si>
  <si>
    <t>Missions/day</t>
  </si>
  <si>
    <t>hours/day</t>
  </si>
  <si>
    <t xml:space="preserve">expanded TL use explanation, scaling EOL by purchase price, disengagements per unit time, </t>
  </si>
  <si>
    <t>43941580a167ec3b37d2f31ef0fdef1beeb1727b</t>
  </si>
  <si>
    <t>2b2d115e1ead2bea7fad54723684b6c5c870b6fe</t>
  </si>
  <si>
    <t>501e775add03c25aaf35bd38dfb68a304373f038</t>
  </si>
  <si>
    <t>fe42c7a305863349e679748ce4a866aee4ebf1bb</t>
  </si>
  <si>
    <t>Read from excel</t>
  </si>
  <si>
    <t>13.Dec.2023</t>
  </si>
  <si>
    <t>Undiscounted lifetime costs</t>
  </si>
  <si>
    <t>Human operated vehicle daily missions</t>
  </si>
  <si>
    <t>Calculated inputs</t>
  </si>
  <si>
    <t>missions/day</t>
  </si>
  <si>
    <t>Human operated vehicle daily distance</t>
  </si>
  <si>
    <t>km/day</t>
  </si>
  <si>
    <t>Human operated vehicle daily driving time</t>
  </si>
  <si>
    <t>vehicles</t>
  </si>
  <si>
    <t>Human operated vehicle energy cost</t>
  </si>
  <si>
    <t>Human operated vehicle operator cost</t>
  </si>
  <si>
    <t>EUR/year</t>
  </si>
  <si>
    <t>Human operated vehicle annual operating cost</t>
  </si>
  <si>
    <t>Human operated vehicle annual maintenance cost</t>
  </si>
  <si>
    <t>Human operated vehicle annual cost</t>
  </si>
  <si>
    <t>Human operated vehicle end of life cost</t>
  </si>
  <si>
    <t>Human operated vehicle purchase cost</t>
  </si>
  <si>
    <t xml:space="preserve">EUR </t>
  </si>
  <si>
    <t>Human operated vehicle</t>
  </si>
  <si>
    <t>Autonomous ground vehicle</t>
  </si>
  <si>
    <t>Autonomous ground vehicle daily missions</t>
  </si>
  <si>
    <t>Autonomous ground vehicle daily distance</t>
  </si>
  <si>
    <t>Autonomous ground vehicle daily driving time</t>
  </si>
  <si>
    <t>Number of autonomous ground vehicles required</t>
  </si>
  <si>
    <t>Number of human operated vehicles required</t>
  </si>
  <si>
    <t>Autonomous ground vehicle annual operating cost</t>
  </si>
  <si>
    <t>Autonomous ground vehicle energy cost</t>
  </si>
  <si>
    <t>Autonomous ground vehicle purchase cost</t>
  </si>
  <si>
    <t>Autonomous ground vehicle annual maintenance cost</t>
  </si>
  <si>
    <t>Autonomous ground vehicle annual cost</t>
  </si>
  <si>
    <t>Autonomous ground vehicle end of life cost</t>
  </si>
  <si>
    <t>Autonomous ground vehicle data cost</t>
  </si>
  <si>
    <t>Autonomous ground vehicle cost per disengagement</t>
  </si>
  <si>
    <t xml:space="preserve">Autonomous ground vehicle disengagement </t>
  </si>
  <si>
    <t>EUR/disengagement</t>
  </si>
  <si>
    <t>Investment cost of switching to AGVs</t>
  </si>
  <si>
    <t>Annual savings from switching to AGVs</t>
  </si>
  <si>
    <t>End of life cost of switching to AGVs</t>
  </si>
  <si>
    <t>Human operated vehice undiscounted lifetime cost</t>
  </si>
  <si>
    <t>Autonomous ground vehicle undiscounted lifetime cost</t>
  </si>
  <si>
    <t>Net present value</t>
  </si>
  <si>
    <t xml:space="preserve">Investement in AGV yields a net present value of </t>
  </si>
  <si>
    <t>Cashflows</t>
  </si>
  <si>
    <t>Year</t>
  </si>
  <si>
    <t>Flow</t>
  </si>
  <si>
    <t>Amortization period</t>
  </si>
  <si>
    <t>Investement in AGV will pay back after</t>
  </si>
  <si>
    <t>years</t>
  </si>
  <si>
    <t>Vehicle</t>
  </si>
  <si>
    <t>AGV</t>
  </si>
  <si>
    <t>Cumulative annual vehicle operation cost</t>
  </si>
  <si>
    <t>Cumulative annual autonomous vehicle operation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</si>
</sst>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Red]\-&quot;$&quot;#,##0.00"/>
    <numFmt numFmtId="164" formatCode="0.0000"/>
    <numFmt numFmtId="165" formatCode="0.0"/>
    <numFmt numFmtId="167" formatCode="0.000"/>
    <numFmt numFmtId="168" formatCode="_-[$€-2]\ * #,##0.00_-;\-[$€-2]\ * #,##0.00_-;_-[$€-2]\ * &quot;-&quot;??_-;_-@_-"/>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9" fontId="3" fillId="0" borderId="0" applyFont="0" applyFill="0" applyBorder="0" applyAlignment="0" applyProtection="0"/>
  </cellStyleXfs>
  <cellXfs count="18">
    <xf numFmtId="0" fontId="0" fillId="0" borderId="0" xfId="0"/>
    <xf numFmtId="0" fontId="0" fillId="0" borderId="1" xfId="0" applyBorder="1"/>
    <xf numFmtId="0" fontId="1" fillId="0" borderId="0" xfId="0" applyFont="1"/>
    <xf numFmtId="0" fontId="0" fillId="0" borderId="0" xfId="0" applyAlignment="1">
      <alignment wrapText="1"/>
    </xf>
    <xf numFmtId="0" fontId="2" fillId="0" borderId="0" xfId="1"/>
    <xf numFmtId="0" fontId="1" fillId="0" borderId="0" xfId="0" applyFont="1" applyAlignment="1">
      <alignment wrapText="1"/>
    </xf>
    <xf numFmtId="164" fontId="0" fillId="0" borderId="0" xfId="0" applyNumberFormat="1"/>
    <xf numFmtId="165" fontId="0" fillId="0" borderId="0" xfId="0" applyNumberFormat="1"/>
    <xf numFmtId="9" fontId="0" fillId="0" borderId="0" xfId="2" applyFont="1"/>
    <xf numFmtId="0" fontId="4" fillId="0" borderId="0" xfId="0" applyFont="1"/>
    <xf numFmtId="0" fontId="0" fillId="0" borderId="0" xfId="2" applyNumberFormat="1" applyFont="1"/>
    <xf numFmtId="0" fontId="0" fillId="2" borderId="0" xfId="0" applyFill="1"/>
    <xf numFmtId="11" fontId="0" fillId="0" borderId="1" xfId="0" applyNumberFormat="1" applyBorder="1"/>
    <xf numFmtId="167" fontId="0" fillId="0" borderId="0" xfId="0" applyNumberFormat="1"/>
    <xf numFmtId="2" fontId="0" fillId="0" borderId="0" xfId="0" applyNumberFormat="1"/>
    <xf numFmtId="168" fontId="0" fillId="0" borderId="0" xfId="0" applyNumberFormat="1"/>
    <xf numFmtId="8" fontId="1" fillId="0" borderId="0" xfId="0" applyNumberFormat="1" applyFont="1"/>
    <xf numFmtId="2" fontId="1" fillId="0" borderId="0" xfId="0" applyNumberFormat="1" applyFont="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Comparison</a:t>
            </a:r>
            <a:r>
              <a:rPr lang="en-CA" baseline="0"/>
              <a:t> of Undiscounted Lifetime Costs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Outputs!$D$37:$D$38</c:f>
              <c:strCache>
                <c:ptCount val="2"/>
                <c:pt idx="0">
                  <c:v>Vehicle</c:v>
                </c:pt>
                <c:pt idx="1">
                  <c:v>AGV</c:v>
                </c:pt>
              </c:strCache>
            </c:strRef>
          </c:cat>
          <c:val>
            <c:numRef>
              <c:f>Outputs!$B$37:$B$38</c:f>
              <c:numCache>
                <c:formatCode>_-[$€-2]\ * #,##0.00_-;\-[$€-2]\ * #,##0.00_-;_-[$€-2]\ * "-"??_-;_-@_-</c:formatCode>
                <c:ptCount val="2"/>
                <c:pt idx="0">
                  <c:v>150676.63400000002</c:v>
                </c:pt>
                <c:pt idx="1">
                  <c:v>142172.296</c:v>
                </c:pt>
              </c:numCache>
            </c:numRef>
          </c:val>
          <c:extLst>
            <c:ext xmlns:c16="http://schemas.microsoft.com/office/drawing/2014/chart" uri="{C3380CC4-5D6E-409C-BE32-E72D297353CC}">
              <c16:uniqueId val="{00000000-95DB-4414-AF15-D7B33B4828A6}"/>
            </c:ext>
          </c:extLst>
        </c:ser>
        <c:dLbls>
          <c:showLegendKey val="0"/>
          <c:showVal val="0"/>
          <c:showCatName val="0"/>
          <c:showSerName val="0"/>
          <c:showPercent val="0"/>
          <c:showBubbleSize val="0"/>
        </c:dLbls>
        <c:gapWidth val="219"/>
        <c:overlap val="-27"/>
        <c:axId val="790424216"/>
        <c:axId val="790423496"/>
      </c:barChart>
      <c:catAx>
        <c:axId val="790424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423496"/>
        <c:crosses val="autoZero"/>
        <c:auto val="1"/>
        <c:lblAlgn val="ctr"/>
        <c:lblOffset val="100"/>
        <c:noMultiLvlLbl val="0"/>
      </c:catAx>
      <c:valAx>
        <c:axId val="790423496"/>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2]\ * #,##0.00_-;\-[$€-2]\ * #,##0.0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424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 Cash Flow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Outputs!$G$2</c:f>
              <c:strCache>
                <c:ptCount val="1"/>
                <c:pt idx="0">
                  <c:v>Flow</c:v>
                </c:pt>
              </c:strCache>
            </c:strRef>
          </c:tx>
          <c:spPr>
            <a:solidFill>
              <a:srgbClr val="000000"/>
            </a:solidFill>
            <a:ln>
              <a:noFill/>
            </a:ln>
            <a:effectLst/>
          </c:spPr>
          <c:invertIfNegative val="1"/>
          <c:cat>
            <c:numRef>
              <c:f>Outputs!$F$3:$F$10</c:f>
              <c:numCache>
                <c:formatCode>General</c:formatCode>
                <c:ptCount val="8"/>
                <c:pt idx="0">
                  <c:v>0</c:v>
                </c:pt>
                <c:pt idx="1">
                  <c:v>1</c:v>
                </c:pt>
                <c:pt idx="2">
                  <c:v>2</c:v>
                </c:pt>
                <c:pt idx="3">
                  <c:v>3</c:v>
                </c:pt>
                <c:pt idx="4">
                  <c:v>4</c:v>
                </c:pt>
                <c:pt idx="5">
                  <c:v>5</c:v>
                </c:pt>
                <c:pt idx="6">
                  <c:v>6</c:v>
                </c:pt>
                <c:pt idx="7">
                  <c:v>7</c:v>
                </c:pt>
              </c:numCache>
            </c:numRef>
          </c:cat>
          <c:val>
            <c:numRef>
              <c:f>Outputs!$G$3:$G$10</c:f>
              <c:numCache>
                <c:formatCode>General</c:formatCode>
                <c:ptCount val="8"/>
                <c:pt idx="0" formatCode="_-[$€-2]\ * #,##0.00_-;\-[$€-2]\ * #,##0.00_-;_-[$€-2]\ * &quot;-&quot;??_-;_-@_-">
                  <c:v>-41000</c:v>
                </c:pt>
                <c:pt idx="1">
                  <c:v>7386.3340000000007</c:v>
                </c:pt>
                <c:pt idx="2">
                  <c:v>7386.3340000000007</c:v>
                </c:pt>
                <c:pt idx="3">
                  <c:v>7386.3340000000007</c:v>
                </c:pt>
                <c:pt idx="4">
                  <c:v>7386.3340000000007</c:v>
                </c:pt>
                <c:pt idx="5">
                  <c:v>7386.3340000000007</c:v>
                </c:pt>
                <c:pt idx="6">
                  <c:v>7386.3340000000007</c:v>
                </c:pt>
                <c:pt idx="7">
                  <c:v>5186.3340000000007</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1-9FFD-44E0-80D4-02C0E22996EC}"/>
            </c:ext>
          </c:extLst>
        </c:ser>
        <c:dLbls>
          <c:showLegendKey val="0"/>
          <c:showVal val="0"/>
          <c:showCatName val="0"/>
          <c:showSerName val="0"/>
          <c:showPercent val="0"/>
          <c:showBubbleSize val="0"/>
        </c:dLbls>
        <c:gapWidth val="219"/>
        <c:overlap val="-27"/>
        <c:axId val="865068784"/>
        <c:axId val="865069144"/>
      </c:barChart>
      <c:catAx>
        <c:axId val="865068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069144"/>
        <c:crosses val="autoZero"/>
        <c:auto val="1"/>
        <c:lblAlgn val="ctr"/>
        <c:lblOffset val="100"/>
        <c:noMultiLvlLbl val="0"/>
      </c:catAx>
      <c:valAx>
        <c:axId val="865069144"/>
        <c:scaling>
          <c:orientation val="minMax"/>
        </c:scaling>
        <c:delete val="0"/>
        <c:axPos val="l"/>
        <c:majorGridlines>
          <c:spPr>
            <a:ln w="9525" cap="flat" cmpd="sng" algn="ctr">
              <a:solidFill>
                <a:schemeClr val="tx1">
                  <a:lumMod val="15000"/>
                  <a:lumOff val="85000"/>
                </a:schemeClr>
              </a:solidFill>
              <a:round/>
            </a:ln>
            <a:effectLst/>
          </c:spPr>
        </c:majorGridlines>
        <c:numFmt formatCode="_-[$€-2]\ * #,##0.00_-;\-[$€-2]\ * #,##0.0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068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Human operated vehicle lifetime</a:t>
            </a:r>
            <a:r>
              <a:rPr lang="en-CA" baseline="0"/>
              <a:t> cost share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(Outputs!$A$7,Outputs!$A$13:$A$14)</c:f>
              <c:strCache>
                <c:ptCount val="3"/>
                <c:pt idx="0">
                  <c:v>Human operated vehicle purchase cost</c:v>
                </c:pt>
                <c:pt idx="1">
                  <c:v>Cumulative annual vehicle operation cost</c:v>
                </c:pt>
                <c:pt idx="2">
                  <c:v>Human operated vehicle end of life cost</c:v>
                </c:pt>
              </c:strCache>
            </c:strRef>
          </c:cat>
          <c:val>
            <c:numRef>
              <c:f>(Outputs!$B$7,Outputs!$B$13:$B$14)</c:f>
              <c:numCache>
                <c:formatCode>_-[$€-2]\ * #,##0.00_-;\-[$€-2]\ * #,##0.00_-;_-[$€-2]\ * "-"??_-;_-@_-</c:formatCode>
                <c:ptCount val="3"/>
                <c:pt idx="0">
                  <c:v>74000</c:v>
                </c:pt>
                <c:pt idx="1">
                  <c:v>74876.634000000005</c:v>
                </c:pt>
                <c:pt idx="2">
                  <c:v>1800</c:v>
                </c:pt>
              </c:numCache>
            </c:numRef>
          </c:val>
          <c:extLst>
            <c:ext xmlns:c16="http://schemas.microsoft.com/office/drawing/2014/chart" uri="{C3380CC4-5D6E-409C-BE32-E72D297353CC}">
              <c16:uniqueId val="{00000000-1D89-4BEB-8573-1B14763D2B2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Autonomous ground</a:t>
            </a:r>
            <a:r>
              <a:rPr lang="en-CA" baseline="0"/>
              <a:t> </a:t>
            </a:r>
            <a:r>
              <a:rPr lang="en-CA"/>
              <a:t>vehicle lifetime</a:t>
            </a:r>
            <a:r>
              <a:rPr lang="en-CA" baseline="0"/>
              <a:t> cost share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DFE-4955-B7EF-34A0709E68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DFE-4955-B7EF-34A0709E68C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DFE-4955-B7EF-34A0709E68CD}"/>
              </c:ext>
            </c:extLst>
          </c:dPt>
          <c:cat>
            <c:strRef>
              <c:f>(Outputs!$A$21,Outputs!$A$29:$A$30)</c:f>
              <c:strCache>
                <c:ptCount val="3"/>
                <c:pt idx="0">
                  <c:v>Autonomous ground vehicle purchase cost</c:v>
                </c:pt>
                <c:pt idx="1">
                  <c:v>Cumulative annual autonomous vehicle operation cost</c:v>
                </c:pt>
                <c:pt idx="2">
                  <c:v>Autonomous ground vehicle end of life cost</c:v>
                </c:pt>
              </c:strCache>
            </c:strRef>
          </c:cat>
          <c:val>
            <c:numRef>
              <c:f>(Outputs!$B$21,Outputs!$B$29:$B$30)</c:f>
              <c:numCache>
                <c:formatCode>_-[$€-2]\ * #,##0.00_-;\-[$€-2]\ * #,##0.00_-;_-[$€-2]\ * "-"??_-;_-@_-</c:formatCode>
                <c:ptCount val="3"/>
                <c:pt idx="0">
                  <c:v>115000</c:v>
                </c:pt>
                <c:pt idx="1">
                  <c:v>23172.295999999998</c:v>
                </c:pt>
                <c:pt idx="2">
                  <c:v>4000</c:v>
                </c:pt>
              </c:numCache>
            </c:numRef>
          </c:val>
          <c:extLst>
            <c:ext xmlns:c16="http://schemas.microsoft.com/office/drawing/2014/chart" uri="{C3380CC4-5D6E-409C-BE32-E72D297353CC}">
              <c16:uniqueId val="{00000006-BDFE-4955-B7EF-34A0709E68CD}"/>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5.2151446735362601E-2"/>
          <c:y val="0.77591326550372397"/>
          <c:w val="0.88783856198122779"/>
          <c:h val="0.19969649840071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Disengagement per km</a:t>
            </a:r>
          </a:p>
        </c:rich>
      </c:tx>
      <c:overlay val="0"/>
      <c:spPr>
        <a:noFill/>
        <a:ln>
          <a:noFill/>
        </a:ln>
        <a:effectLst/>
      </c:spPr>
    </c:title>
    <c:autoTitleDeleted val="0"/>
    <c:plotArea>
      <c:layout/>
      <c:scatterChart>
        <c:scatterStyle val="lineMarker"/>
        <c:varyColors val="0"/>
        <c:ser>
          <c:idx val="1"/>
          <c:order val="0"/>
          <c:tx>
            <c:strRef>
              <c:f>TechMaturity!$I$1</c:f>
              <c:strCache>
                <c:ptCount val="1"/>
                <c:pt idx="0">
                  <c:v>disengagement per km</c:v>
                </c:pt>
              </c:strCache>
            </c:strRef>
          </c:tx>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TechMaturity!$I$2:$I$10</c:f>
              <c:numCache>
                <c:formatCode>0.0</c:formatCode>
                <c:ptCount val="9"/>
                <c:pt idx="0">
                  <c:v>2</c:v>
                </c:pt>
                <c:pt idx="1">
                  <c:v>1</c:v>
                </c:pt>
                <c:pt idx="2">
                  <c:v>0.25</c:v>
                </c:pt>
                <c:pt idx="3">
                  <c:v>0.1</c:v>
                </c:pt>
                <c:pt idx="4" formatCode="0.0000">
                  <c:v>6.6666666666666671E-3</c:v>
                </c:pt>
                <c:pt idx="5" formatCode="0.0000">
                  <c:v>3.3333333333333335E-3</c:v>
                </c:pt>
                <c:pt idx="6" formatCode="0.0000">
                  <c:v>1.6666666666666668E-3</c:v>
                </c:pt>
                <c:pt idx="7" formatCode="0.0000">
                  <c:v>1.1111111111111111E-3</c:v>
                </c:pt>
                <c:pt idx="8" formatCode="0.0000">
                  <c:v>8.3333333333333339E-4</c:v>
                </c:pt>
              </c:numCache>
            </c:numRef>
          </c:yVal>
          <c:smooth val="0"/>
          <c:extLst>
            <c:ext xmlns:c16="http://schemas.microsoft.com/office/drawing/2014/chart" uri="{C3380CC4-5D6E-409C-BE32-E72D297353CC}">
              <c16:uniqueId val="{00000005-C3AC-4F06-A5B4-ADD91AD596D7}"/>
            </c:ext>
          </c:extLst>
        </c:ser>
        <c:ser>
          <c:idx val="0"/>
          <c:order val="1"/>
          <c:tx>
            <c:strRef>
              <c:f>TechMaturity!$I$1</c:f>
              <c:strCache>
                <c:ptCount val="1"/>
                <c:pt idx="0">
                  <c:v>disengagement per km</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0253681195074532E-3"/>
                  <c:y val="-0.193088523314034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TechMaturity!$I$2:$I$10</c:f>
              <c:numCache>
                <c:formatCode>0.0</c:formatCode>
                <c:ptCount val="9"/>
                <c:pt idx="0">
                  <c:v>2</c:v>
                </c:pt>
                <c:pt idx="1">
                  <c:v>1</c:v>
                </c:pt>
                <c:pt idx="2">
                  <c:v>0.25</c:v>
                </c:pt>
                <c:pt idx="3">
                  <c:v>0.1</c:v>
                </c:pt>
                <c:pt idx="4" formatCode="0.0000">
                  <c:v>6.6666666666666671E-3</c:v>
                </c:pt>
                <c:pt idx="5" formatCode="0.0000">
                  <c:v>3.3333333333333335E-3</c:v>
                </c:pt>
                <c:pt idx="6" formatCode="0.0000">
                  <c:v>1.6666666666666668E-3</c:v>
                </c:pt>
                <c:pt idx="7" formatCode="0.0000">
                  <c:v>1.1111111111111111E-3</c:v>
                </c:pt>
                <c:pt idx="8" formatCode="0.0000">
                  <c:v>8.3333333333333339E-4</c:v>
                </c:pt>
              </c:numCache>
            </c:numRef>
          </c:yVal>
          <c:smooth val="0"/>
          <c:extLst>
            <c:ext xmlns:c16="http://schemas.microsoft.com/office/drawing/2014/chart" uri="{C3380CC4-5D6E-409C-BE32-E72D297353CC}">
              <c16:uniqueId val="{00000004-C3AC-4F06-A5B4-ADD91AD596D7}"/>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Disengagements/km (LOG scale)</a:t>
                </a:r>
              </a:p>
            </c:rich>
          </c:tx>
          <c:overlay val="0"/>
          <c:spPr>
            <a:noFill/>
            <a:ln>
              <a:noFill/>
            </a:ln>
            <a:effectLst/>
          </c:spPr>
        </c:title>
        <c:numFmt formatCode="0.0"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Minutes per Disengagement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TechMaturity!$J$1</c:f>
              <c:strCache>
                <c:ptCount val="1"/>
                <c:pt idx="0">
                  <c:v>min per disengagement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0253681195074532E-3"/>
                  <c:y val="-0.193088523314034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TechMaturity!$J$2:$J$10</c:f>
              <c:numCache>
                <c:formatCode>General</c:formatCode>
                <c:ptCount val="9"/>
                <c:pt idx="0">
                  <c:v>120</c:v>
                </c:pt>
                <c:pt idx="1">
                  <c:v>60</c:v>
                </c:pt>
                <c:pt idx="2">
                  <c:v>30</c:v>
                </c:pt>
                <c:pt idx="3">
                  <c:v>15</c:v>
                </c:pt>
                <c:pt idx="4">
                  <c:v>10</c:v>
                </c:pt>
                <c:pt idx="5">
                  <c:v>5</c:v>
                </c:pt>
                <c:pt idx="6">
                  <c:v>2</c:v>
                </c:pt>
                <c:pt idx="7">
                  <c:v>1</c:v>
                </c:pt>
                <c:pt idx="8">
                  <c:v>0.5</c:v>
                </c:pt>
              </c:numCache>
            </c:numRef>
          </c:yVal>
          <c:smooth val="0"/>
          <c:extLst>
            <c:ext xmlns:c16="http://schemas.microsoft.com/office/drawing/2014/chart" uri="{C3380CC4-5D6E-409C-BE32-E72D297353CC}">
              <c16:uniqueId val="{00000001-CB9A-4417-80F6-B50A17412530}"/>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min/Disengagement </a:t>
                </a:r>
                <a:r>
                  <a:rPr lang="en-CA" sz="800" b="0" i="0" u="none" strike="noStrike" kern="1200" baseline="0">
                    <a:solidFill>
                      <a:sysClr val="windowText" lastClr="000000">
                        <a:lumMod val="65000"/>
                        <a:lumOff val="35000"/>
                      </a:sysClr>
                    </a:solidFill>
                  </a:rPr>
                  <a:t>(LOG scale)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Max Speed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TechMaturity!$K$1</c:f>
              <c:strCache>
                <c:ptCount val="1"/>
                <c:pt idx="0">
                  <c:v>max_speed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159180405440194E-2"/>
                  <c:y val="1.520712164551118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TechMaturity!$K$2:$K$10</c:f>
              <c:numCache>
                <c:formatCode>General</c:formatCode>
                <c:ptCount val="9"/>
                <c:pt idx="0">
                  <c:v>1</c:v>
                </c:pt>
                <c:pt idx="1">
                  <c:v>2</c:v>
                </c:pt>
                <c:pt idx="2">
                  <c:v>4</c:v>
                </c:pt>
                <c:pt idx="3">
                  <c:v>8</c:v>
                </c:pt>
                <c:pt idx="4">
                  <c:v>10</c:v>
                </c:pt>
                <c:pt idx="5">
                  <c:v>16</c:v>
                </c:pt>
                <c:pt idx="6">
                  <c:v>32</c:v>
                </c:pt>
                <c:pt idx="7">
                  <c:v>48</c:v>
                </c:pt>
                <c:pt idx="8">
                  <c:v>64</c:v>
                </c:pt>
              </c:numCache>
            </c:numRef>
          </c:yVal>
          <c:smooth val="0"/>
          <c:extLst>
            <c:ext xmlns:c16="http://schemas.microsoft.com/office/drawing/2014/chart" uri="{C3380CC4-5D6E-409C-BE32-E72D297353CC}">
              <c16:uniqueId val="{00000001-AE7D-4093-82C3-3580A4C85609}"/>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max speed km/hr </a:t>
                </a:r>
                <a:r>
                  <a:rPr lang="en-CA" sz="800" b="0" i="0" u="none" strike="noStrike" kern="1200" baseline="0">
                    <a:solidFill>
                      <a:sysClr val="windowText" lastClr="000000">
                        <a:lumMod val="65000"/>
                        <a:lumOff val="35000"/>
                      </a:sysClr>
                    </a:solidFill>
                  </a:rPr>
                  <a:t>(LOG scale)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7</xdr:col>
      <xdr:colOff>85725</xdr:colOff>
      <xdr:row>0</xdr:row>
      <xdr:rowOff>71437</xdr:rowOff>
    </xdr:from>
    <xdr:to>
      <xdr:col>14</xdr:col>
      <xdr:colOff>390525</xdr:colOff>
      <xdr:row>14</xdr:row>
      <xdr:rowOff>19050</xdr:rowOff>
    </xdr:to>
    <xdr:graphicFrame macro="">
      <xdr:nvGraphicFramePr>
        <xdr:cNvPr id="2" name="Chart 1">
          <a:extLst>
            <a:ext uri="{FF2B5EF4-FFF2-40B4-BE49-F238E27FC236}">
              <a16:creationId xmlns:a16="http://schemas.microsoft.com/office/drawing/2014/main" id="{3663758A-0EC9-56A0-7C94-42F7D6F0F4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76200</xdr:colOff>
      <xdr:row>14</xdr:row>
      <xdr:rowOff>52386</xdr:rowOff>
    </xdr:from>
    <xdr:to>
      <xdr:col>14</xdr:col>
      <xdr:colOff>400050</xdr:colOff>
      <xdr:row>29</xdr:row>
      <xdr:rowOff>66675</xdr:rowOff>
    </xdr:to>
    <xdr:graphicFrame macro="">
      <xdr:nvGraphicFramePr>
        <xdr:cNvPr id="3" name="Chart 2">
          <a:extLst>
            <a:ext uri="{FF2B5EF4-FFF2-40B4-BE49-F238E27FC236}">
              <a16:creationId xmlns:a16="http://schemas.microsoft.com/office/drawing/2014/main" id="{7B8E0AB2-3DC2-D4BB-5DA2-57301BE499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590550</xdr:colOff>
      <xdr:row>0</xdr:row>
      <xdr:rowOff>0</xdr:rowOff>
    </xdr:from>
    <xdr:to>
      <xdr:col>22</xdr:col>
      <xdr:colOff>285750</xdr:colOff>
      <xdr:row>14</xdr:row>
      <xdr:rowOff>28575</xdr:rowOff>
    </xdr:to>
    <xdr:graphicFrame macro="">
      <xdr:nvGraphicFramePr>
        <xdr:cNvPr id="5" name="Chart 4">
          <a:extLst>
            <a:ext uri="{FF2B5EF4-FFF2-40B4-BE49-F238E27FC236}">
              <a16:creationId xmlns:a16="http://schemas.microsoft.com/office/drawing/2014/main" id="{DC188DD1-373D-CBF0-B568-96A9846646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561974</xdr:colOff>
      <xdr:row>14</xdr:row>
      <xdr:rowOff>47625</xdr:rowOff>
    </xdr:from>
    <xdr:to>
      <xdr:col>22</xdr:col>
      <xdr:colOff>257175</xdr:colOff>
      <xdr:row>29</xdr:row>
      <xdr:rowOff>161925</xdr:rowOff>
    </xdr:to>
    <xdr:graphicFrame macro="">
      <xdr:nvGraphicFramePr>
        <xdr:cNvPr id="6" name="Chart 5">
          <a:extLst>
            <a:ext uri="{FF2B5EF4-FFF2-40B4-BE49-F238E27FC236}">
              <a16:creationId xmlns:a16="http://schemas.microsoft.com/office/drawing/2014/main" id="{E66DB761-4EFF-4FD1-98FE-B3DE239F8E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242887</xdr:colOff>
      <xdr:row>0</xdr:row>
      <xdr:rowOff>357186</xdr:rowOff>
    </xdr:from>
    <xdr:to>
      <xdr:col>20</xdr:col>
      <xdr:colOff>466725</xdr:colOff>
      <xdr:row>7</xdr:row>
      <xdr:rowOff>266699</xdr:rowOff>
    </xdr:to>
    <xdr:graphicFrame macro="">
      <xdr:nvGraphicFramePr>
        <xdr:cNvPr id="2" name="Chart 1">
          <a:extLst>
            <a:ext uri="{FF2B5EF4-FFF2-40B4-BE49-F238E27FC236}">
              <a16:creationId xmlns:a16="http://schemas.microsoft.com/office/drawing/2014/main" id="{75FAEFB5-CF97-808B-044C-922CD0CA7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257175</xdr:colOff>
      <xdr:row>7</xdr:row>
      <xdr:rowOff>342900</xdr:rowOff>
    </xdr:from>
    <xdr:to>
      <xdr:col>20</xdr:col>
      <xdr:colOff>481013</xdr:colOff>
      <xdr:row>22</xdr:row>
      <xdr:rowOff>61913</xdr:rowOff>
    </xdr:to>
    <xdr:graphicFrame macro="">
      <xdr:nvGraphicFramePr>
        <xdr:cNvPr id="3" name="Chart 2">
          <a:extLst>
            <a:ext uri="{FF2B5EF4-FFF2-40B4-BE49-F238E27FC236}">
              <a16:creationId xmlns:a16="http://schemas.microsoft.com/office/drawing/2014/main" id="{BC8CE692-13CA-42A4-9C1C-51FECF99A3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19050</xdr:colOff>
      <xdr:row>0</xdr:row>
      <xdr:rowOff>304800</xdr:rowOff>
    </xdr:from>
    <xdr:to>
      <xdr:col>30</xdr:col>
      <xdr:colOff>242888</xdr:colOff>
      <xdr:row>7</xdr:row>
      <xdr:rowOff>214313</xdr:rowOff>
    </xdr:to>
    <xdr:graphicFrame macro="">
      <xdr:nvGraphicFramePr>
        <xdr:cNvPr id="4" name="Chart 3">
          <a:extLst>
            <a:ext uri="{FF2B5EF4-FFF2-40B4-BE49-F238E27FC236}">
              <a16:creationId xmlns:a16="http://schemas.microsoft.com/office/drawing/2014/main" id="{97F89DD2-480B-4C6A-A8F9-FA2A822A78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en.wikipedia.org/wiki/Technology_readiness_lev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54754-4F99-4FD9-969E-48E849408383}">
  <dimension ref="A1:B32"/>
  <sheetViews>
    <sheetView workbookViewId="0">
      <selection activeCell="B33" sqref="B33"/>
    </sheetView>
  </sheetViews>
  <sheetFormatPr defaultRowHeight="15" x14ac:dyDescent="0.25"/>
  <cols>
    <col min="1" max="1" width="22.7109375" customWidth="1"/>
    <col min="2" max="2" width="19.140625" customWidth="1"/>
  </cols>
  <sheetData>
    <row r="1" spans="1:2" x14ac:dyDescent="0.25">
      <c r="A1" s="2" t="s">
        <v>11</v>
      </c>
    </row>
    <row r="3" spans="1:2" x14ac:dyDescent="0.25">
      <c r="A3" t="s">
        <v>12</v>
      </c>
    </row>
    <row r="5" spans="1:2" x14ac:dyDescent="0.25">
      <c r="A5" t="s">
        <v>13</v>
      </c>
    </row>
    <row r="6" spans="1:2" x14ac:dyDescent="0.25">
      <c r="A6" t="s">
        <v>14</v>
      </c>
    </row>
    <row r="7" spans="1:2" x14ac:dyDescent="0.25">
      <c r="A7" t="s">
        <v>15</v>
      </c>
    </row>
    <row r="9" spans="1:2" x14ac:dyDescent="0.25">
      <c r="A9" s="2" t="s">
        <v>16</v>
      </c>
      <c r="B9" s="2" t="s">
        <v>18</v>
      </c>
    </row>
    <row r="10" spans="1:2" x14ac:dyDescent="0.25">
      <c r="A10" t="s">
        <v>17</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28</v>
      </c>
      <c r="B14" t="s">
        <v>26</v>
      </c>
    </row>
    <row r="15" spans="1:2" x14ac:dyDescent="0.25">
      <c r="A15" t="s">
        <v>29</v>
      </c>
      <c r="B15" t="s">
        <v>27</v>
      </c>
    </row>
    <row r="16" spans="1:2" x14ac:dyDescent="0.25">
      <c r="A16" t="s">
        <v>191</v>
      </c>
      <c r="B16" t="s">
        <v>190</v>
      </c>
    </row>
    <row r="18" spans="1:1" x14ac:dyDescent="0.25">
      <c r="A18" t="s">
        <v>30</v>
      </c>
    </row>
    <row r="20" spans="1:1" x14ac:dyDescent="0.25">
      <c r="A20" t="s">
        <v>33</v>
      </c>
    </row>
    <row r="21" spans="1:1" x14ac:dyDescent="0.25">
      <c r="A21" t="s">
        <v>34</v>
      </c>
    </row>
    <row r="23" spans="1:1" x14ac:dyDescent="0.25">
      <c r="A23" t="s">
        <v>31</v>
      </c>
    </row>
    <row r="25" spans="1:1" x14ac:dyDescent="0.25">
      <c r="A25" t="s">
        <v>32</v>
      </c>
    </row>
    <row r="28" spans="1:1" x14ac:dyDescent="0.25">
      <c r="A28" t="s">
        <v>189</v>
      </c>
    </row>
    <row r="29" spans="1:1" x14ac:dyDescent="0.25">
      <c r="A29" t="s">
        <v>129</v>
      </c>
    </row>
    <row r="30" spans="1:1" x14ac:dyDescent="0.25">
      <c r="A30" t="s">
        <v>130</v>
      </c>
    </row>
    <row r="31" spans="1:1" x14ac:dyDescent="0.25">
      <c r="A31" t="s">
        <v>188</v>
      </c>
    </row>
    <row r="32" spans="1:1" x14ac:dyDescent="0.25">
      <c r="A32" t="s">
        <v>192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220BA-D6B8-4BF3-9DEF-B47EF2B32EFA}">
  <dimension ref="A1:A11"/>
  <sheetViews>
    <sheetView workbookViewId="0">
      <selection activeCell="F44" sqref="F44"/>
    </sheetView>
  </sheetViews>
  <sheetFormatPr defaultRowHeight="15" x14ac:dyDescent="0.25"/>
  <sheetData>
    <row r="1" spans="1:1" x14ac:dyDescent="0.25">
      <c r="A1" t="s">
        <v>5</v>
      </c>
    </row>
    <row r="3" spans="1:1" x14ac:dyDescent="0.25">
      <c r="A3" t="s">
        <v>0</v>
      </c>
    </row>
    <row r="5" spans="1:1" x14ac:dyDescent="0.25">
      <c r="A5" t="s">
        <v>1</v>
      </c>
    </row>
    <row r="7" spans="1:1" x14ac:dyDescent="0.25">
      <c r="A7" t="s">
        <v>2</v>
      </c>
    </row>
    <row r="9" spans="1:1" x14ac:dyDescent="0.25">
      <c r="A9" t="s">
        <v>3</v>
      </c>
    </row>
    <row r="11" spans="1:1" x14ac:dyDescent="0.25">
      <c r="A11"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2DBDA-DE44-4252-90B2-55A50E3DF62B}">
  <dimension ref="A1:E25"/>
  <sheetViews>
    <sheetView workbookViewId="0">
      <selection activeCell="B6" sqref="B6"/>
    </sheetView>
  </sheetViews>
  <sheetFormatPr defaultRowHeight="15" x14ac:dyDescent="0.25"/>
  <cols>
    <col min="2" max="2" width="13.42578125" bestFit="1" customWidth="1"/>
    <col min="3" max="3" width="13.42578125" customWidth="1"/>
    <col min="4" max="4" width="14.85546875" customWidth="1"/>
    <col min="5" max="5" width="84.42578125" bestFit="1" customWidth="1"/>
  </cols>
  <sheetData>
    <row r="1" spans="1:5" x14ac:dyDescent="0.25">
      <c r="A1" s="1" t="s">
        <v>6</v>
      </c>
      <c r="B1" s="1" t="s">
        <v>35</v>
      </c>
      <c r="C1" s="1" t="s">
        <v>36</v>
      </c>
      <c r="D1" s="1" t="s">
        <v>7</v>
      </c>
      <c r="E1" s="1" t="s">
        <v>9</v>
      </c>
    </row>
    <row r="2" spans="1:5" x14ac:dyDescent="0.25">
      <c r="A2" s="12" t="s">
        <v>203</v>
      </c>
      <c r="B2" s="1" t="s">
        <v>8</v>
      </c>
      <c r="C2" t="s">
        <v>37</v>
      </c>
      <c r="D2" t="s">
        <v>17</v>
      </c>
      <c r="E2" s="1" t="s">
        <v>10</v>
      </c>
    </row>
    <row r="3" spans="1:5" x14ac:dyDescent="0.25">
      <c r="A3" s="1" t="s">
        <v>202</v>
      </c>
      <c r="B3" s="1" t="s">
        <v>117</v>
      </c>
      <c r="C3" s="1" t="s">
        <v>118</v>
      </c>
      <c r="D3" t="s">
        <v>17</v>
      </c>
      <c r="E3" s="1" t="s">
        <v>119</v>
      </c>
    </row>
    <row r="4" spans="1:5" x14ac:dyDescent="0.25">
      <c r="A4" s="1" t="s">
        <v>201</v>
      </c>
      <c r="B4" s="1" t="s">
        <v>122</v>
      </c>
      <c r="C4" s="1" t="s">
        <v>120</v>
      </c>
      <c r="D4" s="1" t="s">
        <v>17</v>
      </c>
      <c r="E4" s="1" t="s">
        <v>121</v>
      </c>
    </row>
    <row r="5" spans="1:5" x14ac:dyDescent="0.25">
      <c r="A5" s="1" t="s">
        <v>204</v>
      </c>
      <c r="B5" s="1" t="s">
        <v>205</v>
      </c>
      <c r="C5" s="1" t="s">
        <v>206</v>
      </c>
      <c r="D5" s="1" t="s">
        <v>191</v>
      </c>
      <c r="E5" s="1" t="s">
        <v>200</v>
      </c>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8CA9B-8483-4F01-824C-AFC919087770}">
  <dimension ref="A1:C41"/>
  <sheetViews>
    <sheetView topLeftCell="A24" workbookViewId="0">
      <selection activeCell="B21" sqref="B21"/>
    </sheetView>
  </sheetViews>
  <sheetFormatPr defaultRowHeight="15" x14ac:dyDescent="0.25"/>
  <cols>
    <col min="1" max="1" width="38.42578125" bestFit="1" customWidth="1"/>
    <col min="2" max="2" width="7" bestFit="1"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5</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3</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F5C8A-23BE-4ED9-94E4-6FBCDB50D668}">
  <dimension ref="A1:C41"/>
  <sheetViews>
    <sheetView workbookViewId="0">
      <selection activeCell="B30" sqref="B30"/>
    </sheetView>
  </sheetViews>
  <sheetFormatPr defaultRowHeight="15" x14ac:dyDescent="0.25"/>
  <cols>
    <col min="1" max="1" width="38.42578125" bestFit="1" customWidth="1"/>
    <col min="2" max="2" width="10.5703125"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5</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s="11">
        <f>115000*0.75</f>
        <v>86250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3</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98D05-84DC-439B-8D0F-471860EEB1C2}">
  <dimension ref="A1:C41"/>
  <sheetViews>
    <sheetView workbookViewId="0">
      <selection activeCell="B25" sqref="B25"/>
    </sheetView>
  </sheetViews>
  <sheetFormatPr defaultRowHeight="15" x14ac:dyDescent="0.25"/>
  <cols>
    <col min="1" max="1" width="38.42578125" bestFit="1" customWidth="1"/>
    <col min="2" max="2" width="10.5703125"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5</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s="11">
        <f>12*0.25</f>
        <v>3</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f>115000</f>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3</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8A5B1-C94B-40F6-B37D-6D55F3EDC6C6}">
  <dimension ref="A1:C41"/>
  <sheetViews>
    <sheetView workbookViewId="0">
      <selection activeCell="B27" sqref="B27"/>
    </sheetView>
  </sheetViews>
  <sheetFormatPr defaultRowHeight="15" x14ac:dyDescent="0.25"/>
  <cols>
    <col min="1" max="1" width="38.42578125" bestFit="1" customWidth="1"/>
    <col min="2" max="2" width="7" bestFit="1"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5</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3</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FE16-9466-4B3B-9B84-9ACED9823E1B}">
  <dimension ref="A1:J41"/>
  <sheetViews>
    <sheetView workbookViewId="0">
      <selection activeCell="F1" sqref="F1"/>
    </sheetView>
  </sheetViews>
  <sheetFormatPr defaultRowHeight="15" x14ac:dyDescent="0.25"/>
  <cols>
    <col min="1" max="1" width="38.42578125" bestFit="1" customWidth="1"/>
    <col min="6" max="6" width="18" customWidth="1"/>
    <col min="8" max="8" width="27.42578125" bestFit="1" customWidth="1"/>
  </cols>
  <sheetData>
    <row r="1" spans="1:10" ht="18.75" x14ac:dyDescent="0.3">
      <c r="A1" s="9" t="s">
        <v>146</v>
      </c>
      <c r="E1" t="s">
        <v>128</v>
      </c>
      <c r="F1" s="11" t="s">
        <v>129</v>
      </c>
      <c r="H1" s="9" t="s">
        <v>193</v>
      </c>
    </row>
    <row r="2" spans="1:10" x14ac:dyDescent="0.25">
      <c r="A2" s="2" t="s">
        <v>124</v>
      </c>
      <c r="B2" s="2" t="s">
        <v>123</v>
      </c>
      <c r="C2" s="2" t="s">
        <v>125</v>
      </c>
      <c r="H2" s="2" t="s">
        <v>124</v>
      </c>
      <c r="I2" s="2" t="s">
        <v>123</v>
      </c>
      <c r="J2" s="2" t="s">
        <v>125</v>
      </c>
    </row>
    <row r="3" spans="1:10" x14ac:dyDescent="0.25">
      <c r="A3" t="s">
        <v>126</v>
      </c>
      <c r="B3" s="8" cm="1">
        <f t="array" aca="1" ref="B3" ca="1">INDIRECT("'"&amp;$F$1&amp;"'!B3")</f>
        <v>0.05</v>
      </c>
      <c r="C3" t="s">
        <v>127</v>
      </c>
      <c r="H3" t="s">
        <v>194</v>
      </c>
      <c r="I3">
        <f ca="1">_xlfn.CEILING.MATH(B16/B26)</f>
        <v>5</v>
      </c>
      <c r="J3" t="s">
        <v>198</v>
      </c>
    </row>
    <row r="4" spans="1:10" x14ac:dyDescent="0.25">
      <c r="A4" t="s">
        <v>131</v>
      </c>
      <c r="B4" s="10" cm="1">
        <f t="array" aca="1" ref="B4" ca="1">INDIRECT("'"&amp;$F$1&amp;"'!B4")</f>
        <v>0.23</v>
      </c>
      <c r="C4" t="s">
        <v>132</v>
      </c>
      <c r="H4" t="s">
        <v>195</v>
      </c>
      <c r="I4">
        <f ca="1">B15*I3</f>
        <v>10</v>
      </c>
      <c r="J4" t="s">
        <v>148</v>
      </c>
    </row>
    <row r="5" spans="1:10" x14ac:dyDescent="0.25">
      <c r="A5" t="s">
        <v>133</v>
      </c>
      <c r="B5" s="10" cm="1">
        <f t="array" aca="1" ref="B5" ca="1">INDIRECT("'"&amp;$F$1&amp;"'!B5")</f>
        <v>1.79</v>
      </c>
      <c r="C5" t="s">
        <v>134</v>
      </c>
      <c r="H5" t="s">
        <v>196</v>
      </c>
      <c r="I5" s="13">
        <f ca="1">I4/B25</f>
        <v>0.83333333333333337</v>
      </c>
      <c r="J5" t="s">
        <v>199</v>
      </c>
    </row>
    <row r="6" spans="1:10" x14ac:dyDescent="0.25">
      <c r="A6" t="s">
        <v>135</v>
      </c>
      <c r="B6" s="10" cm="1">
        <f t="array" aca="1" ref="B6" ca="1">INDIRECT("'"&amp;$F$1&amp;"'!B6")</f>
        <v>9.6</v>
      </c>
      <c r="C6" t="s">
        <v>136</v>
      </c>
      <c r="H6" t="s">
        <v>197</v>
      </c>
      <c r="I6">
        <f ca="1">_xlfn.CEILING.MATH(I5/B27)</f>
        <v>1</v>
      </c>
    </row>
    <row r="7" spans="1:10" x14ac:dyDescent="0.25">
      <c r="A7" t="s">
        <v>137</v>
      </c>
      <c r="B7" s="10" cm="1">
        <f t="array" aca="1" ref="B7" ca="1">INDIRECT("'"&amp;$F$1&amp;"'!B7")</f>
        <v>0.7</v>
      </c>
      <c r="C7" t="s">
        <v>138</v>
      </c>
    </row>
    <row r="8" spans="1:10" x14ac:dyDescent="0.25">
      <c r="A8" t="s">
        <v>139</v>
      </c>
      <c r="B8" s="10" cm="1">
        <f t="array" aca="1" ref="B8" ca="1">INDIRECT("'"&amp;$F$1&amp;"'!B8")</f>
        <v>7</v>
      </c>
      <c r="C8" t="s">
        <v>140</v>
      </c>
    </row>
    <row r="9" spans="1:10" x14ac:dyDescent="0.25">
      <c r="A9" t="s">
        <v>141</v>
      </c>
      <c r="B9" s="10" cm="1">
        <f t="array" aca="1" ref="B9" ca="1">INDIRECT("'"&amp;$F$1&amp;"'!B9")</f>
        <v>5</v>
      </c>
      <c r="C9" t="s">
        <v>142</v>
      </c>
    </row>
    <row r="10" spans="1:10" x14ac:dyDescent="0.25">
      <c r="A10" t="s">
        <v>143</v>
      </c>
      <c r="B10" s="10" cm="1">
        <f t="array" aca="1" ref="B10" ca="1">INDIRECT("'"&amp;$F$1&amp;"'!B10")</f>
        <v>0.7</v>
      </c>
      <c r="C10" t="s">
        <v>127</v>
      </c>
    </row>
    <row r="11" spans="1:10" x14ac:dyDescent="0.25">
      <c r="A11" t="s">
        <v>144</v>
      </c>
      <c r="B11" s="10" cm="1">
        <f t="array" aca="1" ref="B11" ca="1">INDIRECT("'"&amp;$F$1&amp;"'!B11")</f>
        <v>0.8</v>
      </c>
      <c r="C11" t="s">
        <v>127</v>
      </c>
    </row>
    <row r="12" spans="1:10" x14ac:dyDescent="0.25">
      <c r="A12" t="s">
        <v>145</v>
      </c>
      <c r="B12" s="10" cm="1">
        <f t="array" aca="1" ref="B12" ca="1">INDIRECT("'"&amp;$F$1&amp;"'!B12")</f>
        <v>0.6</v>
      </c>
      <c r="C12" t="s">
        <v>127</v>
      </c>
    </row>
    <row r="13" spans="1:10" ht="18.75" x14ac:dyDescent="0.3">
      <c r="A13" s="9" t="s">
        <v>152</v>
      </c>
      <c r="B13" s="10"/>
    </row>
    <row r="14" spans="1:10" x14ac:dyDescent="0.25">
      <c r="A14" s="2" t="s">
        <v>124</v>
      </c>
      <c r="B14" s="10"/>
      <c r="C14" s="2" t="s">
        <v>125</v>
      </c>
    </row>
    <row r="15" spans="1:10" x14ac:dyDescent="0.25">
      <c r="A15" t="s">
        <v>147</v>
      </c>
      <c r="B15" s="10" cm="1">
        <f t="array" aca="1" ref="B15" ca="1">INDIRECT("'"&amp;$F$1&amp;"'!B15")</f>
        <v>2</v>
      </c>
      <c r="C15" t="s">
        <v>148</v>
      </c>
    </row>
    <row r="16" spans="1:10" x14ac:dyDescent="0.25">
      <c r="A16" t="s">
        <v>149</v>
      </c>
      <c r="B16" s="10" cm="1">
        <f t="array" aca="1" ref="B16" ca="1">INDIRECT("'"&amp;$F$1&amp;"'!B16")</f>
        <v>200</v>
      </c>
      <c r="C16" t="s">
        <v>142</v>
      </c>
    </row>
    <row r="17" spans="1:3" x14ac:dyDescent="0.25">
      <c r="A17" t="s">
        <v>150</v>
      </c>
      <c r="B17" s="10" cm="1">
        <f t="array" aca="1" ref="B17" ca="1">INDIRECT("'"&amp;$F$1&amp;"'!B17")</f>
        <v>212</v>
      </c>
      <c r="C17" t="s">
        <v>151</v>
      </c>
    </row>
    <row r="18" spans="1:3" ht="18.75" x14ac:dyDescent="0.3">
      <c r="A18" s="9" t="s">
        <v>154</v>
      </c>
      <c r="B18" s="10"/>
    </row>
    <row r="19" spans="1:3" x14ac:dyDescent="0.25">
      <c r="A19" s="2" t="s">
        <v>124</v>
      </c>
      <c r="B19" s="10"/>
      <c r="C19" s="2" t="s">
        <v>125</v>
      </c>
    </row>
    <row r="20" spans="1:3" x14ac:dyDescent="0.25">
      <c r="A20" t="s">
        <v>163</v>
      </c>
      <c r="B20" s="10" cm="1">
        <f t="array" aca="1" ref="B20" ca="1">INDIRECT("'"&amp;$F$1&amp;"'!B20")</f>
        <v>74000</v>
      </c>
      <c r="C20" t="s">
        <v>164</v>
      </c>
    </row>
    <row r="21" spans="1:3" x14ac:dyDescent="0.25">
      <c r="A21" t="s">
        <v>155</v>
      </c>
      <c r="B21" s="10" cm="1">
        <f t="array" aca="1" ref="B21" ca="1">INDIRECT("'"&amp;$F$1&amp;"'!B21")</f>
        <v>6.5</v>
      </c>
      <c r="C21" t="s">
        <v>165</v>
      </c>
    </row>
    <row r="22" spans="1:3" x14ac:dyDescent="0.25">
      <c r="A22" t="s">
        <v>156</v>
      </c>
      <c r="B22" s="10" cm="1">
        <f t="array" aca="1" ref="B22" ca="1">INDIRECT("'"&amp;$F$1&amp;"'!B22")</f>
        <v>51</v>
      </c>
      <c r="C22" t="s">
        <v>166</v>
      </c>
    </row>
    <row r="23" spans="1:3" x14ac:dyDescent="0.25">
      <c r="A23" t="s">
        <v>157</v>
      </c>
      <c r="B23" s="10" cm="1">
        <f t="array" aca="1" ref="B23" ca="1">INDIRECT("'"&amp;$F$1&amp;"'!B23")</f>
        <v>120</v>
      </c>
      <c r="C23" t="s">
        <v>180</v>
      </c>
    </row>
    <row r="24" spans="1:3" x14ac:dyDescent="0.25">
      <c r="A24" t="s">
        <v>158</v>
      </c>
      <c r="B24" s="10" cm="1">
        <f t="array" aca="1" ref="B24" ca="1">INDIRECT("'"&amp;$F$1&amp;"'!B24")</f>
        <v>1800</v>
      </c>
      <c r="C24" t="s">
        <v>164</v>
      </c>
    </row>
    <row r="25" spans="1:3" x14ac:dyDescent="0.25">
      <c r="A25" t="s">
        <v>159</v>
      </c>
      <c r="B25" s="10" cm="1">
        <f t="array" aca="1" ref="B25" ca="1">INDIRECT("'"&amp;$F$1&amp;"'!B25")</f>
        <v>12</v>
      </c>
      <c r="C25" t="s">
        <v>167</v>
      </c>
    </row>
    <row r="26" spans="1:3" x14ac:dyDescent="0.25">
      <c r="A26" t="s">
        <v>160</v>
      </c>
      <c r="B26" s="10" cm="1">
        <f t="array" aca="1" ref="B26" ca="1">INDIRECT("'"&amp;$F$1&amp;"'!B26")</f>
        <v>40</v>
      </c>
      <c r="C26" t="s">
        <v>142</v>
      </c>
    </row>
    <row r="27" spans="1:3" x14ac:dyDescent="0.25">
      <c r="A27" t="s">
        <v>161</v>
      </c>
      <c r="B27" s="10" cm="1">
        <f t="array" aca="1" ref="B27" ca="1">INDIRECT("'"&amp;$F$1&amp;"'!B27")</f>
        <v>8</v>
      </c>
      <c r="C27" t="s">
        <v>168</v>
      </c>
    </row>
    <row r="28" spans="1:3" ht="18.75" x14ac:dyDescent="0.3">
      <c r="A28" s="9" t="s">
        <v>153</v>
      </c>
      <c r="B28" s="10"/>
    </row>
    <row r="29" spans="1:3" x14ac:dyDescent="0.25">
      <c r="A29" s="2" t="s">
        <v>124</v>
      </c>
      <c r="B29" s="10"/>
      <c r="C29" s="2" t="s">
        <v>125</v>
      </c>
    </row>
    <row r="30" spans="1:3" x14ac:dyDescent="0.25">
      <c r="A30" t="s">
        <v>162</v>
      </c>
      <c r="B30" s="10" cm="1">
        <f t="array" aca="1" ref="B30" ca="1">INDIRECT("'"&amp;$F$1&amp;"'!B30")</f>
        <v>115000</v>
      </c>
      <c r="C30" t="s">
        <v>164</v>
      </c>
    </row>
    <row r="31" spans="1:3" x14ac:dyDescent="0.25">
      <c r="A31" t="s">
        <v>169</v>
      </c>
      <c r="B31" s="10" cm="1">
        <f t="array" aca="1" ref="B31" ca="1">INDIRECT("'"&amp;$F$1&amp;"'!B31")</f>
        <v>0</v>
      </c>
      <c r="C31" t="s">
        <v>181</v>
      </c>
    </row>
    <row r="32" spans="1:3" x14ac:dyDescent="0.25">
      <c r="A32" t="s">
        <v>170</v>
      </c>
      <c r="B32" s="10" cm="1">
        <f t="array" aca="1" ref="B32" ca="1">INDIRECT("'"&amp;$F$1&amp;"'!B32")</f>
        <v>200</v>
      </c>
      <c r="C32" t="s">
        <v>182</v>
      </c>
    </row>
    <row r="33" spans="1:3" x14ac:dyDescent="0.25">
      <c r="A33" t="s">
        <v>171</v>
      </c>
      <c r="B33" s="10" cm="1">
        <f t="array" aca="1" ref="B33" ca="1">INDIRECT("'"&amp;$F$1&amp;"'!B33")</f>
        <v>4000</v>
      </c>
      <c r="C33" t="s">
        <v>164</v>
      </c>
    </row>
    <row r="34" spans="1:3" x14ac:dyDescent="0.25">
      <c r="A34" t="s">
        <v>172</v>
      </c>
      <c r="B34" s="10" cm="1">
        <f t="array" aca="1" ref="B34" ca="1">INDIRECT("'"&amp;$F$1&amp;"'!B34")</f>
        <v>3</v>
      </c>
      <c r="C34" t="s">
        <v>167</v>
      </c>
    </row>
    <row r="35" spans="1:3" x14ac:dyDescent="0.25">
      <c r="A35" t="s">
        <v>173</v>
      </c>
      <c r="B35" s="10" cm="1">
        <f t="array" aca="1" ref="B35" ca="1">INDIRECT("'"&amp;$F$1&amp;"'!B35")</f>
        <v>3</v>
      </c>
      <c r="C35" t="s">
        <v>183</v>
      </c>
    </row>
    <row r="36" spans="1:3" x14ac:dyDescent="0.25">
      <c r="A36" t="s">
        <v>174</v>
      </c>
      <c r="B36" s="10" cm="1">
        <f t="array" aca="1" ref="B36" ca="1">INDIRECT("'"&amp;$F$1&amp;"'!B36")</f>
        <v>0.01</v>
      </c>
      <c r="C36" t="s">
        <v>184</v>
      </c>
    </row>
    <row r="37" spans="1:3" x14ac:dyDescent="0.25">
      <c r="A37" t="s">
        <v>175</v>
      </c>
      <c r="B37" s="10" cm="1">
        <f t="array" aca="1" ref="B37" ca="1">INDIRECT("'"&amp;$F$1&amp;"'!B37")</f>
        <v>5</v>
      </c>
      <c r="C37" t="s">
        <v>185</v>
      </c>
    </row>
    <row r="38" spans="1:3" x14ac:dyDescent="0.25">
      <c r="A38" t="s">
        <v>176</v>
      </c>
      <c r="B38" s="10" cm="1">
        <f t="array" aca="1" ref="B38" ca="1">INDIRECT("'"&amp;$F$1&amp;"'!B38")</f>
        <v>20</v>
      </c>
      <c r="C38" t="s">
        <v>142</v>
      </c>
    </row>
    <row r="39" spans="1:3" x14ac:dyDescent="0.25">
      <c r="A39" t="s">
        <v>177</v>
      </c>
      <c r="B39" s="10" cm="1">
        <f t="array" aca="1" ref="B39" ca="1">INDIRECT("'"&amp;$F$1&amp;"'!B39")</f>
        <v>0.14000000000000001</v>
      </c>
      <c r="C39" t="s">
        <v>186</v>
      </c>
    </row>
    <row r="40" spans="1:3" x14ac:dyDescent="0.25">
      <c r="A40" t="s">
        <v>178</v>
      </c>
      <c r="B40" s="10" cm="1">
        <f t="array" aca="1" ref="B40" ca="1">INDIRECT("'"&amp;$F$1&amp;"'!B40")</f>
        <v>24</v>
      </c>
      <c r="C40" t="s">
        <v>168</v>
      </c>
    </row>
    <row r="41" spans="1:3" x14ac:dyDescent="0.25">
      <c r="A41" t="s">
        <v>179</v>
      </c>
      <c r="B41" s="10" cm="1">
        <f t="array" aca="1" ref="B41" ca="1">INDIRECT("'"&amp;$F$1&amp;"'!B41")</f>
        <v>4</v>
      </c>
      <c r="C41" t="s">
        <v>187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errorTitle="Invalid Entry!" error="Please select a set of assumptions from the list." promptTitle="Model Assumptions" prompt="Please select the set of assumptions used to drive the model calculations." xr:uid="{BAF9B6BA-86A9-46E3-9D18-20938E2A164D}">
          <x14:formula1>
            <xm:f>Overview!$A$29:$A$32</xm:f>
          </x14:formula1>
          <xm:sqref>F1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1CD35-E3FB-4076-863C-CDE02BDE2C9B}">
  <dimension ref="A1:G44"/>
  <sheetViews>
    <sheetView tabSelected="1" workbookViewId="0">
      <selection activeCell="I38" sqref="I38"/>
    </sheetView>
  </sheetViews>
  <sheetFormatPr defaultRowHeight="15" x14ac:dyDescent="0.25"/>
  <cols>
    <col min="1" max="1" width="50.140625" customWidth="1"/>
    <col min="2" max="2" width="13.140625" bestFit="1" customWidth="1"/>
    <col min="7" max="7" width="12" bestFit="1" customWidth="1"/>
  </cols>
  <sheetData>
    <row r="1" spans="1:7" ht="18.75" x14ac:dyDescent="0.3">
      <c r="A1" s="9" t="s">
        <v>209</v>
      </c>
      <c r="F1" s="9" t="s">
        <v>248</v>
      </c>
    </row>
    <row r="2" spans="1:7" x14ac:dyDescent="0.25">
      <c r="A2" s="2" t="s">
        <v>224</v>
      </c>
      <c r="F2" t="s">
        <v>249</v>
      </c>
      <c r="G2" t="s">
        <v>250</v>
      </c>
    </row>
    <row r="3" spans="1:7" x14ac:dyDescent="0.25">
      <c r="A3" t="s">
        <v>208</v>
      </c>
      <c r="B3">
        <f ca="1">_xlfn.CEILING.MATH(Model!B16/Model!B26)</f>
        <v>5</v>
      </c>
      <c r="C3" t="s">
        <v>210</v>
      </c>
      <c r="F3">
        <v>0</v>
      </c>
      <c r="G3" s="15">
        <f ca="1">B32</f>
        <v>-41000</v>
      </c>
    </row>
    <row r="4" spans="1:7" x14ac:dyDescent="0.25">
      <c r="A4" t="s">
        <v>211</v>
      </c>
      <c r="B4">
        <f ca="1">B3*Model!B15</f>
        <v>10</v>
      </c>
      <c r="C4" t="s">
        <v>212</v>
      </c>
      <c r="F4">
        <v>1</v>
      </c>
      <c r="G4">
        <f ca="1">IF(F4=Model!$B$8,$B$34+$B$33,IF(F4&lt;=Model!$B$8-1,Outputs!$B$33,0))</f>
        <v>7386.3340000000007</v>
      </c>
    </row>
    <row r="5" spans="1:7" x14ac:dyDescent="0.25">
      <c r="A5" t="s">
        <v>213</v>
      </c>
      <c r="B5" s="14">
        <f ca="1">B4/Model!B25</f>
        <v>0.83333333333333337</v>
      </c>
      <c r="C5" t="s">
        <v>199</v>
      </c>
      <c r="F5">
        <v>2</v>
      </c>
      <c r="G5">
        <f ca="1">IF(F5=Model!$B$8,$B$34+$B$33,IF(F5&lt;=Model!$B$8-1,Outputs!$B$33,0))</f>
        <v>7386.3340000000007</v>
      </c>
    </row>
    <row r="6" spans="1:7" x14ac:dyDescent="0.25">
      <c r="A6" t="s">
        <v>230</v>
      </c>
      <c r="B6" s="2">
        <f ca="1">_xlfn.CEILING.MATH(B5/Model!B27)</f>
        <v>1</v>
      </c>
      <c r="C6" s="2" t="s">
        <v>214</v>
      </c>
      <c r="F6">
        <v>3</v>
      </c>
      <c r="G6">
        <f ca="1">IF(F6=Model!$B$8,$B$34+$B$33,IF(F6&lt;=Model!$B$8-1,Outputs!$B$33,0))</f>
        <v>7386.3340000000007</v>
      </c>
    </row>
    <row r="7" spans="1:7" x14ac:dyDescent="0.25">
      <c r="A7" t="s">
        <v>222</v>
      </c>
      <c r="B7" s="15">
        <f ca="1">Model!B20*Outputs!B6</f>
        <v>74000</v>
      </c>
      <c r="C7" t="s">
        <v>223</v>
      </c>
      <c r="F7">
        <v>4</v>
      </c>
      <c r="G7">
        <f ca="1">IF(F7=Model!$B$8,$B$34+$B$33,IF(F7&lt;=Model!$B$8-1,Outputs!$B$33,0))</f>
        <v>7386.3340000000007</v>
      </c>
    </row>
    <row r="8" spans="1:7" x14ac:dyDescent="0.25">
      <c r="A8" t="s">
        <v>215</v>
      </c>
      <c r="B8" s="15">
        <f ca="1">Model!B21/100*Model!B5*Model!B17*Outputs!B4</f>
        <v>246.66200000000003</v>
      </c>
      <c r="C8" t="s">
        <v>217</v>
      </c>
      <c r="F8">
        <v>5</v>
      </c>
      <c r="G8">
        <f ca="1">IF(F8=Model!$B$8,$B$34+$B$33,IF(F8&lt;=Model!$B$8-1,Outputs!$B$33,0))</f>
        <v>7386.3340000000007</v>
      </c>
    </row>
    <row r="9" spans="1:7" x14ac:dyDescent="0.25">
      <c r="A9" t="s">
        <v>216</v>
      </c>
      <c r="B9" s="15">
        <f ca="1">B5*Model!B22*Model!B17</f>
        <v>9010</v>
      </c>
      <c r="C9" t="s">
        <v>217</v>
      </c>
      <c r="F9">
        <v>6</v>
      </c>
      <c r="G9">
        <f ca="1">IF(F9=Model!$B$8,$B$34+$B$33,IF(F9&lt;=Model!$B$8-1,Outputs!$B$33,0))</f>
        <v>7386.3340000000007</v>
      </c>
    </row>
    <row r="10" spans="1:7" x14ac:dyDescent="0.25">
      <c r="A10" t="s">
        <v>218</v>
      </c>
      <c r="B10" s="15">
        <f ca="1">(B9+B8)</f>
        <v>9256.6620000000003</v>
      </c>
      <c r="C10" t="s">
        <v>217</v>
      </c>
      <c r="F10">
        <v>7</v>
      </c>
      <c r="G10">
        <f ca="1">IF(F10=Model!$B$8,$B$34+$B$33,IF(F10&lt;=Model!$B$8-1,Outputs!$B$33,0))</f>
        <v>5186.3340000000007</v>
      </c>
    </row>
    <row r="11" spans="1:7" x14ac:dyDescent="0.25">
      <c r="A11" t="s">
        <v>219</v>
      </c>
      <c r="B11" s="15">
        <f ca="1">12*Model!B23*B6</f>
        <v>1440</v>
      </c>
      <c r="C11" t="s">
        <v>217</v>
      </c>
      <c r="F11">
        <v>8</v>
      </c>
      <c r="G11">
        <f ca="1">IF(F11=Model!$B$8,$B$34+$B$33,IF(F11&lt;=Model!$B$8-1,Outputs!$B$33,0))</f>
        <v>0</v>
      </c>
    </row>
    <row r="12" spans="1:7" x14ac:dyDescent="0.25">
      <c r="A12" t="s">
        <v>220</v>
      </c>
      <c r="B12" s="15">
        <f ca="1">B11+B10</f>
        <v>10696.662</v>
      </c>
      <c r="C12" t="s">
        <v>217</v>
      </c>
      <c r="F12">
        <v>9</v>
      </c>
      <c r="G12">
        <f ca="1">IF(F12=Model!$B$8,$B$34+$B$33,IF(F12&lt;=Model!$B$8-1,Outputs!$B$33,0))</f>
        <v>0</v>
      </c>
    </row>
    <row r="13" spans="1:7" x14ac:dyDescent="0.25">
      <c r="A13" t="s">
        <v>256</v>
      </c>
      <c r="B13" s="15">
        <f ca="1">B12*Model!B8</f>
        <v>74876.634000000005</v>
      </c>
      <c r="C13" t="s">
        <v>164</v>
      </c>
      <c r="F13">
        <v>10</v>
      </c>
      <c r="G13">
        <f ca="1">IF(F13=Model!$B$8,$B$34+$B$33,IF(F13&lt;=Model!$B$8-1,Outputs!$B$33,0))</f>
        <v>0</v>
      </c>
    </row>
    <row r="14" spans="1:7" x14ac:dyDescent="0.25">
      <c r="A14" t="s">
        <v>221</v>
      </c>
      <c r="B14" s="15">
        <f ca="1">B6*Model!B24</f>
        <v>1800</v>
      </c>
      <c r="C14" t="s">
        <v>164</v>
      </c>
      <c r="F14">
        <v>11</v>
      </c>
      <c r="G14">
        <f ca="1">IF(F14=Model!$B$8,$B$34+$B$33,IF(F14&lt;=Model!$B$8-1,Outputs!$B$33,0))</f>
        <v>0</v>
      </c>
    </row>
    <row r="15" spans="1:7" x14ac:dyDescent="0.25">
      <c r="F15">
        <v>12</v>
      </c>
      <c r="G15">
        <f ca="1">IF(F15=Model!$B$8,$B$34+$B$33,IF(F15&lt;=Model!$B$8-1,Outputs!$B$33,0))</f>
        <v>0</v>
      </c>
    </row>
    <row r="16" spans="1:7" x14ac:dyDescent="0.25">
      <c r="A16" s="2" t="s">
        <v>225</v>
      </c>
      <c r="F16">
        <v>13</v>
      </c>
      <c r="G16">
        <f ca="1">IF(F16=Model!$B$8,$B$34+$B$33,IF(F16&lt;=Model!$B$8-1,Outputs!$B$33,0))</f>
        <v>0</v>
      </c>
    </row>
    <row r="17" spans="1:7" x14ac:dyDescent="0.25">
      <c r="A17" t="s">
        <v>226</v>
      </c>
      <c r="B17">
        <f ca="1">Model!B16/Model!B38</f>
        <v>10</v>
      </c>
      <c r="C17" t="s">
        <v>210</v>
      </c>
      <c r="F17">
        <v>14</v>
      </c>
      <c r="G17">
        <f ca="1">IF(F17=Model!$B$8,$B$34+$B$33,IF(F17&lt;=Model!$B$8-1,Outputs!$B$33,0))</f>
        <v>0</v>
      </c>
    </row>
    <row r="18" spans="1:7" x14ac:dyDescent="0.25">
      <c r="A18" t="s">
        <v>227</v>
      </c>
      <c r="B18">
        <f ca="1">B17*Model!B15</f>
        <v>20</v>
      </c>
      <c r="C18" t="s">
        <v>212</v>
      </c>
      <c r="F18">
        <v>15</v>
      </c>
      <c r="G18">
        <f ca="1">IF(F18=Model!$B$8,$B$34+$B$33,IF(F18&lt;=Model!$B$8-1,Outputs!$B$33,0))</f>
        <v>0</v>
      </c>
    </row>
    <row r="19" spans="1:7" x14ac:dyDescent="0.25">
      <c r="A19" t="s">
        <v>228</v>
      </c>
      <c r="B19" s="14">
        <f ca="1">B18/Model!B34</f>
        <v>6.666666666666667</v>
      </c>
      <c r="C19" t="s">
        <v>199</v>
      </c>
      <c r="F19">
        <v>16</v>
      </c>
      <c r="G19">
        <f ca="1">IF(F19=Model!$B$8,$B$34+$B$33,IF(F19&lt;=Model!$B$8-1,Outputs!$B$33,0))</f>
        <v>0</v>
      </c>
    </row>
    <row r="20" spans="1:7" x14ac:dyDescent="0.25">
      <c r="A20" t="s">
        <v>229</v>
      </c>
      <c r="B20">
        <f ca="1">_xlfn.CEILING.MATH(B19/Model!B40)</f>
        <v>1</v>
      </c>
      <c r="C20" t="s">
        <v>214</v>
      </c>
      <c r="F20">
        <v>17</v>
      </c>
      <c r="G20">
        <f ca="1">IF(F20=Model!$B$8,$B$34+$B$33,IF(F20&lt;=Model!$B$8-1,Outputs!$B$33,0))</f>
        <v>0</v>
      </c>
    </row>
    <row r="21" spans="1:7" x14ac:dyDescent="0.25">
      <c r="A21" t="s">
        <v>233</v>
      </c>
      <c r="B21" s="15">
        <f ca="1">B20*Model!B30</f>
        <v>115000</v>
      </c>
      <c r="C21" t="s">
        <v>223</v>
      </c>
      <c r="F21">
        <v>18</v>
      </c>
      <c r="G21">
        <f ca="1">IF(F21=Model!$B$8,$B$34+$B$33,IF(F21&lt;=Model!$B$8-1,Outputs!$B$33,0))</f>
        <v>0</v>
      </c>
    </row>
    <row r="22" spans="1:7" x14ac:dyDescent="0.25">
      <c r="A22" t="s">
        <v>232</v>
      </c>
      <c r="B22" s="15">
        <f ca="1">Model!B4*Model!B39*Model!B17*Outputs!B18</f>
        <v>136.52800000000002</v>
      </c>
      <c r="C22" t="s">
        <v>217</v>
      </c>
      <c r="F22">
        <v>19</v>
      </c>
      <c r="G22">
        <f ca="1">IF(F22=Model!$B$8,$B$34+$B$33,IF(F22&lt;=Model!$B$8-1,Outputs!$B$33,0))</f>
        <v>0</v>
      </c>
    </row>
    <row r="23" spans="1:7" x14ac:dyDescent="0.25">
      <c r="A23" t="s">
        <v>237</v>
      </c>
      <c r="B23" s="15">
        <f ca="1">Model!B41*Model!B7*Model!B17</f>
        <v>593.59999999999991</v>
      </c>
      <c r="C23" t="s">
        <v>217</v>
      </c>
      <c r="F23">
        <v>20</v>
      </c>
      <c r="G23">
        <f ca="1">IF(F23=Model!$B$8,$B$34+$B$33,IF(F23&lt;=Model!$B$8-1,Outputs!$B$33,0))</f>
        <v>0</v>
      </c>
    </row>
    <row r="24" spans="1:7" x14ac:dyDescent="0.25">
      <c r="A24" t="s">
        <v>238</v>
      </c>
      <c r="B24" s="15">
        <f ca="1">Model!B37/60*Model!B22</f>
        <v>4.25</v>
      </c>
      <c r="C24" t="s">
        <v>240</v>
      </c>
      <c r="F24">
        <v>21</v>
      </c>
      <c r="G24">
        <f ca="1">IF(F24=Model!$B$8,$B$34+$B$33,IF(F24&lt;=Model!$B$8-1,Outputs!$B$33,0))</f>
        <v>0</v>
      </c>
    </row>
    <row r="25" spans="1:7" x14ac:dyDescent="0.25">
      <c r="A25" t="s">
        <v>239</v>
      </c>
      <c r="B25" s="15">
        <f ca="1">B24*Model!B36*Model!B17*Outputs!B18</f>
        <v>180.2</v>
      </c>
      <c r="C25" t="s">
        <v>217</v>
      </c>
      <c r="F25">
        <v>22</v>
      </c>
      <c r="G25">
        <f ca="1">IF(F25=Model!$B$8,$B$34+$B$33,IF(F25&lt;=Model!$B$8-1,Outputs!$B$33,0))</f>
        <v>0</v>
      </c>
    </row>
    <row r="26" spans="1:7" x14ac:dyDescent="0.25">
      <c r="A26" t="s">
        <v>231</v>
      </c>
      <c r="B26" s="15">
        <f ca="1">B22+B23+B25</f>
        <v>910.32799999999997</v>
      </c>
      <c r="C26" t="s">
        <v>217</v>
      </c>
      <c r="F26">
        <v>23</v>
      </c>
      <c r="G26">
        <f ca="1">IF(F26=Model!$B$8,$B$34+$B$33,IF(F26&lt;=Model!$B$8-1,Outputs!$B$33,0))</f>
        <v>0</v>
      </c>
    </row>
    <row r="27" spans="1:7" x14ac:dyDescent="0.25">
      <c r="A27" t="s">
        <v>234</v>
      </c>
      <c r="B27" s="15">
        <f ca="1">12*Model!B32</f>
        <v>2400</v>
      </c>
      <c r="C27" t="s">
        <v>217</v>
      </c>
      <c r="F27">
        <v>24</v>
      </c>
      <c r="G27">
        <f ca="1">IF(F27=Model!$B$8,$B$34+$B$33,IF(F27&lt;=Model!$B$8-1,Outputs!$B$33,0))</f>
        <v>0</v>
      </c>
    </row>
    <row r="28" spans="1:7" x14ac:dyDescent="0.25">
      <c r="A28" t="s">
        <v>235</v>
      </c>
      <c r="B28" s="15">
        <f ca="1">B20*(B27+B26)</f>
        <v>3310.328</v>
      </c>
      <c r="C28" t="s">
        <v>217</v>
      </c>
      <c r="F28">
        <v>25</v>
      </c>
      <c r="G28">
        <f ca="1">IF(F28=Model!$B$8,$B$34+$B$33,IF(F28&lt;=Model!$B$8-1,Outputs!$B$33,0))</f>
        <v>0</v>
      </c>
    </row>
    <row r="29" spans="1:7" x14ac:dyDescent="0.25">
      <c r="A29" t="s">
        <v>257</v>
      </c>
      <c r="B29" s="15">
        <f ca="1">B28*Model!B8</f>
        <v>23172.295999999998</v>
      </c>
      <c r="C29" t="s">
        <v>164</v>
      </c>
      <c r="F29">
        <v>26</v>
      </c>
      <c r="G29">
        <f ca="1">IF(F29=Model!$B$8,$B$34+$B$33,IF(F29&lt;=Model!$B$8-1,Outputs!$B$33,0))</f>
        <v>0</v>
      </c>
    </row>
    <row r="30" spans="1:7" x14ac:dyDescent="0.25">
      <c r="A30" t="s">
        <v>236</v>
      </c>
      <c r="B30" s="15">
        <f ca="1">B20*Model!B33</f>
        <v>4000</v>
      </c>
      <c r="C30" t="s">
        <v>164</v>
      </c>
      <c r="F30">
        <v>27</v>
      </c>
      <c r="G30">
        <f ca="1">IF(F30=Model!$B$8,$B$34+$B$33,IF(F30&lt;=Model!$B$8-1,Outputs!$B$33,0))</f>
        <v>0</v>
      </c>
    </row>
    <row r="31" spans="1:7" x14ac:dyDescent="0.25">
      <c r="F31">
        <v>28</v>
      </c>
      <c r="G31">
        <f ca="1">IF(F31=Model!$B$8,$B$34+$B$33,IF(F31&lt;=Model!$B$8-1,Outputs!$B$33,0))</f>
        <v>0</v>
      </c>
    </row>
    <row r="32" spans="1:7" x14ac:dyDescent="0.25">
      <c r="A32" t="s">
        <v>241</v>
      </c>
      <c r="B32" s="15">
        <f ca="1">B7-B21</f>
        <v>-41000</v>
      </c>
      <c r="F32">
        <v>29</v>
      </c>
      <c r="G32">
        <f ca="1">IF(F32=Model!$B$8,$B$34+$B$33,IF(F32&lt;=Model!$B$8-1,Outputs!$B$33,0))</f>
        <v>0</v>
      </c>
    </row>
    <row r="33" spans="1:7" x14ac:dyDescent="0.25">
      <c r="A33" t="s">
        <v>242</v>
      </c>
      <c r="B33" s="15">
        <f ca="1">B12-B28</f>
        <v>7386.3340000000007</v>
      </c>
      <c r="F33">
        <v>30</v>
      </c>
      <c r="G33">
        <f ca="1">IF(F33=Model!$B$8,$B$34+$B$33,IF(F33&lt;=Model!$B$8-1,Outputs!$B$33,0))</f>
        <v>0</v>
      </c>
    </row>
    <row r="34" spans="1:7" x14ac:dyDescent="0.25">
      <c r="A34" t="s">
        <v>243</v>
      </c>
      <c r="B34" s="15">
        <f ca="1">B14-B30</f>
        <v>-2200</v>
      </c>
    </row>
    <row r="36" spans="1:7" x14ac:dyDescent="0.25">
      <c r="A36" s="2" t="s">
        <v>207</v>
      </c>
    </row>
    <row r="37" spans="1:7" x14ac:dyDescent="0.25">
      <c r="A37" t="s">
        <v>244</v>
      </c>
      <c r="B37" s="15">
        <f ca="1">B7+Model!B8*Outputs!B12+Outputs!B14</f>
        <v>150676.63400000002</v>
      </c>
      <c r="C37" t="s">
        <v>164</v>
      </c>
      <c r="D37" t="s">
        <v>254</v>
      </c>
    </row>
    <row r="38" spans="1:7" x14ac:dyDescent="0.25">
      <c r="A38" t="s">
        <v>245</v>
      </c>
      <c r="B38" s="15">
        <f ca="1">B21+Model!B8*Outputs!B28+Outputs!B30</f>
        <v>142172.296</v>
      </c>
      <c r="C38" t="s">
        <v>164</v>
      </c>
      <c r="D38" t="s">
        <v>255</v>
      </c>
    </row>
    <row r="40" spans="1:7" x14ac:dyDescent="0.25">
      <c r="A40" s="2" t="s">
        <v>246</v>
      </c>
    </row>
    <row r="41" spans="1:7" x14ac:dyDescent="0.25">
      <c r="A41" t="s">
        <v>247</v>
      </c>
      <c r="B41" s="16">
        <f ca="1">NPV(Model!B3,G3:G33)</f>
        <v>168.1787005780028</v>
      </c>
      <c r="C41" s="2" t="s">
        <v>164</v>
      </c>
    </row>
    <row r="43" spans="1:7" x14ac:dyDescent="0.25">
      <c r="A43" s="2" t="s">
        <v>251</v>
      </c>
    </row>
    <row r="44" spans="1:7" x14ac:dyDescent="0.25">
      <c r="A44" t="s">
        <v>252</v>
      </c>
      <c r="B44" s="17">
        <f ca="1">NPER(Model!B3,Outputs!B33,Outputs!B32)</f>
        <v>6.6630773081481927</v>
      </c>
      <c r="C44" s="2" t="s">
        <v>253</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8E8B2-3823-4F4D-943E-C68B1F535EDC}">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13A14-9B74-4A0A-A854-9B7F98F5B3B4}">
  <dimension ref="A1:K13"/>
  <sheetViews>
    <sheetView workbookViewId="0">
      <selection activeCell="D8" sqref="D8"/>
    </sheetView>
  </sheetViews>
  <sheetFormatPr defaultRowHeight="15" x14ac:dyDescent="0.25"/>
  <cols>
    <col min="2" max="2" width="29" customWidth="1"/>
    <col min="3" max="3" width="38.28515625" customWidth="1"/>
    <col min="4" max="4" width="14" customWidth="1"/>
    <col min="5" max="5" width="16" customWidth="1"/>
    <col min="6" max="6" width="12.7109375" customWidth="1"/>
    <col min="7" max="7" width="10.7109375" customWidth="1"/>
  </cols>
  <sheetData>
    <row r="1" spans="1:11" ht="60" x14ac:dyDescent="0.25">
      <c r="A1" s="5" t="s">
        <v>38</v>
      </c>
      <c r="B1" s="5" t="s">
        <v>57</v>
      </c>
      <c r="C1" s="5" t="s">
        <v>58</v>
      </c>
      <c r="D1" s="5" t="s">
        <v>61</v>
      </c>
      <c r="E1" s="5" t="s">
        <v>62</v>
      </c>
      <c r="F1" s="5" t="s">
        <v>63</v>
      </c>
      <c r="G1" s="5" t="s">
        <v>65</v>
      </c>
      <c r="H1" s="5" t="s">
        <v>67</v>
      </c>
      <c r="I1" s="5" t="s">
        <v>66</v>
      </c>
      <c r="J1" s="5" t="s">
        <v>68</v>
      </c>
      <c r="K1" s="5" t="s">
        <v>69</v>
      </c>
    </row>
    <row r="2" spans="1:11" ht="30" x14ac:dyDescent="0.25">
      <c r="A2">
        <v>1</v>
      </c>
      <c r="B2" s="3" t="s">
        <v>39</v>
      </c>
      <c r="C2" s="3" t="s">
        <v>40</v>
      </c>
      <c r="D2">
        <v>0</v>
      </c>
      <c r="E2">
        <f>D2*212*8.25*7</f>
        <v>0</v>
      </c>
      <c r="F2">
        <v>2</v>
      </c>
      <c r="G2">
        <v>3</v>
      </c>
      <c r="H2">
        <v>0.5</v>
      </c>
      <c r="I2" s="7">
        <f>1/H2</f>
        <v>2</v>
      </c>
      <c r="J2">
        <v>120</v>
      </c>
      <c r="K2">
        <v>1</v>
      </c>
    </row>
    <row r="3" spans="1:11" ht="30" x14ac:dyDescent="0.25">
      <c r="A3">
        <v>2</v>
      </c>
      <c r="B3" s="3" t="s">
        <v>41</v>
      </c>
      <c r="C3" s="3" t="s">
        <v>42</v>
      </c>
      <c r="D3">
        <v>0</v>
      </c>
      <c r="E3">
        <f t="shared" ref="E3:E10" si="0">D3*212*8.25*7</f>
        <v>0</v>
      </c>
      <c r="F3">
        <v>5</v>
      </c>
      <c r="G3">
        <v>7</v>
      </c>
      <c r="H3">
        <v>1</v>
      </c>
      <c r="I3" s="7">
        <f t="shared" ref="I3:I10" si="1">1/H3</f>
        <v>1</v>
      </c>
      <c r="J3">
        <v>60</v>
      </c>
      <c r="K3">
        <v>2</v>
      </c>
    </row>
    <row r="4" spans="1:11" ht="45" x14ac:dyDescent="0.25">
      <c r="A4">
        <v>3</v>
      </c>
      <c r="B4" s="3" t="s">
        <v>43</v>
      </c>
      <c r="C4" s="3" t="s">
        <v>44</v>
      </c>
      <c r="D4">
        <v>0</v>
      </c>
      <c r="E4">
        <f t="shared" si="0"/>
        <v>0</v>
      </c>
      <c r="F4">
        <v>15</v>
      </c>
      <c r="G4">
        <v>12</v>
      </c>
      <c r="H4">
        <v>4</v>
      </c>
      <c r="I4" s="7">
        <f t="shared" si="1"/>
        <v>0.25</v>
      </c>
      <c r="J4">
        <v>30</v>
      </c>
      <c r="K4">
        <v>4</v>
      </c>
    </row>
    <row r="5" spans="1:11" ht="45" x14ac:dyDescent="0.25">
      <c r="A5">
        <v>4</v>
      </c>
      <c r="B5" s="3" t="s">
        <v>45</v>
      </c>
      <c r="C5" s="3" t="s">
        <v>46</v>
      </c>
      <c r="D5">
        <v>0</v>
      </c>
      <c r="E5">
        <f t="shared" si="0"/>
        <v>0</v>
      </c>
      <c r="F5">
        <v>35</v>
      </c>
      <c r="G5">
        <v>18</v>
      </c>
      <c r="H5">
        <v>10</v>
      </c>
      <c r="I5" s="7">
        <f t="shared" si="1"/>
        <v>0.1</v>
      </c>
      <c r="J5">
        <v>15</v>
      </c>
      <c r="K5">
        <v>8</v>
      </c>
    </row>
    <row r="6" spans="1:11" ht="60" x14ac:dyDescent="0.25">
      <c r="A6">
        <v>5</v>
      </c>
      <c r="B6" s="3" t="s">
        <v>47</v>
      </c>
      <c r="C6" s="3" t="s">
        <v>48</v>
      </c>
      <c r="D6">
        <v>1</v>
      </c>
      <c r="E6">
        <f t="shared" si="0"/>
        <v>12243</v>
      </c>
      <c r="F6">
        <v>150</v>
      </c>
      <c r="G6">
        <v>30</v>
      </c>
      <c r="H6">
        <v>150</v>
      </c>
      <c r="I6" s="6">
        <f t="shared" si="1"/>
        <v>6.6666666666666671E-3</v>
      </c>
      <c r="J6">
        <v>10</v>
      </c>
      <c r="K6">
        <v>10</v>
      </c>
    </row>
    <row r="7" spans="1:11" ht="60" x14ac:dyDescent="0.25">
      <c r="A7">
        <v>6</v>
      </c>
      <c r="B7" s="3" t="s">
        <v>49</v>
      </c>
      <c r="C7" s="3" t="s">
        <v>50</v>
      </c>
      <c r="D7">
        <v>1</v>
      </c>
      <c r="E7">
        <f t="shared" si="0"/>
        <v>12243</v>
      </c>
      <c r="F7">
        <v>300</v>
      </c>
      <c r="G7">
        <v>35</v>
      </c>
      <c r="H7">
        <v>300</v>
      </c>
      <c r="I7" s="6">
        <f t="shared" si="1"/>
        <v>3.3333333333333335E-3</v>
      </c>
      <c r="J7">
        <v>5</v>
      </c>
      <c r="K7">
        <v>16</v>
      </c>
    </row>
    <row r="8" spans="1:11" ht="45" x14ac:dyDescent="0.25">
      <c r="A8">
        <v>7</v>
      </c>
      <c r="B8" s="3" t="s">
        <v>51</v>
      </c>
      <c r="C8" s="3" t="s">
        <v>52</v>
      </c>
      <c r="D8">
        <v>10</v>
      </c>
      <c r="E8">
        <f t="shared" si="0"/>
        <v>122430</v>
      </c>
      <c r="F8">
        <v>900</v>
      </c>
      <c r="G8">
        <v>40</v>
      </c>
      <c r="H8">
        <v>600</v>
      </c>
      <c r="I8" s="6">
        <f t="shared" si="1"/>
        <v>1.6666666666666668E-3</v>
      </c>
      <c r="J8">
        <v>2</v>
      </c>
      <c r="K8">
        <v>32</v>
      </c>
    </row>
    <row r="9" spans="1:11" ht="60" x14ac:dyDescent="0.25">
      <c r="A9">
        <v>8</v>
      </c>
      <c r="B9" s="3" t="s">
        <v>53</v>
      </c>
      <c r="C9" s="3" t="s">
        <v>54</v>
      </c>
      <c r="D9">
        <v>100</v>
      </c>
      <c r="E9">
        <f t="shared" si="0"/>
        <v>1224300</v>
      </c>
      <c r="F9">
        <v>1500</v>
      </c>
      <c r="G9">
        <v>45</v>
      </c>
      <c r="H9">
        <v>900</v>
      </c>
      <c r="I9" s="6">
        <f t="shared" si="1"/>
        <v>1.1111111111111111E-3</v>
      </c>
      <c r="J9">
        <v>1</v>
      </c>
      <c r="K9">
        <v>48</v>
      </c>
    </row>
    <row r="10" spans="1:11" ht="60" x14ac:dyDescent="0.25">
      <c r="A10">
        <v>9</v>
      </c>
      <c r="B10" s="3" t="s">
        <v>55</v>
      </c>
      <c r="C10" s="3" t="s">
        <v>56</v>
      </c>
      <c r="D10">
        <v>1000</v>
      </c>
      <c r="E10">
        <f t="shared" si="0"/>
        <v>12243000</v>
      </c>
      <c r="F10" t="s">
        <v>64</v>
      </c>
      <c r="G10">
        <v>50</v>
      </c>
      <c r="H10">
        <v>1200</v>
      </c>
      <c r="I10" s="6">
        <f t="shared" si="1"/>
        <v>8.3333333333333339E-4</v>
      </c>
      <c r="J10">
        <v>0.5</v>
      </c>
      <c r="K10">
        <v>64</v>
      </c>
    </row>
    <row r="12" spans="1:11" x14ac:dyDescent="0.25">
      <c r="A12" t="s">
        <v>59</v>
      </c>
      <c r="B12" s="4" t="s">
        <v>60</v>
      </c>
    </row>
    <row r="13" spans="1:11" ht="60" x14ac:dyDescent="0.25">
      <c r="A13" t="s">
        <v>70</v>
      </c>
      <c r="B13" s="3" t="s">
        <v>71</v>
      </c>
    </row>
  </sheetData>
  <hyperlinks>
    <hyperlink ref="B12" r:id="rId1" xr:uid="{4D0C079C-674A-4326-B620-BADC61C3A795}"/>
  </hyperlink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50377-D0B0-4FB7-AB26-7414C6CA7A19}">
  <dimension ref="B2:D36"/>
  <sheetViews>
    <sheetView workbookViewId="0">
      <selection activeCell="D35" sqref="D35"/>
    </sheetView>
  </sheetViews>
  <sheetFormatPr defaultRowHeight="15" x14ac:dyDescent="0.25"/>
  <cols>
    <col min="2" max="2" width="35" customWidth="1"/>
    <col min="4" max="4" width="168" bestFit="1" customWidth="1"/>
  </cols>
  <sheetData>
    <row r="2" spans="2:4" x14ac:dyDescent="0.25">
      <c r="B2" s="2" t="s">
        <v>72</v>
      </c>
      <c r="C2" s="2" t="s">
        <v>73</v>
      </c>
      <c r="D2" s="2" t="s">
        <v>75</v>
      </c>
    </row>
    <row r="3" spans="2:4" x14ac:dyDescent="0.25">
      <c r="B3" t="s">
        <v>77</v>
      </c>
      <c r="C3">
        <v>0.1</v>
      </c>
      <c r="D3" t="s">
        <v>87</v>
      </c>
    </row>
    <row r="4" spans="2:4" x14ac:dyDescent="0.25">
      <c r="B4" t="s">
        <v>78</v>
      </c>
      <c r="C4">
        <v>0.2</v>
      </c>
      <c r="D4" t="s">
        <v>88</v>
      </c>
    </row>
    <row r="5" spans="2:4" x14ac:dyDescent="0.25">
      <c r="B5" t="s">
        <v>79</v>
      </c>
      <c r="C5">
        <v>0.3</v>
      </c>
      <c r="D5" t="s">
        <v>89</v>
      </c>
    </row>
    <row r="6" spans="2:4" x14ac:dyDescent="0.25">
      <c r="B6" t="s">
        <v>80</v>
      </c>
      <c r="C6">
        <v>0.4</v>
      </c>
      <c r="D6" t="s">
        <v>90</v>
      </c>
    </row>
    <row r="7" spans="2:4" x14ac:dyDescent="0.25">
      <c r="B7" t="s">
        <v>81</v>
      </c>
      <c r="C7">
        <v>0.5</v>
      </c>
      <c r="D7" t="s">
        <v>91</v>
      </c>
    </row>
    <row r="8" spans="2:4" x14ac:dyDescent="0.25">
      <c r="B8" t="s">
        <v>82</v>
      </c>
      <c r="C8">
        <v>0.6</v>
      </c>
      <c r="D8" t="s">
        <v>92</v>
      </c>
    </row>
    <row r="9" spans="2:4" x14ac:dyDescent="0.25">
      <c r="B9" t="s">
        <v>83</v>
      </c>
      <c r="C9">
        <v>0.7</v>
      </c>
      <c r="D9" t="s">
        <v>93</v>
      </c>
    </row>
    <row r="10" spans="2:4" x14ac:dyDescent="0.25">
      <c r="B10" t="s">
        <v>84</v>
      </c>
      <c r="C10">
        <v>0.8</v>
      </c>
      <c r="D10" t="s">
        <v>94</v>
      </c>
    </row>
    <row r="11" spans="2:4" x14ac:dyDescent="0.25">
      <c r="B11" t="s">
        <v>85</v>
      </c>
      <c r="C11">
        <v>0.9</v>
      </c>
      <c r="D11" t="s">
        <v>95</v>
      </c>
    </row>
    <row r="12" spans="2:4" x14ac:dyDescent="0.25">
      <c r="B12" t="s">
        <v>86</v>
      </c>
      <c r="C12">
        <v>1</v>
      </c>
      <c r="D12" t="s">
        <v>96</v>
      </c>
    </row>
    <row r="14" spans="2:4" x14ac:dyDescent="0.25">
      <c r="B14" s="2" t="s">
        <v>74</v>
      </c>
      <c r="C14" s="2" t="s">
        <v>73</v>
      </c>
    </row>
    <row r="15" spans="2:4" x14ac:dyDescent="0.25">
      <c r="B15" t="s">
        <v>77</v>
      </c>
      <c r="C15">
        <v>0.1</v>
      </c>
      <c r="D15" t="s">
        <v>97</v>
      </c>
    </row>
    <row r="16" spans="2:4" x14ac:dyDescent="0.25">
      <c r="B16" t="s">
        <v>78</v>
      </c>
      <c r="C16">
        <v>0.2</v>
      </c>
      <c r="D16" t="s">
        <v>98</v>
      </c>
    </row>
    <row r="17" spans="2:4" x14ac:dyDescent="0.25">
      <c r="B17" t="s">
        <v>79</v>
      </c>
      <c r="C17">
        <v>0.3</v>
      </c>
      <c r="D17" t="s">
        <v>99</v>
      </c>
    </row>
    <row r="18" spans="2:4" x14ac:dyDescent="0.25">
      <c r="B18" t="s">
        <v>80</v>
      </c>
      <c r="C18">
        <v>0.4</v>
      </c>
      <c r="D18" t="s">
        <v>100</v>
      </c>
    </row>
    <row r="19" spans="2:4" x14ac:dyDescent="0.25">
      <c r="B19" t="s">
        <v>81</v>
      </c>
      <c r="C19">
        <v>0.5</v>
      </c>
      <c r="D19" t="s">
        <v>102</v>
      </c>
    </row>
    <row r="20" spans="2:4" x14ac:dyDescent="0.25">
      <c r="B20" t="s">
        <v>82</v>
      </c>
      <c r="C20">
        <v>0.6</v>
      </c>
      <c r="D20" t="s">
        <v>101</v>
      </c>
    </row>
    <row r="21" spans="2:4" x14ac:dyDescent="0.25">
      <c r="B21" t="s">
        <v>83</v>
      </c>
      <c r="C21">
        <v>0.7</v>
      </c>
      <c r="D21" t="s">
        <v>103</v>
      </c>
    </row>
    <row r="22" spans="2:4" x14ac:dyDescent="0.25">
      <c r="B22" t="s">
        <v>84</v>
      </c>
      <c r="C22">
        <v>0.8</v>
      </c>
      <c r="D22" t="s">
        <v>104</v>
      </c>
    </row>
    <row r="23" spans="2:4" x14ac:dyDescent="0.25">
      <c r="B23" t="s">
        <v>85</v>
      </c>
      <c r="C23">
        <v>0.9</v>
      </c>
      <c r="D23" t="s">
        <v>105</v>
      </c>
    </row>
    <row r="24" spans="2:4" x14ac:dyDescent="0.25">
      <c r="B24" t="s">
        <v>86</v>
      </c>
      <c r="C24">
        <v>1</v>
      </c>
      <c r="D24" t="s">
        <v>106</v>
      </c>
    </row>
    <row r="26" spans="2:4" x14ac:dyDescent="0.25">
      <c r="B26" s="2" t="s">
        <v>76</v>
      </c>
      <c r="C26" s="2" t="s">
        <v>73</v>
      </c>
    </row>
    <row r="27" spans="2:4" x14ac:dyDescent="0.25">
      <c r="B27" t="s">
        <v>77</v>
      </c>
      <c r="C27">
        <v>0.1</v>
      </c>
      <c r="D27" t="s">
        <v>108</v>
      </c>
    </row>
    <row r="28" spans="2:4" x14ac:dyDescent="0.25">
      <c r="B28" t="s">
        <v>78</v>
      </c>
      <c r="C28">
        <v>0.2</v>
      </c>
      <c r="D28" t="s">
        <v>107</v>
      </c>
    </row>
    <row r="29" spans="2:4" x14ac:dyDescent="0.25">
      <c r="B29" t="s">
        <v>79</v>
      </c>
      <c r="C29">
        <v>0.3</v>
      </c>
      <c r="D29" t="s">
        <v>109</v>
      </c>
    </row>
    <row r="30" spans="2:4" x14ac:dyDescent="0.25">
      <c r="B30" t="s">
        <v>80</v>
      </c>
      <c r="C30">
        <v>0.4</v>
      </c>
      <c r="D30" t="s">
        <v>110</v>
      </c>
    </row>
    <row r="31" spans="2:4" x14ac:dyDescent="0.25">
      <c r="B31" t="s">
        <v>81</v>
      </c>
      <c r="C31">
        <v>0.5</v>
      </c>
      <c r="D31" t="s">
        <v>111</v>
      </c>
    </row>
    <row r="32" spans="2:4" x14ac:dyDescent="0.25">
      <c r="B32" t="s">
        <v>82</v>
      </c>
      <c r="C32">
        <v>0.6</v>
      </c>
      <c r="D32" t="s">
        <v>113</v>
      </c>
    </row>
    <row r="33" spans="2:4" x14ac:dyDescent="0.25">
      <c r="B33" t="s">
        <v>83</v>
      </c>
      <c r="C33">
        <v>0.7</v>
      </c>
      <c r="D33" t="s">
        <v>112</v>
      </c>
    </row>
    <row r="34" spans="2:4" x14ac:dyDescent="0.25">
      <c r="B34" t="s">
        <v>84</v>
      </c>
      <c r="C34">
        <v>0.8</v>
      </c>
      <c r="D34" t="s">
        <v>114</v>
      </c>
    </row>
    <row r="35" spans="2:4" x14ac:dyDescent="0.25">
      <c r="B35" t="s">
        <v>85</v>
      </c>
      <c r="C35">
        <v>0.9</v>
      </c>
      <c r="D35" t="s">
        <v>115</v>
      </c>
    </row>
    <row r="36" spans="2:4" x14ac:dyDescent="0.25">
      <c r="B36" t="s">
        <v>86</v>
      </c>
      <c r="C36">
        <v>1</v>
      </c>
      <c r="D36"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Overview</vt:lpstr>
      <vt:lpstr>License</vt:lpstr>
      <vt:lpstr>Revisions</vt:lpstr>
      <vt:lpstr>Inp_Baseline</vt:lpstr>
      <vt:lpstr>Inp_CheapAGV</vt:lpstr>
      <vt:lpstr>Inp_SlowVehicle</vt:lpstr>
      <vt:lpstr>Inp_Custom</vt:lpstr>
      <vt:lpstr>Model</vt:lpstr>
      <vt:lpstr>Outputs</vt:lpstr>
      <vt:lpstr>Sensitivity</vt:lpstr>
      <vt:lpstr>TechMaturity</vt:lpstr>
      <vt:lpstr>MissionModel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dc:creator>
  <cp:lastModifiedBy>Erik Wilhelm</cp:lastModifiedBy>
  <dcterms:created xsi:type="dcterms:W3CDTF">2023-08-11T08:23:07Z</dcterms:created>
  <dcterms:modified xsi:type="dcterms:W3CDTF">2024-04-04T12:45:37Z</dcterms:modified>
</cp:coreProperties>
</file>