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633E8D2F-9DED-4C00-A432-FFEF6571C896}" xr6:coauthVersionLast="47" xr6:coauthVersionMax="47" xr10:uidLastSave="{00000000-0000-0000-0000-000000000000}"/>
  <bookViews>
    <workbookView xWindow="-120" yWindow="-120" windowWidth="29040" windowHeight="17640" activeTab="8"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Input" sheetId="5" r:id="rId8"/>
    <sheet name="ModelOutput" sheetId="6" r:id="rId9"/>
    <sheet name="ModelInputSensitivity" sheetId="7" r:id="rId10"/>
    <sheet name="ModelOutputSensitivity" sheetId="14" r:id="rId11"/>
    <sheet name="AssumptionSensitivity" sheetId="15" r:id="rId12"/>
    <sheet name="TechMaturity" sheetId="8" r:id="rId13"/>
    <sheet name="MissionModel" sheetId="9"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9" i="15" l="1"/>
  <c r="B60" i="15"/>
  <c r="B61" i="15"/>
  <c r="B62" i="15"/>
  <c r="B63" i="15"/>
  <c r="B64" i="15"/>
  <c r="B58" i="15"/>
  <c r="A59" i="15"/>
  <c r="A60" i="15" s="1"/>
  <c r="A61" i="15" s="1"/>
  <c r="A62" i="15" s="1"/>
  <c r="A63" i="15" s="1"/>
  <c r="A64" i="15" s="1"/>
  <c r="C10" i="14" l="1"/>
  <c r="C11" i="14"/>
  <c r="C12" i="14"/>
  <c r="C13" i="14"/>
  <c r="C14" i="14"/>
  <c r="C15" i="14"/>
  <c r="C16" i="14"/>
  <c r="C17" i="14"/>
  <c r="C9" i="14"/>
  <c r="B37" i="12" l="1"/>
  <c r="B36" i="12"/>
  <c r="B34" i="12"/>
  <c r="E2" i="7"/>
  <c r="H3" i="7"/>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B38" i="5" a="1"/>
  <c r="B9" i="5" a="1"/>
  <c r="B38" i="5" l="1"/>
  <c r="B9" i="5"/>
  <c r="B25" i="11"/>
  <c r="B30" i="11"/>
  <c r="B30" i="10"/>
  <c r="I3" i="8"/>
  <c r="I4" i="8"/>
  <c r="I5" i="8"/>
  <c r="I6" i="8"/>
  <c r="I7" i="8"/>
  <c r="I8" i="8"/>
  <c r="I9" i="8"/>
  <c r="I10" i="8"/>
  <c r="I2" i="8"/>
  <c r="E3" i="8"/>
  <c r="E4" i="8"/>
  <c r="E5" i="8"/>
  <c r="E6" i="8"/>
  <c r="E7" i="8"/>
  <c r="E8" i="8"/>
  <c r="E9" i="8"/>
  <c r="E10" i="8"/>
  <c r="E2" i="8"/>
  <c r="B15" i="5" a="1"/>
  <c r="B10" i="5" a="1"/>
  <c r="B8" i="5" a="1"/>
  <c r="B37" i="5" a="1"/>
  <c r="B4" i="5" a="1"/>
  <c r="B25" i="5" a="1"/>
  <c r="B32" i="5" a="1"/>
  <c r="B7" i="5" a="1"/>
  <c r="B12" i="5" a="1"/>
  <c r="B16" i="5" a="1"/>
  <c r="B21" i="5" a="1"/>
  <c r="B26" i="5" a="1"/>
  <c r="B30" i="5" a="1"/>
  <c r="B20" i="5" a="1"/>
  <c r="B5" i="5" a="1"/>
  <c r="B27" i="5" a="1"/>
  <c r="B40" i="5" a="1"/>
  <c r="B36" i="5" a="1"/>
  <c r="B17" i="5" a="1"/>
  <c r="B3" i="5" a="1"/>
  <c r="B22" i="5" a="1"/>
  <c r="B11" i="5" a="1"/>
  <c r="B33" i="5" a="1"/>
  <c r="B31" i="5" a="1"/>
  <c r="B35" i="5" a="1"/>
  <c r="B41" i="5" a="1"/>
  <c r="B23" i="5" a="1"/>
  <c r="B6" i="5" a="1"/>
  <c r="B39" i="5" a="1"/>
  <c r="B34" i="5" a="1"/>
  <c r="B24" i="5" a="1"/>
  <c r="B41" i="5" l="1"/>
  <c r="B40" i="5"/>
  <c r="B39" i="5"/>
  <c r="B37" i="5"/>
  <c r="B36" i="5"/>
  <c r="B35" i="5"/>
  <c r="B34" i="5"/>
  <c r="B33" i="5"/>
  <c r="B32" i="5"/>
  <c r="B27" i="6" s="1"/>
  <c r="B31" i="5"/>
  <c r="B30" i="5"/>
  <c r="B27" i="5"/>
  <c r="B26" i="5"/>
  <c r="B25" i="5"/>
  <c r="B24" i="5"/>
  <c r="B23" i="5"/>
  <c r="B22" i="5"/>
  <c r="B21" i="5"/>
  <c r="B20" i="5"/>
  <c r="B17" i="5"/>
  <c r="B16" i="5"/>
  <c r="B15" i="5"/>
  <c r="B12" i="5"/>
  <c r="B11" i="5"/>
  <c r="B10"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H47" i="6" s="1"/>
  <c r="B6" i="6"/>
  <c r="I5" i="5"/>
  <c r="I6" i="5" s="1"/>
  <c r="B26" i="6" l="1"/>
  <c r="B28" i="6" s="1"/>
  <c r="B11" i="6"/>
  <c r="B12" i="6" s="1"/>
  <c r="B13" i="6" s="1"/>
  <c r="B14" i="6"/>
  <c r="B34" i="6" s="1"/>
  <c r="B7" i="6"/>
  <c r="G47" i="6" s="1"/>
  <c r="G48" i="6" l="1"/>
  <c r="G49" i="6" s="1"/>
  <c r="G50" i="6" s="1"/>
  <c r="G51" i="6" s="1"/>
  <c r="G52" i="6" s="1"/>
  <c r="G53" i="6" s="1"/>
  <c r="G54" i="6" s="1"/>
  <c r="G55" i="6" s="1"/>
  <c r="G56" i="6" s="1"/>
  <c r="G57" i="6" s="1"/>
  <c r="G58" i="6" s="1"/>
  <c r="G59" i="6" s="1"/>
  <c r="G60" i="6" s="1"/>
  <c r="G61" i="6" s="1"/>
  <c r="G62" i="6" s="1"/>
  <c r="G63" i="6" s="1"/>
  <c r="G64" i="6" s="1"/>
  <c r="G65" i="6" s="1"/>
  <c r="G66" i="6" s="1"/>
  <c r="G67" i="6" s="1"/>
  <c r="G68" i="6" s="1"/>
  <c r="G69" i="6" s="1"/>
  <c r="G70" i="6" s="1"/>
  <c r="G71" i="6" s="1"/>
  <c r="G72" i="6" s="1"/>
  <c r="G73" i="6" s="1"/>
  <c r="G74" i="6" s="1"/>
  <c r="G75" i="6" s="1"/>
  <c r="G76" i="6" s="1"/>
  <c r="G77" i="6" s="1"/>
  <c r="G78" i="6" s="1"/>
  <c r="G79" i="6" s="1"/>
  <c r="G80" i="6" s="1"/>
  <c r="G81" i="6" s="1"/>
  <c r="G82" i="6" s="1"/>
  <c r="G83" i="6" s="1"/>
  <c r="G84" i="6" s="1"/>
  <c r="G85" i="6" s="1"/>
  <c r="G86" i="6" s="1"/>
  <c r="G87" i="6" s="1"/>
  <c r="G88" i="6" s="1"/>
  <c r="G89" i="6" s="1"/>
  <c r="G90" i="6" s="1"/>
  <c r="G91" i="6" s="1"/>
  <c r="G92" i="6" s="1"/>
  <c r="G93" i="6" s="1"/>
  <c r="G94" i="6" s="1"/>
  <c r="G95" i="6" s="1"/>
  <c r="G96" i="6" s="1"/>
  <c r="G97" i="6" s="1"/>
  <c r="G98" i="6" s="1"/>
  <c r="G99" i="6" s="1"/>
  <c r="G100" i="6" s="1"/>
  <c r="G101" i="6" s="1"/>
  <c r="G102" i="6" s="1"/>
  <c r="G103" i="6" s="1"/>
  <c r="G104" i="6" s="1"/>
  <c r="G105" i="6" s="1"/>
  <c r="G106" i="6" s="1"/>
  <c r="G107" i="6" s="1"/>
  <c r="G108" i="6" s="1"/>
  <c r="G109" i="6" s="1"/>
  <c r="G110" i="6" s="1"/>
  <c r="G111" i="6" s="1"/>
  <c r="G112" i="6" s="1"/>
  <c r="G113" i="6" s="1"/>
  <c r="G114" i="6" s="1"/>
  <c r="G115" i="6" s="1"/>
  <c r="G116" i="6" s="1"/>
  <c r="G117" i="6" s="1"/>
  <c r="G118" i="6" s="1"/>
  <c r="G119" i="6" s="1"/>
  <c r="G120" i="6" s="1"/>
  <c r="G121" i="6" s="1"/>
  <c r="G122" i="6" s="1"/>
  <c r="G123" i="6" s="1"/>
  <c r="G124" i="6" s="1"/>
  <c r="G125" i="6" s="1"/>
  <c r="G126" i="6" s="1"/>
  <c r="G127" i="6" s="1"/>
  <c r="G128" i="6" s="1"/>
  <c r="G129" i="6" s="1"/>
  <c r="G130" i="6" s="1"/>
  <c r="G131" i="6" s="1"/>
  <c r="G132" i="6" s="1"/>
  <c r="G133" i="6" s="1"/>
  <c r="G134" i="6" s="1"/>
  <c r="G135" i="6" s="1"/>
  <c r="G136" i="6" s="1"/>
  <c r="G137" i="6" s="1"/>
  <c r="G138" i="6" s="1"/>
  <c r="G139" i="6" s="1"/>
  <c r="G140" i="6" s="1"/>
  <c r="G141" i="6" s="1"/>
  <c r="G142" i="6" s="1"/>
  <c r="G143" i="6" s="1"/>
  <c r="G144" i="6" s="1"/>
  <c r="G145" i="6" s="1"/>
  <c r="G146" i="6" s="1"/>
  <c r="G147" i="6" s="1"/>
  <c r="G148" i="6" s="1"/>
  <c r="G149" i="6" s="1"/>
  <c r="G150" i="6" s="1"/>
  <c r="G151" i="6" s="1"/>
  <c r="G152" i="6" s="1"/>
  <c r="G153" i="6" s="1"/>
  <c r="G154" i="6" s="1"/>
  <c r="G155" i="6" s="1"/>
  <c r="G156" i="6" s="1"/>
  <c r="G157" i="6" s="1"/>
  <c r="G158" i="6" s="1"/>
  <c r="G159" i="6" s="1"/>
  <c r="G160" i="6" s="1"/>
  <c r="G161" i="6" s="1"/>
  <c r="G162" i="6" s="1"/>
  <c r="G163" i="6" s="1"/>
  <c r="G164" i="6" s="1"/>
  <c r="G165" i="6" s="1"/>
  <c r="G166" i="6" s="1"/>
  <c r="G167" i="6" s="1"/>
  <c r="G168" i="6" s="1"/>
  <c r="G169" i="6" s="1"/>
  <c r="G170" i="6" s="1"/>
  <c r="G171" i="6" s="1"/>
  <c r="G172" i="6" s="1"/>
  <c r="G173" i="6" s="1"/>
  <c r="G174" i="6" s="1"/>
  <c r="G175" i="6" s="1"/>
  <c r="G176" i="6" s="1"/>
  <c r="G177" i="6" s="1"/>
  <c r="G178" i="6" s="1"/>
  <c r="G179" i="6" s="1"/>
  <c r="G180" i="6" s="1"/>
  <c r="G181" i="6" s="1"/>
  <c r="G182" i="6" s="1"/>
  <c r="G183" i="6" s="1"/>
  <c r="G184" i="6" s="1"/>
  <c r="G185" i="6" s="1"/>
  <c r="G186" i="6" s="1"/>
  <c r="G187" i="6" s="1"/>
  <c r="G188" i="6" s="1"/>
  <c r="G189" i="6" s="1"/>
  <c r="G190" i="6" s="1"/>
  <c r="G191" i="6" s="1"/>
  <c r="G192" i="6" s="1"/>
  <c r="G193" i="6" s="1"/>
  <c r="G194" i="6" s="1"/>
  <c r="G195" i="6" s="1"/>
  <c r="G196" i="6" s="1"/>
  <c r="G197" i="6" s="1"/>
  <c r="G198" i="6" s="1"/>
  <c r="G199" i="6" s="1"/>
  <c r="G200" i="6" s="1"/>
  <c r="G201" i="6" s="1"/>
  <c r="G202" i="6" s="1"/>
  <c r="G203" i="6" s="1"/>
  <c r="G204" i="6" s="1"/>
  <c r="G205" i="6" s="1"/>
  <c r="G206" i="6" s="1"/>
  <c r="G207" i="6" s="1"/>
  <c r="G208" i="6" s="1"/>
  <c r="G209" i="6" s="1"/>
  <c r="G210" i="6" s="1"/>
  <c r="G211" i="6" s="1"/>
  <c r="G212" i="6" s="1"/>
  <c r="G213" i="6" s="1"/>
  <c r="G214" i="6" s="1"/>
  <c r="G215" i="6" s="1"/>
  <c r="G216" i="6" s="1"/>
  <c r="G217" i="6" s="1"/>
  <c r="G218" i="6" s="1"/>
  <c r="G219" i="6" s="1"/>
  <c r="G220" i="6" s="1"/>
  <c r="G221" i="6" s="1"/>
  <c r="G222" i="6" s="1"/>
  <c r="G223" i="6" s="1"/>
  <c r="G224" i="6" s="1"/>
  <c r="G225" i="6" s="1"/>
  <c r="G226" i="6" s="1"/>
  <c r="G227" i="6" s="1"/>
  <c r="G228" i="6" s="1"/>
  <c r="G229" i="6" s="1"/>
  <c r="G230" i="6" s="1"/>
  <c r="G231" i="6" s="1"/>
  <c r="G232" i="6" s="1"/>
  <c r="G233" i="6" s="1"/>
  <c r="G234" i="6" s="1"/>
  <c r="G235" i="6" s="1"/>
  <c r="G236" i="6" s="1"/>
  <c r="G237" i="6" s="1"/>
  <c r="G238" i="6" s="1"/>
  <c r="G239" i="6" s="1"/>
  <c r="G240" i="6" s="1"/>
  <c r="G241" i="6" s="1"/>
  <c r="G242" i="6" s="1"/>
  <c r="G243" i="6" s="1"/>
  <c r="G244" i="6" s="1"/>
  <c r="G245" i="6" s="1"/>
  <c r="B38" i="6"/>
  <c r="B29" i="6"/>
  <c r="H48" i="6" s="1"/>
  <c r="H49" i="6" s="1"/>
  <c r="H50" i="6" s="1"/>
  <c r="H51" i="6" s="1"/>
  <c r="H52" i="6" s="1"/>
  <c r="H53" i="6" s="1"/>
  <c r="H54" i="6" s="1"/>
  <c r="H55" i="6" s="1"/>
  <c r="H56" i="6" s="1"/>
  <c r="H57" i="6" s="1"/>
  <c r="H58" i="6" s="1"/>
  <c r="H59" i="6" s="1"/>
  <c r="H60" i="6" s="1"/>
  <c r="H61" i="6" s="1"/>
  <c r="H62" i="6" s="1"/>
  <c r="H63" i="6" s="1"/>
  <c r="H64" i="6" s="1"/>
  <c r="H65" i="6" s="1"/>
  <c r="H66" i="6" s="1"/>
  <c r="H67" i="6" s="1"/>
  <c r="H68" i="6" s="1"/>
  <c r="H69" i="6" s="1"/>
  <c r="H70" i="6" s="1"/>
  <c r="H71" i="6" s="1"/>
  <c r="H72" i="6" s="1"/>
  <c r="H73" i="6" s="1"/>
  <c r="H74" i="6" s="1"/>
  <c r="H75" i="6" s="1"/>
  <c r="H76" i="6" s="1"/>
  <c r="H77" i="6" s="1"/>
  <c r="H78" i="6" s="1"/>
  <c r="H79" i="6" s="1"/>
  <c r="H80" i="6" s="1"/>
  <c r="H81" i="6" s="1"/>
  <c r="H82" i="6" s="1"/>
  <c r="H83" i="6" s="1"/>
  <c r="H84" i="6" s="1"/>
  <c r="H85" i="6" s="1"/>
  <c r="H86" i="6" s="1"/>
  <c r="H87" i="6" s="1"/>
  <c r="H88" i="6" s="1"/>
  <c r="H89" i="6" s="1"/>
  <c r="H90" i="6" s="1"/>
  <c r="H91" i="6" s="1"/>
  <c r="H92" i="6" s="1"/>
  <c r="H93" i="6" s="1"/>
  <c r="H94" i="6" s="1"/>
  <c r="H95" i="6" s="1"/>
  <c r="H96" i="6" s="1"/>
  <c r="H97" i="6" s="1"/>
  <c r="H98" i="6" s="1"/>
  <c r="H99" i="6" s="1"/>
  <c r="H100" i="6" s="1"/>
  <c r="H101" i="6" s="1"/>
  <c r="H102" i="6" s="1"/>
  <c r="H103" i="6" s="1"/>
  <c r="H104" i="6" s="1"/>
  <c r="H105" i="6" s="1"/>
  <c r="H106" i="6" s="1"/>
  <c r="H107" i="6" s="1"/>
  <c r="H108" i="6" s="1"/>
  <c r="H109" i="6" s="1"/>
  <c r="H110" i="6" s="1"/>
  <c r="H111" i="6" s="1"/>
  <c r="H112" i="6" s="1"/>
  <c r="H113" i="6" s="1"/>
  <c r="H114" i="6" s="1"/>
  <c r="H115" i="6" s="1"/>
  <c r="H116" i="6" s="1"/>
  <c r="H117" i="6" s="1"/>
  <c r="H118" i="6" s="1"/>
  <c r="H119" i="6" s="1"/>
  <c r="H120" i="6" s="1"/>
  <c r="H121" i="6" s="1"/>
  <c r="H122" i="6" s="1"/>
  <c r="H123" i="6" s="1"/>
  <c r="H124" i="6" s="1"/>
  <c r="H125" i="6" s="1"/>
  <c r="H126" i="6" s="1"/>
  <c r="H127" i="6" s="1"/>
  <c r="H128" i="6" s="1"/>
  <c r="H129" i="6" s="1"/>
  <c r="H130" i="6" s="1"/>
  <c r="H131" i="6" s="1"/>
  <c r="H132" i="6" s="1"/>
  <c r="H133" i="6" s="1"/>
  <c r="H134" i="6" s="1"/>
  <c r="H135" i="6" s="1"/>
  <c r="H136" i="6" s="1"/>
  <c r="H137" i="6" s="1"/>
  <c r="H138" i="6" s="1"/>
  <c r="H139" i="6" s="1"/>
  <c r="H140" i="6" s="1"/>
  <c r="H141" i="6" s="1"/>
  <c r="H142" i="6" s="1"/>
  <c r="H143" i="6" s="1"/>
  <c r="H144" i="6" s="1"/>
  <c r="H145" i="6" s="1"/>
  <c r="H146" i="6" s="1"/>
  <c r="H147" i="6" s="1"/>
  <c r="H148" i="6" s="1"/>
  <c r="H149" i="6" s="1"/>
  <c r="H150" i="6" s="1"/>
  <c r="H151" i="6" s="1"/>
  <c r="H152" i="6" s="1"/>
  <c r="H153" i="6" s="1"/>
  <c r="H154" i="6" s="1"/>
  <c r="H155" i="6" s="1"/>
  <c r="H156" i="6" s="1"/>
  <c r="H157" i="6" s="1"/>
  <c r="H158" i="6" s="1"/>
  <c r="H159" i="6" s="1"/>
  <c r="H160" i="6" s="1"/>
  <c r="H161" i="6" s="1"/>
  <c r="H162" i="6" s="1"/>
  <c r="H163" i="6" s="1"/>
  <c r="H164" i="6" s="1"/>
  <c r="H165" i="6" s="1"/>
  <c r="H166" i="6" s="1"/>
  <c r="H167" i="6" s="1"/>
  <c r="H168" i="6" s="1"/>
  <c r="H169" i="6" s="1"/>
  <c r="H170" i="6" s="1"/>
  <c r="H171" i="6" s="1"/>
  <c r="H172" i="6" s="1"/>
  <c r="H173" i="6" s="1"/>
  <c r="H174" i="6" s="1"/>
  <c r="H175" i="6" s="1"/>
  <c r="H176" i="6" s="1"/>
  <c r="H177" i="6" s="1"/>
  <c r="H178" i="6" s="1"/>
  <c r="H179" i="6" s="1"/>
  <c r="H180" i="6" s="1"/>
  <c r="H181" i="6" s="1"/>
  <c r="H182" i="6" s="1"/>
  <c r="H183" i="6" s="1"/>
  <c r="H184" i="6" s="1"/>
  <c r="H185" i="6" s="1"/>
  <c r="H186" i="6" s="1"/>
  <c r="H187" i="6" s="1"/>
  <c r="H188" i="6" s="1"/>
  <c r="H189" i="6" s="1"/>
  <c r="H190" i="6" s="1"/>
  <c r="H191" i="6" s="1"/>
  <c r="H192" i="6" s="1"/>
  <c r="H193" i="6" s="1"/>
  <c r="H194" i="6" s="1"/>
  <c r="H195" i="6" s="1"/>
  <c r="H196" i="6" s="1"/>
  <c r="H197" i="6" s="1"/>
  <c r="H198" i="6" s="1"/>
  <c r="H199" i="6" s="1"/>
  <c r="H200" i="6" s="1"/>
  <c r="H201" i="6" s="1"/>
  <c r="H202" i="6" s="1"/>
  <c r="H203" i="6" s="1"/>
  <c r="H204" i="6" s="1"/>
  <c r="H205" i="6" s="1"/>
  <c r="H206" i="6" s="1"/>
  <c r="H207" i="6" s="1"/>
  <c r="H208" i="6" s="1"/>
  <c r="H209" i="6" s="1"/>
  <c r="H210" i="6" s="1"/>
  <c r="H211" i="6" s="1"/>
  <c r="H212" i="6" s="1"/>
  <c r="H213" i="6" s="1"/>
  <c r="H214" i="6" s="1"/>
  <c r="H215" i="6" s="1"/>
  <c r="H216" i="6" s="1"/>
  <c r="H217" i="6" s="1"/>
  <c r="H218" i="6" s="1"/>
  <c r="H219" i="6" s="1"/>
  <c r="H220" i="6" s="1"/>
  <c r="H221" i="6" s="1"/>
  <c r="H222" i="6" s="1"/>
  <c r="H223" i="6" s="1"/>
  <c r="H224" i="6" s="1"/>
  <c r="H225" i="6" s="1"/>
  <c r="H226" i="6" s="1"/>
  <c r="H227" i="6" s="1"/>
  <c r="H228" i="6" s="1"/>
  <c r="H229" i="6" s="1"/>
  <c r="H230" i="6" s="1"/>
  <c r="H231" i="6" s="1"/>
  <c r="H232" i="6" s="1"/>
  <c r="H233" i="6" s="1"/>
  <c r="H234" i="6" s="1"/>
  <c r="H235" i="6" s="1"/>
  <c r="H236" i="6" s="1"/>
  <c r="H237" i="6" s="1"/>
  <c r="H238" i="6" s="1"/>
  <c r="H239" i="6" s="1"/>
  <c r="H240" i="6" s="1"/>
  <c r="H241" i="6" s="1"/>
  <c r="H242" i="6" s="1"/>
  <c r="H243" i="6" s="1"/>
  <c r="H244" i="6" s="1"/>
  <c r="H245" i="6" s="1"/>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<sst xmlns="http://schemas.openxmlformats.org/spreadsheetml/2006/main" count="724" uniqueCount="286">
  <si>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</si>
  <si>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</si>
  <si>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</si>
  <si>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</si>
  <si>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</si>
  <si>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</si>
  <si>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</si>
  <si>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</si>
  <si>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</si>
  <si>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</si>
  <si>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</si>
  <si>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</si>
  <si>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</si>
  <si>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</si>
  <si>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</si>
  <si>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</si>
  <si>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</si>
  <si>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</si>
  <si>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</si>
  <si>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</si>
  <si>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</si>
  <si>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</si>
  <si>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</si>
  <si>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</si>
  <si>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</si>
  <si>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</si>
  <si>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</si>
  <si>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</si>
  <si>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</si>
  <si>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</si>
  <si>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</si>
  <si>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</si>
  <si>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</si>
  <si>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</si>
  <si>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</si>
  <si>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</si>
  <si>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</si>
  <si>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</si>
  <si>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</si>
  <si>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</si>
  <si>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</si>
  <si>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</si>
  <si>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</si>
  <si>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</si>
  <si>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</si>
  <si>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</si>
  <si>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</si>
  <si>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</si>
  <si>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</si>
  <si>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</si>
  <si>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</si>
  <si>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</si>
  <si>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</si>
  <si>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</si>
  <si>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</si>
  <si>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</si>
  <si>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</si>
  <si>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</si>
  <si>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</si>
  <si>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</si>
  <si>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</si>
  <si>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</si>
  <si>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</si>
  <si>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</si>
  <si>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</si>
  <si>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</si>
  <si>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</si>
  <si>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</si>
  <si>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</si>
  <si>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</si>
  <si>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</si>
  <si>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</si>
  <si>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</si>
  <si>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</si>
  <si>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</si>
  <si>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</si>
  <si>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</si>
  <si>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</si>
  <si>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</si>
  <si>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</si>
  <si>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</si>
  <si>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</si>
  <si>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</si>
  <si>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</si>
  <si>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</si>
  <si>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</si>
  <si>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</si>
  <si>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</si>
  <si>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</si>
  <si>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</si>
  <si>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</si>
  <si>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</si>
  <si>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</si>
  <si>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</si>
  <si>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</si>
  <si>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</si>
  <si>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</si>
  <si>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</si>
  <si>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</si>
  <si>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</si>
  <si>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</si>
  <si>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</si>
  <si>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</si>
  <si>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</si>
  <si>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</si>
  <si>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</si>
  <si>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</si>
  <si>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</si>
  <si>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</si>
  <si>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</si>
  <si>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</si>
  <si>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</si>
  <si>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</si>
  <si>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</si>
  <si>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</si>
  <si>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</si>
  <si>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</si>
  <si>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</si>
  <si>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</si>
  <si>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</si>
  <si>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</si>
  <si>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</si>
  <si>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</si>
  <si>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</si>
  <si>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</si>
  <si>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</si>
  <si>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</si>
  <si>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</si>
  <si>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</si>
  <si>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</si>
  <si>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</si>
  <si>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</si>
  <si>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</si>
  <si>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</si>
  <si>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</si>
  <si>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</si>
  <si>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</si>
  <si>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</si>
  <si>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</si>
  <si>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</si>
  <si>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</si>
  <si>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</si>
  <si>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</si>
  <si>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</si>
  <si>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</si>
  <si>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</si>
  <si>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</si>
  <si>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</si>
  <si>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</si>
  <si>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</si>
  <si>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</si>
  <si>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</si>
  <si>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</si>
  <si>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</si>
  <si>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</si>
  <si>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</si>
  <si>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</si>
  <si>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</si>
  <si>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</si>
  <si>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</si>
  <si>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</si>
  <si>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</si>
  <si>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</si>
  <si>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</si>
  <si>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</si>
  <si>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</si>
  <si>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</si>
  <si>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</si>
  <si>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</si>
  <si>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</si>
  <si>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</si>
  <si>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</si>
  <si>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</si>
  <si>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</si>
  <si>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</si>
  <si>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</si>
  <si>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</si>
  <si>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</si>
  <si>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</si>
  <si>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</si>
  <si>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</si>
  <si>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</si>
  <si>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</si>
  <si>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</si>
  <si>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</si>
  <si>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</si>
  <si>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</si>
  <si>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</si>
  <si>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</si>
  <si>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</si>
  <si>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</si>
  <si>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</si>
  <si>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</si>
  <si>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</si>
  <si>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</si>
  <si>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</si>
  <si>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</si>
  <si>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</si>
  <si>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</si>
  <si>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</si>
  <si>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</si>
  <si>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</si>
  <si>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</si>
  <si>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</si>
  <si>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</si>
  <si>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</si>
  <si>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</si>
  <si>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</si>
  <si>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</si>
  <si>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</si>
  <si>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</si>
  <si>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</si>
  <si>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</si>
  <si>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</si>
  <si>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</si>
  <si>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</si>
  <si>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</si>
  <si>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</si>
  <si>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</si>
  <si>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</si>
  <si>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</si>
  <si>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</si>
  <si>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</si>
  <si>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</si>
  <si>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</si>
  <si>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</si>
  <si>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</si>
  <si>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</si>
  <si>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</si>
  <si>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</si>
  <si>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</si>
  <si>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</si>
  <si>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</si>
  <si>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</si>
  <si>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</si>
  <si>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</si>
  <si>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</si>
  <si>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</si>
  <si>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</si>
  <si>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</si>
  <si>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</si>
  <si>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</si>
  <si>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</si>
  <si>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</si>
  <si>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</si>
  <si>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</si>
  <si>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</si>
  <si>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</si>
  <si>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</si>
  <si>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</si>
  <si>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</si>
  <si>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</si>
  <si>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</si>
  <si>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</si>
  <si>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</si>
  <si>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</si>
  <si>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</si>
  <si>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</si>
  <si>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</si>
  <si>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</si>
  <si>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</si>
  <si>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</si>
  <si>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</si>
  <si>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</si>
  <si>
    <t>Baseline values</t>
  </si>
  <si>
    <t>param level</t>
  </si>
  <si>
    <t>Ave Speed</t>
  </si>
  <si>
    <t>Time per Dis</t>
  </si>
  <si>
    <t>Dis per km</t>
  </si>
  <si>
    <t>(from model input assumptions)</t>
  </si>
  <si>
    <t>Hand calculated based on Inp_Custom inputs</t>
  </si>
  <si>
    <t>Net Present Value</t>
  </si>
  <si>
    <t>Baselines</t>
  </si>
  <si>
    <t>NOTE: To test this sensitivity, we need to change the Units the AGV can carry to 5 in the Inp_custom, as well as change the mission similarity, otherwise the average speed does not have a large enough input</t>
  </si>
  <si>
    <t>2 vehicles are suddenly needed</t>
  </si>
  <si>
    <t>TR by 10</t>
  </si>
  <si>
    <t>An easy and clear analysis of the sensitivity of net present value of the AGV replacement project is possible</t>
  </si>
  <si>
    <t>based on the algorithms here: https://github.com/erikwilhelm/AGVeval/tree/main/Python</t>
  </si>
  <si>
    <t>Note: This is completely possible using the excel tool as well, it is just a manual process (see example below for AGV cost, and in the sheet 'Model Output Sensitivity')</t>
  </si>
  <si>
    <t>AGV Cost</t>
  </si>
  <si>
    <t>NPV</t>
  </si>
  <si>
    <t>Change from baseline</t>
  </si>
  <si>
    <t>Baseline</t>
  </si>
  <si>
    <t>Operating costs</t>
  </si>
  <si>
    <t>Month</t>
  </si>
  <si>
    <t>Autonomous Ground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</si>
</sst>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00"/>
    <numFmt numFmtId="167" formatCode="_-[$€-2]\ * #,##0.00_-;\-[$€-2]\ * #,##0.00_-;_-[$€-2]\ * &quot;-&quot;??_-;_-@_-"/>
    <numFmt numFmtId="168" formatCode="_-* #,##0.00\ [$CHF-100C]_-;\-* #,##0.00\ [$CHF-100C]_-;_-* &quot;-&quot;??\ [$CHF-100C]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9">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2" fontId="1" fillId="0" borderId="0" xfId="0" applyNumberFormat="1" applyFont="1"/>
    <xf numFmtId="168" fontId="0" fillId="0" borderId="0" xfId="0" applyNumberFormat="1"/>
    <xf numFmtId="167" fontId="1" fillId="0" borderId="0" xfId="0"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ModelOutput!$D$37:$D$38</c:f>
              <c:strCache>
                <c:ptCount val="2"/>
                <c:pt idx="0">
                  <c:v>Vehicle</c:v>
                </c:pt>
                <c:pt idx="1">
                  <c:v>AGV</c:v>
                </c:pt>
              </c:strCache>
            </c:strRef>
          </c:cat>
          <c:val>
            <c:numRef>
              <c:f>ModelOutput!$B$37:$B$38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ModelOutput!$G$2</c:f>
              <c:strCache>
                <c:ptCount val="1"/>
                <c:pt idx="0">
                  <c:v>Flow</c:v>
                </c:pt>
              </c:strCache>
            </c:strRef>
          </c:tx>
          <c:spPr>
            <a:solidFill>
              <a:srgbClr val="000000"/>
            </a:solidFill>
            <a:ln>
              <a:noFill/>
            </a:ln>
            <a:effectLst/>
          </c:spPr>
          <c:invertIfNegative val="1"/>
          <c:cat>
            <c:numRef>
              <c:f>ModelOutput!$F$3:$F$10</c:f>
              <c:numCache>
                <c:formatCode>General</c:formatCode>
                <c:ptCount val="8"/>
                <c:pt idx="0">
                  <c:v>0</c:v>
                </c:pt>
                <c:pt idx="1">
                  <c:v>1</c:v>
                </c:pt>
                <c:pt idx="2">
                  <c:v>2</c:v>
                </c:pt>
                <c:pt idx="3">
                  <c:v>3</c:v>
                </c:pt>
                <c:pt idx="4">
                  <c:v>4</c:v>
                </c:pt>
                <c:pt idx="5">
                  <c:v>5</c:v>
                </c:pt>
                <c:pt idx="6">
                  <c:v>6</c:v>
                </c:pt>
                <c:pt idx="7">
                  <c:v>7</c:v>
                </c:pt>
              </c:numCache>
            </c:numRef>
          </c:cat>
          <c:val>
            <c:numRef>
              <c:f>ModelOutput!$G$3:$G$10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(ModelOutput!$A$7,ModelOutput!$A$13:$A$14)</c:f>
              <c:strCache>
                <c:ptCount val="3"/>
                <c:pt idx="0">
                  <c:v>Human operated vehicle purchase cost</c:v>
                </c:pt>
                <c:pt idx="1">
                  <c:v>Cumulative annual vehicle operation cost</c:v>
                </c:pt>
                <c:pt idx="2">
                  <c:v>Human operated vehicle end of life cost</c:v>
                </c:pt>
              </c:strCache>
            </c:strRef>
          </c:cat>
          <c:val>
            <c:numRef>
              <c:f>(ModelOutput!$B$7,ModelOutput!$B$13:$B$14)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(ModelOutput!$A$21,ModelOutput!$A$29:$A$30)</c:f>
              <c:strCache>
                <c:ptCount val="3"/>
                <c:pt idx="0">
                  <c:v>Autonomous ground vehicle purchase cost</c:v>
                </c:pt>
                <c:pt idx="1">
                  <c:v>Cumulative annual autonomous vehicle operation cost</c:v>
                </c:pt>
                <c:pt idx="2">
                  <c:v>Autonomous ground vehicle end of life cost</c:v>
                </c:pt>
              </c:strCache>
            </c:strRef>
          </c:cat>
          <c:val>
            <c:numRef>
              <c:f>(ModelOutput!$B$21,ModelOutput!$B$29:$B$30)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Speed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ModelInputSensitivity!$E$2:$E$10</c:f>
              <c:numCache>
                <c:formatCode>0.00</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ModelInputSensitivity!$E$12:$E$21</c:f>
              <c:numCache>
                <c:formatCode>0.00</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ModelInputSensitivity!$E$23:$E$32</c:f>
              <c:numCache>
                <c:formatCode>0.00</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ModelInputSensitivity!$E$34:$E$43</c:f>
              <c:numCache>
                <c:formatCode>0.00</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ModelInputSensitivity!$V$27:$V$36</c:f>
              <c:numCache>
                <c:formatCode>General</c:formatCode>
                <c:ptCount val="10"/>
                <c:pt idx="0">
                  <c:v>3</c:v>
                </c:pt>
                <c:pt idx="1">
                  <c:v>3</c:v>
                </c:pt>
                <c:pt idx="2">
                  <c:v>3</c:v>
                </c:pt>
                <c:pt idx="3">
                  <c:v>3</c:v>
                </c:pt>
                <c:pt idx="4">
                  <c:v>3</c:v>
                </c:pt>
                <c:pt idx="5">
                  <c:v>3</c:v>
                </c:pt>
                <c:pt idx="6">
                  <c:v>3</c:v>
                </c:pt>
                <c:pt idx="7">
                  <c:v>3</c:v>
                </c:pt>
                <c:pt idx="8">
                  <c:v>3</c:v>
                </c:pt>
                <c:pt idx="9">
                  <c:v>3</c:v>
                </c:pt>
              </c:numCache>
            </c:numRef>
          </c:yVal>
          <c:smooth val="0"/>
          <c:extLst>
            <c:ext xmlns:c16="http://schemas.microsoft.com/office/drawing/2014/chart" uri="{C3380CC4-5D6E-409C-BE32-E72D297353CC}">
              <c16:uniqueId val="{00000021-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per km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ModelInputSensitivity!$G$2:$G$10</c:f>
              <c:numCache>
                <c:formatCode>0.00</c:formatCode>
                <c:ptCount val="9"/>
                <c:pt idx="0">
                  <c:v>4.1379100903453514</c:v>
                </c:pt>
                <c:pt idx="1">
                  <c:v>1.4010064220978744</c:v>
                </c:pt>
                <c:pt idx="2">
                  <c:v>0.47435032465765103</c:v>
                </c:pt>
                <c:pt idx="3">
                  <c:v>0.16060471026670267</c:v>
                </c:pt>
                <c:pt idx="4">
                  <c:v>5.4377264268697406E-2</c:v>
                </c:pt>
                <c:pt idx="5">
                  <c:v>1.8410959830739128E-2</c:v>
                </c:pt>
                <c:pt idx="6">
                  <c:v>6.2335508497476152E-3</c:v>
                </c:pt>
                <c:pt idx="7">
                  <c:v>2.1105448359901866E-3</c:v>
                </c:pt>
                <c:pt idx="8">
                  <c:v>7.1458461029562219E-4</c:v>
                </c:pt>
              </c:numCache>
            </c:numRef>
          </c:yVal>
          <c:smooth val="0"/>
          <c:extLst>
            <c:ext xmlns:c16="http://schemas.microsoft.com/office/drawing/2014/chart" uri="{C3380CC4-5D6E-409C-BE32-E72D297353CC}">
              <c16:uniqueId val="{00000000-E52D-4CB2-BDAE-D66D5080384F}"/>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ModelInputSensitivity!$G$12:$G$21</c:f>
              <c:numCache>
                <c:formatCode>0.00</c:formatCode>
                <c:ptCount val="10"/>
                <c:pt idx="0">
                  <c:v>0.38064084988088182</c:v>
                </c:pt>
                <c:pt idx="1">
                  <c:v>0.19032042494044091</c:v>
                </c:pt>
                <c:pt idx="2">
                  <c:v>0.12688028329362727</c:v>
                </c:pt>
                <c:pt idx="3">
                  <c:v>9.5160212470220454E-2</c:v>
                </c:pt>
                <c:pt idx="4">
                  <c:v>7.6128169976176358E-2</c:v>
                </c:pt>
                <c:pt idx="5">
                  <c:v>6.3440141646813636E-2</c:v>
                </c:pt>
                <c:pt idx="6">
                  <c:v>5.4377264268697406E-2</c:v>
                </c:pt>
                <c:pt idx="7">
                  <c:v>4.7580106235110227E-2</c:v>
                </c:pt>
                <c:pt idx="8">
                  <c:v>4.2293427764542417E-2</c:v>
                </c:pt>
                <c:pt idx="9">
                  <c:v>3.8064084988088179E-2</c:v>
                </c:pt>
              </c:numCache>
            </c:numRef>
          </c:yVal>
          <c:smooth val="0"/>
          <c:extLst>
            <c:ext xmlns:c16="http://schemas.microsoft.com/office/drawing/2014/chart" uri="{C3380CC4-5D6E-409C-BE32-E72D297353CC}">
              <c16:uniqueId val="{00000001-E52D-4CB2-BDAE-D66D5080384F}"/>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ModelInputSensitivity!$G$23:$G$32</c:f>
              <c:numCache>
                <c:formatCode>0.00</c:formatCode>
                <c:ptCount val="10"/>
                <c:pt idx="0">
                  <c:v>5.4377264268697406E-2</c:v>
                </c:pt>
                <c:pt idx="1">
                  <c:v>5.4377264268697406E-2</c:v>
                </c:pt>
                <c:pt idx="2">
                  <c:v>5.4377264268697406E-2</c:v>
                </c:pt>
                <c:pt idx="3">
                  <c:v>5.4377264268697406E-2</c:v>
                </c:pt>
                <c:pt idx="4">
                  <c:v>5.4377264268697406E-2</c:v>
                </c:pt>
                <c:pt idx="5">
                  <c:v>5.4377264268697406E-2</c:v>
                </c:pt>
                <c:pt idx="6">
                  <c:v>5.4377264268697406E-2</c:v>
                </c:pt>
                <c:pt idx="7">
                  <c:v>5.4377264268697406E-2</c:v>
                </c:pt>
                <c:pt idx="8">
                  <c:v>5.4377264268697406E-2</c:v>
                </c:pt>
                <c:pt idx="9">
                  <c:v>5.4377264268697406E-2</c:v>
                </c:pt>
              </c:numCache>
            </c:numRef>
          </c:yVal>
          <c:smooth val="0"/>
          <c:extLst>
            <c:ext xmlns:c16="http://schemas.microsoft.com/office/drawing/2014/chart" uri="{C3380CC4-5D6E-409C-BE32-E72D297353CC}">
              <c16:uniqueId val="{00000002-E52D-4CB2-BDAE-D66D5080384F}"/>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ModelInputSensitivity!$G$34:$G$43</c:f>
              <c:numCache>
                <c:formatCode>0.00</c:formatCode>
                <c:ptCount val="10"/>
                <c:pt idx="0">
                  <c:v>0.32626358561218438</c:v>
                </c:pt>
                <c:pt idx="1">
                  <c:v>0.16313179280609219</c:v>
                </c:pt>
                <c:pt idx="2">
                  <c:v>0.10875452853739481</c:v>
                </c:pt>
                <c:pt idx="3">
                  <c:v>8.1565896403046095E-2</c:v>
                </c:pt>
                <c:pt idx="4">
                  <c:v>6.5252717122436882E-2</c:v>
                </c:pt>
                <c:pt idx="5">
                  <c:v>5.4377264268697406E-2</c:v>
                </c:pt>
                <c:pt idx="6">
                  <c:v>4.6609083658883492E-2</c:v>
                </c:pt>
                <c:pt idx="7">
                  <c:v>4.0782948201523048E-2</c:v>
                </c:pt>
                <c:pt idx="8">
                  <c:v>3.6251509512464933E-2</c:v>
                </c:pt>
                <c:pt idx="9">
                  <c:v>3.2626358561218441E-2</c:v>
                </c:pt>
              </c:numCache>
            </c:numRef>
          </c:yVal>
          <c:smooth val="0"/>
          <c:extLst>
            <c:ext xmlns:c16="http://schemas.microsoft.com/office/drawing/2014/chart" uri="{C3380CC4-5D6E-409C-BE32-E72D297353CC}">
              <c16:uniqueId val="{00000003-E52D-4CB2-BDAE-D66D5080384F}"/>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ModelInputSensitivity!$X$27:$X$36</c:f>
              <c:numCache>
                <c:formatCode>General</c:formatCode>
                <c:ptCount val="10"/>
                <c:pt idx="0">
                  <c:v>0.01</c:v>
                </c:pt>
                <c:pt idx="1">
                  <c:v>0.01</c:v>
                </c:pt>
                <c:pt idx="2">
                  <c:v>0.01</c:v>
                </c:pt>
                <c:pt idx="3">
                  <c:v>0.01</c:v>
                </c:pt>
                <c:pt idx="4">
                  <c:v>0.01</c:v>
                </c:pt>
                <c:pt idx="5">
                  <c:v>0.01</c:v>
                </c:pt>
                <c:pt idx="6">
                  <c:v>0.01</c:v>
                </c:pt>
                <c:pt idx="7">
                  <c:v>0.01</c:v>
                </c:pt>
                <c:pt idx="8">
                  <c:v>0.01</c:v>
                </c:pt>
                <c:pt idx="9">
                  <c:v>0.01</c:v>
                </c:pt>
              </c:numCache>
            </c:numRef>
          </c:yVal>
          <c:smooth val="0"/>
          <c:extLst>
            <c:ext xmlns:c16="http://schemas.microsoft.com/office/drawing/2014/chart" uri="{C3380CC4-5D6E-409C-BE32-E72D297353CC}">
              <c16:uniqueId val="{00000004-E52D-4CB2-BDAE-D66D5080384F}"/>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Time</a:t>
            </a:r>
            <a:r>
              <a:rPr lang="en-CA" baseline="0"/>
              <a:t> </a:t>
            </a:r>
            <a:r>
              <a:rPr lang="en-CA"/>
              <a:t>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ModelInputSensitivity!$F$2:$F$10</c:f>
              <c:numCache>
                <c:formatCode>0.00</c:formatCode>
                <c:ptCount val="9"/>
                <c:pt idx="0">
                  <c:v>123.31223846651093</c:v>
                </c:pt>
                <c:pt idx="1">
                  <c:v>62.534578695598213</c:v>
                </c:pt>
                <c:pt idx="2">
                  <c:v>31.712777103612453</c:v>
                </c:pt>
                <c:pt idx="3">
                  <c:v>16.082306023342515</c:v>
                </c:pt>
                <c:pt idx="4">
                  <c:v>8.1557211524996589</c:v>
                </c:pt>
                <c:pt idx="5">
                  <c:v>4.135960814374922</c:v>
                </c:pt>
                <c:pt idx="6">
                  <c:v>2.0974444243722039</c:v>
                </c:pt>
                <c:pt idx="7">
                  <c:v>1.0636641183929878</c:v>
                </c:pt>
                <c:pt idx="8">
                  <c:v>0.53940945638899163</c:v>
                </c:pt>
              </c:numCache>
            </c:numRef>
          </c:yVal>
          <c:smooth val="0"/>
          <c:extLst>
            <c:ext xmlns:c16="http://schemas.microsoft.com/office/drawing/2014/chart" uri="{C3380CC4-5D6E-409C-BE32-E72D297353CC}">
              <c16:uniqueId val="{00000000-9FCD-464C-AA4C-647D74F9F619}"/>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ModelInputSensitivity!$F$12:$F$21</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1-9FCD-464C-AA4C-647D74F9F619}"/>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ModelInputSensitivity!$F$23:$F$32</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2-9FCD-464C-AA4C-647D74F9F619}"/>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ModelInputSensitivity!$F$34:$F$43</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3-9FCD-464C-AA4C-647D74F9F619}"/>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ModelInputSensitivity!$W$27:$W$36</c:f>
              <c:numCache>
                <c:formatCode>General</c:formatCode>
                <c:ptCount val="10"/>
                <c:pt idx="0">
                  <c:v>5</c:v>
                </c:pt>
                <c:pt idx="1">
                  <c:v>5</c:v>
                </c:pt>
                <c:pt idx="2">
                  <c:v>5</c:v>
                </c:pt>
                <c:pt idx="3">
                  <c:v>5</c:v>
                </c:pt>
                <c:pt idx="4">
                  <c:v>5</c:v>
                </c:pt>
                <c:pt idx="5">
                  <c:v>5</c:v>
                </c:pt>
                <c:pt idx="6">
                  <c:v>5</c:v>
                </c:pt>
                <c:pt idx="7">
                  <c:v>5</c:v>
                </c:pt>
                <c:pt idx="8">
                  <c:v>5</c:v>
                </c:pt>
                <c:pt idx="9">
                  <c:v>5</c:v>
                </c:pt>
              </c:numCache>
            </c:numRef>
          </c:yVal>
          <c:smooth val="0"/>
          <c:extLst>
            <c:ext xmlns:c16="http://schemas.microsoft.com/office/drawing/2014/chart" uri="{C3380CC4-5D6E-409C-BE32-E72D297353CC}">
              <c16:uniqueId val="{00000004-9FCD-464C-AA4C-647D74F9F619}"/>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Senstivity</a:t>
            </a:r>
            <a:r>
              <a:rPr lang="en-CA" baseline="0"/>
              <a:t> to Mission </a:t>
            </a:r>
            <a:r>
              <a:rPr lang="en-CA"/>
              <a:t>Input Assumptions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ModelOutputSensitivity!$A$19</c:f>
              <c:strCache>
                <c:ptCount val="1"/>
                <c:pt idx="0">
                  <c:v>Company acceptance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ModelOutputSensitivity!$A$20:$A$29</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ModelOutputSensitivity!$B$20:$B$29</c:f>
              <c:numCache>
                <c:formatCode>_-* #,##0.00\ [$CHF-100C]_-;\-* #,##0.00\ [$CHF-100C]_-;_-* "-"??\ [$CHF-100C]_-;_-@_-</c:formatCode>
                <c:ptCount val="10"/>
                <c:pt idx="0">
                  <c:v>849.1267821900467</c:v>
                </c:pt>
                <c:pt idx="1">
                  <c:v>1005.1786871988046</c:v>
                </c:pt>
                <c:pt idx="2">
                  <c:v>1057.1959888683969</c:v>
                </c:pt>
                <c:pt idx="3">
                  <c:v>1083.2046397031861</c:v>
                </c:pt>
                <c:pt idx="4">
                  <c:v>1098.8098302040587</c:v>
                </c:pt>
                <c:pt idx="5">
                  <c:v>1109.2132905379747</c:v>
                </c:pt>
                <c:pt idx="6">
                  <c:v>1116.6443336336306</c:v>
                </c:pt>
                <c:pt idx="7">
                  <c:v>1122.2176159553687</c:v>
                </c:pt>
                <c:pt idx="8">
                  <c:v>1126.5523910945069</c:v>
                </c:pt>
                <c:pt idx="9">
                  <c:v>1130.0202112058078</c:v>
                </c:pt>
              </c:numCache>
            </c:numRef>
          </c:yVal>
          <c:smooth val="0"/>
          <c:extLst>
            <c:ext xmlns:c16="http://schemas.microsoft.com/office/drawing/2014/chart" uri="{C3380CC4-5D6E-409C-BE32-E72D297353CC}">
              <c16:uniqueId val="{00000001-4BA1-4919-8F97-A2456E3BAFAE}"/>
            </c:ext>
          </c:extLst>
        </c:ser>
        <c:ser>
          <c:idx val="0"/>
          <c:order val="1"/>
          <c:tx>
            <c:strRef>
              <c:f>ModelOutputSensitivity!$A$31</c:f>
              <c:strCache>
                <c:ptCount val="1"/>
                <c:pt idx="0">
                  <c:v>Mission Similarity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ModelOutputSensitivity!$A$32:$A$41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ModelOutputSensitivity!$B$32:$B$41</c:f>
              <c:numCache>
                <c:formatCode>_-* #,##0.00\ [$CHF-100C]_-;\-* #,##0.00\ [$CHF-100C]_-;_-* "-"??\ [$CHF-100C]_-;_-@_-</c:formatCode>
                <c:ptCount val="10"/>
                <c:pt idx="0">
                  <c:v>-130002.65604644013</c:v>
                </c:pt>
                <c:pt idx="1">
                  <c:v>319.67523010741735</c:v>
                </c:pt>
                <c:pt idx="2">
                  <c:v>319.67523010741735</c:v>
                </c:pt>
                <c:pt idx="3">
                  <c:v>319.67523010741735</c:v>
                </c:pt>
                <c:pt idx="4">
                  <c:v>319.67523010741735</c:v>
                </c:pt>
                <c:pt idx="5">
                  <c:v>319.67523010741735</c:v>
                </c:pt>
                <c:pt idx="6">
                  <c:v>319.67523010741735</c:v>
                </c:pt>
                <c:pt idx="7">
                  <c:v>319.67523010741735</c:v>
                </c:pt>
                <c:pt idx="8">
                  <c:v>319.67523010741735</c:v>
                </c:pt>
                <c:pt idx="9">
                  <c:v>319.67523010741735</c:v>
                </c:pt>
              </c:numCache>
            </c:numRef>
          </c:yVal>
          <c:smooth val="0"/>
          <c:extLst>
            <c:ext xmlns:c16="http://schemas.microsoft.com/office/drawing/2014/chart" uri="{C3380CC4-5D6E-409C-BE32-E72D297353CC}">
              <c16:uniqueId val="{00000002-4BA1-4919-8F97-A2456E3BAFAE}"/>
            </c:ext>
          </c:extLst>
        </c:ser>
        <c:ser>
          <c:idx val="2"/>
          <c:order val="2"/>
          <c:tx>
            <c:strRef>
              <c:f>ModelOutputSensitivity!$A$43</c:f>
              <c:strCache>
                <c:ptCount val="1"/>
                <c:pt idx="0">
                  <c:v>Mission Determinism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ModelOutputSensitivity!$A$44:$A$53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ModelOutputSensitivity!$B$44:$B$53</c:f>
              <c:numCache>
                <c:formatCode>_-* #,##0.00\ [$CHF-100C]_-;\-* #,##0.00\ [$CHF-100C]_-;_-* "-"??\ [$CHF-100C]_-;_-@_-</c:formatCode>
                <c:ptCount val="10"/>
                <c:pt idx="0">
                  <c:v>893.71304076397655</c:v>
                </c:pt>
                <c:pt idx="1">
                  <c:v>1027.471816485772</c:v>
                </c:pt>
                <c:pt idx="2">
                  <c:v>1072.0580750597019</c:v>
                </c:pt>
                <c:pt idx="3">
                  <c:v>1094.351204346664</c:v>
                </c:pt>
                <c:pt idx="4">
                  <c:v>1107.7270819188439</c:v>
                </c:pt>
                <c:pt idx="5">
                  <c:v>1116.6443336336306</c:v>
                </c:pt>
                <c:pt idx="6">
                  <c:v>1123.0137991441984</c:v>
                </c:pt>
                <c:pt idx="7">
                  <c:v>1127.7908982771135</c:v>
                </c:pt>
                <c:pt idx="8">
                  <c:v>1131.5064198249374</c:v>
                </c:pt>
                <c:pt idx="9">
                  <c:v>1134.4788370632041</c:v>
                </c:pt>
              </c:numCache>
            </c:numRef>
          </c:yVal>
          <c:smooth val="0"/>
          <c:extLst>
            <c:ext xmlns:c16="http://schemas.microsoft.com/office/drawing/2014/chart" uri="{C3380CC4-5D6E-409C-BE32-E72D297353CC}">
              <c16:uniqueId val="{00000003-4BA1-4919-8F97-A2456E3BAFAE}"/>
            </c:ext>
          </c:extLst>
        </c:ser>
        <c:ser>
          <c:idx val="3"/>
          <c:order val="3"/>
          <c:tx>
            <c:strRef>
              <c:f>ModelOutputSensitivity!$A$8</c:f>
              <c:strCache>
                <c:ptCount val="1"/>
                <c:pt idx="0">
                  <c:v>Technology Readiness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ModelOutputSensitivity!$C$9:$C$17</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ModelOutputSensitivity!$B$9:$B$17</c:f>
              <c:numCache>
                <c:formatCode>_-* #,##0.00\ [$CHF-100C]_-;\-* #,##0.00\ [$CHF-100C]_-;_-* "-"??\ [$CHF-100C]_-;_-@_-</c:formatCode>
                <c:ptCount val="9"/>
                <c:pt idx="0">
                  <c:v>-30660379.26628283</c:v>
                </c:pt>
                <c:pt idx="1">
                  <c:v>-3608424.0743925855</c:v>
                </c:pt>
                <c:pt idx="2">
                  <c:v>-297607.68853009638</c:v>
                </c:pt>
                <c:pt idx="3">
                  <c:v>-50137.726831554013</c:v>
                </c:pt>
                <c:pt idx="4">
                  <c:v>-7646.8577474220256</c:v>
                </c:pt>
                <c:pt idx="5">
                  <c:v>-351.1280227607607</c:v>
                </c:pt>
                <c:pt idx="6">
                  <c:v>901.55692726733912</c:v>
                </c:pt>
                <c:pt idx="7">
                  <c:v>1116.6443336336306</c:v>
                </c:pt>
                <c:pt idx="8">
                  <c:v>1153.5750817649459</c:v>
                </c:pt>
              </c:numCache>
            </c:numRef>
          </c:yVal>
          <c:smooth val="0"/>
          <c:extLst>
            <c:ext xmlns:c16="http://schemas.microsoft.com/office/drawing/2014/chart" uri="{C3380CC4-5D6E-409C-BE32-E72D297353CC}">
              <c16:uniqueId val="{00000004-4BA1-4919-8F97-A2456E3BAFAE}"/>
            </c:ext>
          </c:extLst>
        </c:ser>
        <c:dLbls>
          <c:showLegendKey val="0"/>
          <c:showVal val="0"/>
          <c:showCatName val="0"/>
          <c:showSerName val="0"/>
          <c:showPercent val="0"/>
          <c:showBubbleSize val="0"/>
        </c:dLbls>
        <c:axId val="659955288"/>
        <c:axId val="659963208"/>
      </c:scatterChart>
      <c:valAx>
        <c:axId val="659955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Sensitivity</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63208"/>
        <c:crosses val="autoZero"/>
        <c:crossBetween val="midCat"/>
      </c:valAx>
      <c:valAx>
        <c:axId val="659963208"/>
        <c:scaling>
          <c:orientation val="minMax"/>
          <c:max val="2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 Present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5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impact of AGV</a:t>
            </a:r>
            <a:r>
              <a:rPr lang="en-US" baseline="0"/>
              <a:t> Cost on Net Present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AssumptionSensitivity!$C$57</c:f>
              <c:strCache>
                <c:ptCount val="1"/>
                <c:pt idx="0">
                  <c:v>NPV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AssumptionSensitivity!$B$58:$B$64</c:f>
              <c:numCache>
                <c:formatCode>0%</c:formatCode>
                <c:ptCount val="7"/>
                <c:pt idx="0">
                  <c:v>-0.5</c:v>
                </c:pt>
                <c:pt idx="1">
                  <c:v>-0.32608695652173914</c:v>
                </c:pt>
                <c:pt idx="2">
                  <c:v>-0.15217391304347827</c:v>
                </c:pt>
                <c:pt idx="3">
                  <c:v>2.1739130434782608E-2</c:v>
                </c:pt>
                <c:pt idx="4">
                  <c:v>0.19565217391304349</c:v>
                </c:pt>
                <c:pt idx="5">
                  <c:v>0.36956521739130432</c:v>
                </c:pt>
                <c:pt idx="6">
                  <c:v>0.54347826086956519</c:v>
                </c:pt>
              </c:numCache>
            </c:numRef>
          </c:xVal>
          <c:yVal>
            <c:numRef>
              <c:f>AssumptionSensitivity!$C$58:$C$64</c:f>
              <c:numCache>
                <c:formatCode>_-* #,##0.00\ [$CHF-100C]_-;\-* #,##0.00\ [$CHF-100C]_-;_-* "-"??\ [$CHF-100C]_-;_-@_-</c:formatCode>
                <c:ptCount val="7"/>
                <c:pt idx="0">
                  <c:v>54410.776739144007</c:v>
                </c:pt>
                <c:pt idx="1">
                  <c:v>35363.157691524953</c:v>
                </c:pt>
                <c:pt idx="2">
                  <c:v>16315.538643905906</c:v>
                </c:pt>
                <c:pt idx="3">
                  <c:v>-2732.0804037131415</c:v>
                </c:pt>
                <c:pt idx="4">
                  <c:v>-21779.699451332181</c:v>
                </c:pt>
                <c:pt idx="5">
                  <c:v>-40827.318498951237</c:v>
                </c:pt>
                <c:pt idx="6">
                  <c:v>-59874.937546570283</c:v>
                </c:pt>
              </c:numCache>
            </c:numRef>
          </c:yVal>
          <c:smooth val="0"/>
          <c:extLst>
            <c:ext xmlns:c16="http://schemas.microsoft.com/office/drawing/2014/chart" uri="{C3380CC4-5D6E-409C-BE32-E72D297353CC}">
              <c16:uniqueId val="{00000000-AE9E-43FF-8360-ED5296A2E262}"/>
            </c:ext>
          </c:extLst>
        </c:ser>
        <c:dLbls>
          <c:showLegendKey val="0"/>
          <c:showVal val="0"/>
          <c:showCatName val="0"/>
          <c:showSerName val="0"/>
          <c:showPercent val="0"/>
          <c:showBubbleSize val="0"/>
        </c:dLbls>
        <c:axId val="915969712"/>
        <c:axId val="911674992"/>
      </c:scatterChart>
      <c:valAx>
        <c:axId val="915969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t>
                </a:r>
                <a:r>
                  <a:rPr lang="en-CA" baseline="0"/>
                  <a:t> Change from Baseline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674992"/>
        <c:crosses val="autoZero"/>
        <c:crossBetween val="midCat"/>
      </c:valAx>
      <c:valAx>
        <c:axId val="91167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a:t>
                </a:r>
                <a:r>
                  <a:rPr lang="en-CA" baseline="0"/>
                  <a:t> Present Value (CHF)</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96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161924</xdr:colOff>
      <xdr:row>0</xdr:row>
      <xdr:rowOff>0</xdr:rowOff>
    </xdr:from>
    <xdr:to>
      <xdr:col>18</xdr:col>
      <xdr:colOff>371475</xdr:colOff>
      <xdr:row>22</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21</xdr:row>
      <xdr:rowOff>171450</xdr:rowOff>
    </xdr:from>
    <xdr:to>
      <xdr:col>18</xdr:col>
      <xdr:colOff>361951</xdr:colOff>
      <xdr:row>44</xdr:row>
      <xdr:rowOff>9525</xdr:rowOff>
    </xdr:to>
    <xdr:graphicFrame macro="">
      <xdr:nvGraphicFramePr>
        <xdr:cNvPr id="4" name="Chart 3">
          <a:extLst>
            <a:ext uri="{FF2B5EF4-FFF2-40B4-BE49-F238E27FC236}">
              <a16:creationId xmlns:a16="http://schemas.microsoft.com/office/drawing/2014/main" id="{2425E6D4-3C97-481C-A4F0-0E36488D9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0</xdr:row>
      <xdr:rowOff>0</xdr:rowOff>
    </xdr:from>
    <xdr:to>
      <xdr:col>28</xdr:col>
      <xdr:colOff>209551</xdr:colOff>
      <xdr:row>22</xdr:row>
      <xdr:rowOff>28575</xdr:rowOff>
    </xdr:to>
    <xdr:graphicFrame macro="">
      <xdr:nvGraphicFramePr>
        <xdr:cNvPr id="5" name="Chart 4">
          <a:extLst>
            <a:ext uri="{FF2B5EF4-FFF2-40B4-BE49-F238E27FC236}">
              <a16:creationId xmlns:a16="http://schemas.microsoft.com/office/drawing/2014/main" id="{DF151E76-1E93-4D6C-978B-44CC5CA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0</xdr:row>
      <xdr:rowOff>80962</xdr:rowOff>
    </xdr:from>
    <xdr:to>
      <xdr:col>19</xdr:col>
      <xdr:colOff>485774</xdr:colOff>
      <xdr:row>29</xdr:row>
      <xdr:rowOff>95250</xdr:rowOff>
    </xdr:to>
    <xdr:graphicFrame macro="">
      <xdr:nvGraphicFramePr>
        <xdr:cNvPr id="2" name="Chart 1">
          <a:extLst>
            <a:ext uri="{FF2B5EF4-FFF2-40B4-BE49-F238E27FC236}">
              <a16:creationId xmlns:a16="http://schemas.microsoft.com/office/drawing/2014/main" id="{21A59C6B-84BD-95DF-E5C6-F6F33579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27</xdr:col>
      <xdr:colOff>193006</xdr:colOff>
      <xdr:row>54</xdr:row>
      <xdr:rowOff>96593</xdr:rowOff>
    </xdr:to>
    <xdr:pic>
      <xdr:nvPicPr>
        <xdr:cNvPr id="2" name="Picture 1">
          <a:extLst>
            <a:ext uri="{FF2B5EF4-FFF2-40B4-BE49-F238E27FC236}">
              <a16:creationId xmlns:a16="http://schemas.microsoft.com/office/drawing/2014/main" id="{1FA6C54D-8792-28A2-1F92-D2FE21123203}"/>
            </a:ext>
          </a:extLst>
        </xdr:cNvPr>
        <xdr:cNvPicPr>
          <a:picLocks noChangeAspect="1"/>
        </xdr:cNvPicPr>
      </xdr:nvPicPr>
      <xdr:blipFill>
        <a:blip xmlns:r="http://schemas.openxmlformats.org/officeDocument/2006/relationships" r:embed="rId1"/>
        <a:stretch>
          <a:fillRect/>
        </a:stretch>
      </xdr:blipFill>
      <xdr:spPr>
        <a:xfrm>
          <a:off x="0" y="0"/>
          <a:ext cx="17957131" cy="9621593"/>
        </a:xfrm>
        <a:prstGeom prst="rect">
          <a:avLst/>
        </a:prstGeom>
      </xdr:spPr>
    </xdr:pic>
    <xdr:clientData/>
  </xdr:twoCellAnchor>
  <xdr:twoCellAnchor editAs="oneCell">
    <xdr:from>
      <xdr:col>7</xdr:col>
      <xdr:colOff>152400</xdr:colOff>
      <xdr:row>34</xdr:row>
      <xdr:rowOff>9525</xdr:rowOff>
    </xdr:from>
    <xdr:to>
      <xdr:col>20</xdr:col>
      <xdr:colOff>39190</xdr:colOff>
      <xdr:row>44</xdr:row>
      <xdr:rowOff>124107</xdr:rowOff>
    </xdr:to>
    <xdr:pic>
      <xdr:nvPicPr>
        <xdr:cNvPr id="3" name="Picture 2">
          <a:extLst>
            <a:ext uri="{FF2B5EF4-FFF2-40B4-BE49-F238E27FC236}">
              <a16:creationId xmlns:a16="http://schemas.microsoft.com/office/drawing/2014/main" id="{DBBC2AB4-1466-676F-1FAE-6F04B0697A47}"/>
            </a:ext>
          </a:extLst>
        </xdr:cNvPr>
        <xdr:cNvPicPr>
          <a:picLocks noChangeAspect="1"/>
        </xdr:cNvPicPr>
      </xdr:nvPicPr>
      <xdr:blipFill>
        <a:blip xmlns:r="http://schemas.openxmlformats.org/officeDocument/2006/relationships" r:embed="rId2"/>
        <a:stretch>
          <a:fillRect/>
        </a:stretch>
      </xdr:blipFill>
      <xdr:spPr>
        <a:xfrm>
          <a:off x="4419600" y="5724525"/>
          <a:ext cx="7811590" cy="2019582"/>
        </a:xfrm>
        <a:prstGeom prst="rect">
          <a:avLst/>
        </a:prstGeom>
      </xdr:spPr>
    </xdr:pic>
    <xdr:clientData/>
  </xdr:twoCellAnchor>
  <xdr:twoCellAnchor>
    <xdr:from>
      <xdr:col>4</xdr:col>
      <xdr:colOff>0</xdr:colOff>
      <xdr:row>55</xdr:row>
      <xdr:rowOff>71437</xdr:rowOff>
    </xdr:from>
    <xdr:to>
      <xdr:col>13</xdr:col>
      <xdr:colOff>533400</xdr:colOff>
      <xdr:row>74</xdr:row>
      <xdr:rowOff>9525</xdr:rowOff>
    </xdr:to>
    <xdr:graphicFrame macro="">
      <xdr:nvGraphicFramePr>
        <xdr:cNvPr id="4" name="Chart 3">
          <a:extLst>
            <a:ext uri="{FF2B5EF4-FFF2-40B4-BE49-F238E27FC236}">
              <a16:creationId xmlns:a16="http://schemas.microsoft.com/office/drawing/2014/main" id="{E9634AED-482C-B55C-1707-69E14F9C7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A24" sqref="A24"/>
    </sheetView>
  </sheetViews>
  <sheetFormatPr defaultRowHeight="15" x14ac:dyDescent="0.25"/>
  <cols>
    <col min="1" max="1" width="140" customWidth="1"/>
  </cols>
  <sheetData>
    <row r="1" spans="1:1" x14ac:dyDescent="0.25">
      <c r="A1" t="s">
        <v>5</v>
      </c>
    </row>
    <row r="3" spans="1:1" x14ac:dyDescent="0.25">
      <c r="A3" s="3" t="s">
        <v>0</v>
      </c>
    </row>
    <row r="4" spans="1:1" x14ac:dyDescent="0.25">
      <c r="A4" s="3"/>
    </row>
    <row r="5" spans="1:1" x14ac:dyDescent="0.25">
      <c r="A5" s="3" t="s">
        <v>1</v>
      </c>
    </row>
    <row r="6" spans="1:1" x14ac:dyDescent="0.25">
      <c r="A6" s="3"/>
    </row>
    <row r="7" spans="1:1" ht="30" x14ac:dyDescent="0.25">
      <c r="A7" s="3" t="s">
        <v>2</v>
      </c>
    </row>
    <row r="8" spans="1:1" x14ac:dyDescent="0.25">
      <c r="A8" s="3"/>
    </row>
    <row r="9" spans="1:1" ht="30" x14ac:dyDescent="0.25">
      <c r="A9" s="3" t="s">
        <v>3</v>
      </c>
    </row>
    <row r="10" spans="1:1" x14ac:dyDescent="0.25">
      <c r="A10" s="3"/>
    </row>
    <row r="11" spans="1:1" ht="90" x14ac:dyDescent="0.25">
      <c r="A11" s="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B35" sqref="B35"/>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5" sqref="B3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37" sqref="B37"/>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20" sqref="B20"/>
    </sheetView>
  </sheetViews>
  <sheetFormatPr defaultRowHeight="15" x14ac:dyDescent="0.25"/>
  <cols>
    <col min="1" max="1" width="38.42578125" bestFit="1" customWidth="1"/>
    <col min="2" max="2" width="9.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s="7">
        <f>0.5*0.7544*EXP(0.517*B9)*B11*B12</f>
        <v>4.0271184552531007</v>
      </c>
      <c r="C34" t="s">
        <v>167</v>
      </c>
    </row>
    <row r="35" spans="1:3" x14ac:dyDescent="0.25">
      <c r="A35" t="s">
        <v>173</v>
      </c>
      <c r="B35">
        <v>3</v>
      </c>
      <c r="C35" t="s">
        <v>183</v>
      </c>
    </row>
    <row r="36" spans="1:3" x14ac:dyDescent="0.25">
      <c r="A36" t="s">
        <v>174</v>
      </c>
      <c r="B36" s="13">
        <f>5.133*EXP(-1.083*B9)/B10/B12</f>
        <v>1.8410959830739128E-2</v>
      </c>
      <c r="C36" t="s">
        <v>184</v>
      </c>
    </row>
    <row r="37" spans="1:3" x14ac:dyDescent="0.25">
      <c r="A37" t="s">
        <v>175</v>
      </c>
      <c r="B37" s="13">
        <f>243.16*EXP(-0.679*B9)</f>
        <v>4.135960814374922</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6</v>
      </c>
      <c r="C9" t="s">
        <v>142</v>
      </c>
    </row>
    <row r="10" spans="1:10" x14ac:dyDescent="0.25">
      <c r="A10" t="s">
        <v>143</v>
      </c>
      <c r="B10" s="8" cm="1">
        <f t="array" aca="1" ref="B10" ca="1">INDIRECT("'"&amp;$F$1&amp;"'!B10")</f>
        <v>0.7</v>
      </c>
      <c r="C10" t="s">
        <v>127</v>
      </c>
    </row>
    <row r="11" spans="1:10" x14ac:dyDescent="0.25">
      <c r="A11" t="s">
        <v>144</v>
      </c>
      <c r="B11" s="8" cm="1">
        <f t="array" aca="1" ref="B11" ca="1">INDIRECT("'"&amp;$F$1&amp;"'!B11")</f>
        <v>0.8</v>
      </c>
      <c r="C11" t="s">
        <v>127</v>
      </c>
    </row>
    <row r="12" spans="1:10" x14ac:dyDescent="0.25">
      <c r="A12" t="s">
        <v>145</v>
      </c>
      <c r="B12" s="8" cm="1">
        <f t="array" aca="1" ref="B12" ca="1">INDIRECT("'"&amp;$F$1&amp;"'!B12")</f>
        <v>0.6</v>
      </c>
      <c r="C12" t="s">
        <v>127</v>
      </c>
    </row>
    <row r="13" spans="1:10" ht="18.75" x14ac:dyDescent="0.3">
      <c r="A13" s="9" t="s">
        <v>152</v>
      </c>
      <c r="B13" s="10"/>
    </row>
    <row r="14" spans="1:10" x14ac:dyDescent="0.25">
      <c r="A14" s="2" t="s">
        <v>124</v>
      </c>
      <c r="B14" s="2" t="s">
        <v>123</v>
      </c>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2" t="s">
        <v>123</v>
      </c>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2" t="s">
        <v>123</v>
      </c>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4</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H245"/>
  <sheetViews>
    <sheetView tabSelected="1" topLeftCell="A13" workbookViewId="0">
      <selection activeCell="H44" sqref="H44"/>
    </sheetView>
  </sheetViews>
  <sheetFormatPr defaultRowHeight="15" x14ac:dyDescent="0.25"/>
  <cols>
    <col min="1" max="1" width="50.140625" customWidth="1"/>
    <col min="2" max="2" width="16.5703125" customWidth="1"/>
    <col min="7" max="7" width="12.7109375" customWidth="1"/>
    <col min="8" max="8" width="13.28515625"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_xlfn.CEILING.MATH(ModelInput!B16/ModelInput!B26)</f>
        <v>5</v>
      </c>
      <c r="C3" t="s">
        <v>210</v>
      </c>
      <c r="F3">
        <v>0</v>
      </c>
      <c r="G3" s="15">
        <f ca="1">B32</f>
        <v>-41000</v>
      </c>
    </row>
    <row r="4" spans="1:7" x14ac:dyDescent="0.25">
      <c r="A4" t="s">
        <v>211</v>
      </c>
      <c r="B4">
        <f ca="1">B3*ModelInput!B15</f>
        <v>10</v>
      </c>
      <c r="C4" t="s">
        <v>212</v>
      </c>
      <c r="F4">
        <v>1</v>
      </c>
      <c r="G4">
        <f ca="1">IF(F4=ModelInput!$B$8,$B$34+$B$33,IF(F4&lt;=ModelInput!$B$8-1,ModelOutput!$B$33,0))</f>
        <v>7386.3340000000007</v>
      </c>
    </row>
    <row r="5" spans="1:7" x14ac:dyDescent="0.25">
      <c r="A5" t="s">
        <v>213</v>
      </c>
      <c r="B5" s="14">
        <f ca="1">B4/ModelInput!B25</f>
        <v>0.83333333333333337</v>
      </c>
      <c r="C5" t="s">
        <v>199</v>
      </c>
      <c r="F5">
        <v>2</v>
      </c>
      <c r="G5">
        <f ca="1">IF(F5=ModelInput!$B$8,$B$34+$B$33,IF(F5&lt;=ModelInput!$B$8-1,ModelOutput!$B$33,0))</f>
        <v>7386.3340000000007</v>
      </c>
    </row>
    <row r="6" spans="1:7" x14ac:dyDescent="0.25">
      <c r="A6" t="s">
        <v>230</v>
      </c>
      <c r="B6" s="2">
        <f ca="1">_xlfn.CEILING.MATH(B5/ModelInput!B27)</f>
        <v>1</v>
      </c>
      <c r="C6" s="2" t="s">
        <v>214</v>
      </c>
      <c r="F6">
        <v>3</v>
      </c>
      <c r="G6">
        <f ca="1">IF(F6=ModelInput!$B$8,$B$34+$B$33,IF(F6&lt;=ModelInput!$B$8-1,ModelOutput!$B$33,0))</f>
        <v>7386.3340000000007</v>
      </c>
    </row>
    <row r="7" spans="1:7" x14ac:dyDescent="0.25">
      <c r="A7" t="s">
        <v>222</v>
      </c>
      <c r="B7" s="15">
        <f ca="1">ModelInput!B20*ModelOutput!B6</f>
        <v>74000</v>
      </c>
      <c r="C7" t="s">
        <v>223</v>
      </c>
      <c r="F7">
        <v>4</v>
      </c>
      <c r="G7">
        <f ca="1">IF(F7=ModelInput!$B$8,$B$34+$B$33,IF(F7&lt;=ModelInput!$B$8-1,ModelOutput!$B$33,0))</f>
        <v>7386.3340000000007</v>
      </c>
    </row>
    <row r="8" spans="1:7" x14ac:dyDescent="0.25">
      <c r="A8" t="s">
        <v>215</v>
      </c>
      <c r="B8" s="15">
        <f ca="1">ModelInput!B21/100*ModelInput!B5*ModelInput!B17*ModelOutput!B4</f>
        <v>246.66200000000003</v>
      </c>
      <c r="C8" t="s">
        <v>217</v>
      </c>
      <c r="F8">
        <v>5</v>
      </c>
      <c r="G8">
        <f ca="1">IF(F8=ModelInput!$B$8,$B$34+$B$33,IF(F8&lt;=ModelInput!$B$8-1,ModelOutput!$B$33,0))</f>
        <v>7386.3340000000007</v>
      </c>
    </row>
    <row r="9" spans="1:7" x14ac:dyDescent="0.25">
      <c r="A9" t="s">
        <v>216</v>
      </c>
      <c r="B9" s="15">
        <f ca="1">B5*ModelInput!B22*ModelInput!B17</f>
        <v>9010</v>
      </c>
      <c r="C9" t="s">
        <v>217</v>
      </c>
      <c r="F9">
        <v>6</v>
      </c>
      <c r="G9">
        <f ca="1">IF(F9=ModelInput!$B$8,$B$34+$B$33,IF(F9&lt;=ModelInput!$B$8-1,ModelOutput!$B$33,0))</f>
        <v>7386.3340000000007</v>
      </c>
    </row>
    <row r="10" spans="1:7" x14ac:dyDescent="0.25">
      <c r="A10" t="s">
        <v>218</v>
      </c>
      <c r="B10" s="15">
        <f ca="1">(B9+B8)</f>
        <v>9256.6620000000003</v>
      </c>
      <c r="C10" t="s">
        <v>217</v>
      </c>
      <c r="F10">
        <v>7</v>
      </c>
      <c r="G10">
        <f ca="1">IF(F10=ModelInput!$B$8,$B$34+$B$33,IF(F10&lt;=ModelInput!$B$8-1,ModelOutput!$B$33,0))</f>
        <v>5186.3340000000007</v>
      </c>
    </row>
    <row r="11" spans="1:7" x14ac:dyDescent="0.25">
      <c r="A11" t="s">
        <v>219</v>
      </c>
      <c r="B11" s="15">
        <f ca="1">12*ModelInput!B23*B6</f>
        <v>1440</v>
      </c>
      <c r="C11" t="s">
        <v>217</v>
      </c>
      <c r="F11">
        <v>8</v>
      </c>
      <c r="G11">
        <f ca="1">IF(F11=ModelInput!$B$8,$B$34+$B$33,IF(F11&lt;=ModelInput!$B$8-1,ModelOutput!$B$33,0))</f>
        <v>0</v>
      </c>
    </row>
    <row r="12" spans="1:7" x14ac:dyDescent="0.25">
      <c r="A12" t="s">
        <v>220</v>
      </c>
      <c r="B12" s="15">
        <f ca="1">B11+B10</f>
        <v>10696.662</v>
      </c>
      <c r="C12" t="s">
        <v>217</v>
      </c>
      <c r="F12">
        <v>9</v>
      </c>
      <c r="G12">
        <f ca="1">IF(F12=ModelInput!$B$8,$B$34+$B$33,IF(F12&lt;=ModelInput!$B$8-1,ModelOutput!$B$33,0))</f>
        <v>0</v>
      </c>
    </row>
    <row r="13" spans="1:7" x14ac:dyDescent="0.25">
      <c r="A13" t="s">
        <v>256</v>
      </c>
      <c r="B13" s="15">
        <f ca="1">B12*ModelInput!B8</f>
        <v>74876.634000000005</v>
      </c>
      <c r="C13" t="s">
        <v>164</v>
      </c>
      <c r="F13">
        <v>10</v>
      </c>
      <c r="G13">
        <f ca="1">IF(F13=ModelInput!$B$8,$B$34+$B$33,IF(F13&lt;=ModelInput!$B$8-1,ModelOutput!$B$33,0))</f>
        <v>0</v>
      </c>
    </row>
    <row r="14" spans="1:7" x14ac:dyDescent="0.25">
      <c r="A14" t="s">
        <v>221</v>
      </c>
      <c r="B14" s="15">
        <f ca="1">B6*ModelInput!B24</f>
        <v>1800</v>
      </c>
      <c r="C14" t="s">
        <v>164</v>
      </c>
      <c r="F14">
        <v>11</v>
      </c>
      <c r="G14">
        <f ca="1">IF(F14=ModelInput!$B$8,$B$34+$B$33,IF(F14&lt;=ModelInput!$B$8-1,ModelOutput!$B$33,0))</f>
        <v>0</v>
      </c>
    </row>
    <row r="15" spans="1:7" x14ac:dyDescent="0.25">
      <c r="F15">
        <v>12</v>
      </c>
      <c r="G15">
        <f ca="1">IF(F15=ModelInput!$B$8,$B$34+$B$33,IF(F15&lt;=ModelInput!$B$8-1,ModelOutput!$B$33,0))</f>
        <v>0</v>
      </c>
    </row>
    <row r="16" spans="1:7" x14ac:dyDescent="0.25">
      <c r="A16" s="2" t="s">
        <v>225</v>
      </c>
      <c r="F16">
        <v>13</v>
      </c>
      <c r="G16">
        <f ca="1">IF(F16=ModelInput!$B$8,$B$34+$B$33,IF(F16&lt;=ModelInput!$B$8-1,ModelOutput!$B$33,0))</f>
        <v>0</v>
      </c>
    </row>
    <row r="17" spans="1:7" x14ac:dyDescent="0.25">
      <c r="A17" t="s">
        <v>226</v>
      </c>
      <c r="B17">
        <f ca="1">ModelInput!B16/ModelInput!B38</f>
        <v>10</v>
      </c>
      <c r="C17" t="s">
        <v>210</v>
      </c>
      <c r="F17">
        <v>14</v>
      </c>
      <c r="G17">
        <f ca="1">IF(F17=ModelInput!$B$8,$B$34+$B$33,IF(F17&lt;=ModelInput!$B$8-1,ModelOutput!$B$33,0))</f>
        <v>0</v>
      </c>
    </row>
    <row r="18" spans="1:7" x14ac:dyDescent="0.25">
      <c r="A18" t="s">
        <v>227</v>
      </c>
      <c r="B18">
        <f ca="1">B17*ModelInput!B15</f>
        <v>20</v>
      </c>
      <c r="C18" t="s">
        <v>212</v>
      </c>
      <c r="F18">
        <v>15</v>
      </c>
      <c r="G18">
        <f ca="1">IF(F18=ModelInput!$B$8,$B$34+$B$33,IF(F18&lt;=ModelInput!$B$8-1,ModelOutput!$B$33,0))</f>
        <v>0</v>
      </c>
    </row>
    <row r="19" spans="1:7" x14ac:dyDescent="0.25">
      <c r="A19" t="s">
        <v>228</v>
      </c>
      <c r="B19" s="14">
        <f ca="1">B18/ModelInput!B34</f>
        <v>5</v>
      </c>
      <c r="C19" t="s">
        <v>199</v>
      </c>
      <c r="F19">
        <v>16</v>
      </c>
      <c r="G19">
        <f ca="1">IF(F19=ModelInput!$B$8,$B$34+$B$33,IF(F19&lt;=ModelInput!$B$8-1,ModelOutput!$B$33,0))</f>
        <v>0</v>
      </c>
    </row>
    <row r="20" spans="1:7" x14ac:dyDescent="0.25">
      <c r="A20" t="s">
        <v>229</v>
      </c>
      <c r="B20">
        <f ca="1">_xlfn.CEILING.MATH(B19/ModelInput!B40)</f>
        <v>1</v>
      </c>
      <c r="C20" t="s">
        <v>214</v>
      </c>
      <c r="F20">
        <v>17</v>
      </c>
      <c r="G20">
        <f ca="1">IF(F20=ModelInput!$B$8,$B$34+$B$33,IF(F20&lt;=ModelInput!$B$8-1,ModelOutput!$B$33,0))</f>
        <v>0</v>
      </c>
    </row>
    <row r="21" spans="1:7" x14ac:dyDescent="0.25">
      <c r="A21" t="s">
        <v>233</v>
      </c>
      <c r="B21" s="15">
        <f ca="1">B20*ModelInput!B30</f>
        <v>115000</v>
      </c>
      <c r="C21" t="s">
        <v>223</v>
      </c>
      <c r="F21">
        <v>18</v>
      </c>
      <c r="G21">
        <f ca="1">IF(F21=ModelInput!$B$8,$B$34+$B$33,IF(F21&lt;=ModelInput!$B$8-1,ModelOutput!$B$33,0))</f>
        <v>0</v>
      </c>
    </row>
    <row r="22" spans="1:7" x14ac:dyDescent="0.25">
      <c r="A22" t="s">
        <v>232</v>
      </c>
      <c r="B22" s="15">
        <f ca="1">ModelInput!B4*ModelInput!B39*ModelInput!B17*ModelOutput!B18</f>
        <v>136.52800000000002</v>
      </c>
      <c r="C22" t="s">
        <v>217</v>
      </c>
      <c r="F22">
        <v>19</v>
      </c>
      <c r="G22">
        <f ca="1">IF(F22=ModelInput!$B$8,$B$34+$B$33,IF(F22&lt;=ModelInput!$B$8-1,ModelOutput!$B$33,0))</f>
        <v>0</v>
      </c>
    </row>
    <row r="23" spans="1:7" x14ac:dyDescent="0.25">
      <c r="A23" t="s">
        <v>237</v>
      </c>
      <c r="B23" s="15">
        <f ca="1">ModelInput!B41*ModelInput!B7*ModelInput!B17</f>
        <v>593.59999999999991</v>
      </c>
      <c r="C23" t="s">
        <v>217</v>
      </c>
      <c r="F23">
        <v>20</v>
      </c>
      <c r="G23">
        <f ca="1">IF(F23=ModelInput!$B$8,$B$34+$B$33,IF(F23&lt;=ModelInput!$B$8-1,ModelOutput!$B$33,0))</f>
        <v>0</v>
      </c>
    </row>
    <row r="24" spans="1:7" x14ac:dyDescent="0.25">
      <c r="A24" t="s">
        <v>238</v>
      </c>
      <c r="B24" s="15">
        <f ca="1">ModelInput!B37/60*ModelInput!B22</f>
        <v>4.25</v>
      </c>
      <c r="C24" t="s">
        <v>240</v>
      </c>
      <c r="F24">
        <v>21</v>
      </c>
      <c r="G24">
        <f ca="1">IF(F24=ModelInput!$B$8,$B$34+$B$33,IF(F24&lt;=ModelInput!$B$8-1,ModelOutput!$B$33,0))</f>
        <v>0</v>
      </c>
    </row>
    <row r="25" spans="1:7" x14ac:dyDescent="0.25">
      <c r="A25" t="s">
        <v>239</v>
      </c>
      <c r="B25" s="15">
        <f ca="1">B24*ModelInput!B36*ModelInput!B17*ModelOutput!B18</f>
        <v>180.2</v>
      </c>
      <c r="C25" t="s">
        <v>217</v>
      </c>
      <c r="F25">
        <v>22</v>
      </c>
      <c r="G25">
        <f ca="1">IF(F25=ModelInput!$B$8,$B$34+$B$33,IF(F25&lt;=ModelInput!$B$8-1,ModelOutput!$B$33,0))</f>
        <v>0</v>
      </c>
    </row>
    <row r="26" spans="1:7" x14ac:dyDescent="0.25">
      <c r="A26" t="s">
        <v>231</v>
      </c>
      <c r="B26" s="15">
        <f ca="1">B22+B23+B25</f>
        <v>910.32799999999997</v>
      </c>
      <c r="C26" t="s">
        <v>217</v>
      </c>
      <c r="F26">
        <v>23</v>
      </c>
      <c r="G26">
        <f ca="1">IF(F26=ModelInput!$B$8,$B$34+$B$33,IF(F26&lt;=ModelInput!$B$8-1,ModelOutput!$B$33,0))</f>
        <v>0</v>
      </c>
    </row>
    <row r="27" spans="1:7" x14ac:dyDescent="0.25">
      <c r="A27" t="s">
        <v>234</v>
      </c>
      <c r="B27" s="15">
        <f ca="1">12*ModelInput!B32</f>
        <v>2400</v>
      </c>
      <c r="C27" t="s">
        <v>217</v>
      </c>
      <c r="F27">
        <v>24</v>
      </c>
      <c r="G27">
        <f ca="1">IF(F27=ModelInput!$B$8,$B$34+$B$33,IF(F27&lt;=ModelInput!$B$8-1,ModelOutput!$B$33,0))</f>
        <v>0</v>
      </c>
    </row>
    <row r="28" spans="1:7" x14ac:dyDescent="0.25">
      <c r="A28" t="s">
        <v>235</v>
      </c>
      <c r="B28" s="15">
        <f ca="1">B20*(B27+B26)</f>
        <v>3310.328</v>
      </c>
      <c r="C28" t="s">
        <v>217</v>
      </c>
      <c r="F28">
        <v>25</v>
      </c>
      <c r="G28">
        <f ca="1">IF(F28=ModelInput!$B$8,$B$34+$B$33,IF(F28&lt;=ModelInput!$B$8-1,ModelOutput!$B$33,0))</f>
        <v>0</v>
      </c>
    </row>
    <row r="29" spans="1:7" x14ac:dyDescent="0.25">
      <c r="A29" t="s">
        <v>257</v>
      </c>
      <c r="B29" s="15">
        <f ca="1">B28*ModelInput!B8</f>
        <v>23172.295999999998</v>
      </c>
      <c r="C29" t="s">
        <v>164</v>
      </c>
      <c r="F29">
        <v>26</v>
      </c>
      <c r="G29">
        <f ca="1">IF(F29=ModelInput!$B$8,$B$34+$B$33,IF(F29&lt;=ModelInput!$B$8-1,ModelOutput!$B$33,0))</f>
        <v>0</v>
      </c>
    </row>
    <row r="30" spans="1:7" x14ac:dyDescent="0.25">
      <c r="A30" t="s">
        <v>236</v>
      </c>
      <c r="B30" s="15">
        <f ca="1">B20*ModelInput!B33</f>
        <v>4000</v>
      </c>
      <c r="C30" t="s">
        <v>164</v>
      </c>
      <c r="F30">
        <v>27</v>
      </c>
      <c r="G30">
        <f ca="1">IF(F30=ModelInput!$B$8,$B$34+$B$33,IF(F30&lt;=ModelInput!$B$8-1,ModelOutput!$B$33,0))</f>
        <v>0</v>
      </c>
    </row>
    <row r="31" spans="1:7" x14ac:dyDescent="0.25">
      <c r="F31">
        <v>28</v>
      </c>
      <c r="G31">
        <f ca="1">IF(F31=ModelInput!$B$8,$B$34+$B$33,IF(F31&lt;=ModelInput!$B$8-1,ModelOutput!$B$33,0))</f>
        <v>0</v>
      </c>
    </row>
    <row r="32" spans="1:7" x14ac:dyDescent="0.25">
      <c r="A32" t="s">
        <v>241</v>
      </c>
      <c r="B32" s="15">
        <f ca="1">B7-B21</f>
        <v>-41000</v>
      </c>
      <c r="F32">
        <v>29</v>
      </c>
      <c r="G32">
        <f ca="1">IF(F32=ModelInput!$B$8,$B$34+$B$33,IF(F32&lt;=ModelInput!$B$8-1,ModelOutput!$B$33,0))</f>
        <v>0</v>
      </c>
    </row>
    <row r="33" spans="1:8" x14ac:dyDescent="0.25">
      <c r="A33" t="s">
        <v>242</v>
      </c>
      <c r="B33" s="15">
        <f ca="1">B12-B28</f>
        <v>7386.3340000000007</v>
      </c>
      <c r="F33">
        <v>30</v>
      </c>
      <c r="G33">
        <f ca="1">IF(F33=ModelInput!$B$8,$B$34+$B$33,IF(F33&lt;=ModelInput!$B$8-1,ModelOutput!$B$33,0))</f>
        <v>0</v>
      </c>
    </row>
    <row r="34" spans="1:8" x14ac:dyDescent="0.25">
      <c r="A34" t="s">
        <v>243</v>
      </c>
      <c r="B34" s="15">
        <f ca="1">B14-B30</f>
        <v>-2200</v>
      </c>
    </row>
    <row r="36" spans="1:8" x14ac:dyDescent="0.25">
      <c r="A36" s="2" t="s">
        <v>207</v>
      </c>
    </row>
    <row r="37" spans="1:8" x14ac:dyDescent="0.25">
      <c r="A37" t="s">
        <v>244</v>
      </c>
      <c r="B37" s="15">
        <f ca="1">B7+ModelInput!B8*ModelOutput!B12+ModelOutput!B14</f>
        <v>150676.63400000002</v>
      </c>
      <c r="C37" t="s">
        <v>164</v>
      </c>
      <c r="D37" t="s">
        <v>254</v>
      </c>
    </row>
    <row r="38" spans="1:8" x14ac:dyDescent="0.25">
      <c r="A38" t="s">
        <v>245</v>
      </c>
      <c r="B38" s="15">
        <f ca="1">B21+ModelInput!B8*ModelOutput!B28+ModelOutput!B30</f>
        <v>142172.296</v>
      </c>
      <c r="C38" t="s">
        <v>164</v>
      </c>
      <c r="D38" t="s">
        <v>255</v>
      </c>
    </row>
    <row r="40" spans="1:8" x14ac:dyDescent="0.25">
      <c r="A40" s="2" t="s">
        <v>246</v>
      </c>
    </row>
    <row r="41" spans="1:8" x14ac:dyDescent="0.25">
      <c r="A41" t="s">
        <v>247</v>
      </c>
      <c r="B41" s="18">
        <f ca="1">NPV(ModelInput!B3,G3:G33)</f>
        <v>168.1787005780028</v>
      </c>
      <c r="C41" s="2" t="s">
        <v>164</v>
      </c>
    </row>
    <row r="43" spans="1:8" x14ac:dyDescent="0.25">
      <c r="A43" s="2" t="s">
        <v>251</v>
      </c>
    </row>
    <row r="44" spans="1:8" x14ac:dyDescent="0.25">
      <c r="A44" t="s">
        <v>252</v>
      </c>
      <c r="B44" s="16">
        <f ca="1">NPER(ModelInput!B3,ModelOutput!B33,ModelOutput!B32)</f>
        <v>6.6630773081481927</v>
      </c>
      <c r="C44" s="2" t="s">
        <v>253</v>
      </c>
    </row>
    <row r="45" spans="1:8" ht="18.75" x14ac:dyDescent="0.3">
      <c r="F45" s="9" t="s">
        <v>283</v>
      </c>
    </row>
    <row r="46" spans="1:8" x14ac:dyDescent="0.25">
      <c r="F46" t="s">
        <v>284</v>
      </c>
      <c r="G46" t="s">
        <v>224</v>
      </c>
      <c r="H46" t="s">
        <v>285</v>
      </c>
    </row>
    <row r="47" spans="1:8" x14ac:dyDescent="0.25">
      <c r="F47">
        <v>0</v>
      </c>
      <c r="G47" s="15">
        <f ca="1">B7</f>
        <v>74000</v>
      </c>
      <c r="H47" s="15">
        <f ca="1">B21</f>
        <v>115000</v>
      </c>
    </row>
    <row r="48" spans="1:8" x14ac:dyDescent="0.25">
      <c r="F48">
        <v>2</v>
      </c>
      <c r="G48" s="15">
        <f ca="1">G47+2*$B$13/12</f>
        <v>86479.438999999998</v>
      </c>
      <c r="H48" s="15">
        <f ca="1">H47+2*$B$29/12</f>
        <v>118862.04933333333</v>
      </c>
    </row>
    <row r="49" spans="6:8" x14ac:dyDescent="0.25">
      <c r="F49">
        <v>4</v>
      </c>
      <c r="G49" s="15">
        <f t="shared" ref="G49:G112" ca="1" si="0">G48+2*$B$13/12</f>
        <v>98958.877999999997</v>
      </c>
      <c r="H49" s="15">
        <f t="shared" ref="H49:H112" ca="1" si="1">H48+2*$B$29/12</f>
        <v>122724.09866666666</v>
      </c>
    </row>
    <row r="50" spans="6:8" x14ac:dyDescent="0.25">
      <c r="F50">
        <v>6</v>
      </c>
      <c r="G50" s="15">
        <f t="shared" ca="1" si="0"/>
        <v>111438.317</v>
      </c>
      <c r="H50" s="15">
        <f t="shared" ca="1" si="1"/>
        <v>126586.14799999999</v>
      </c>
    </row>
    <row r="51" spans="6:8" x14ac:dyDescent="0.25">
      <c r="F51">
        <v>8</v>
      </c>
      <c r="G51" s="15">
        <f t="shared" ca="1" si="0"/>
        <v>123917.75599999999</v>
      </c>
      <c r="H51" s="15">
        <f t="shared" ca="1" si="1"/>
        <v>130448.19733333332</v>
      </c>
    </row>
    <row r="52" spans="6:8" x14ac:dyDescent="0.25">
      <c r="F52">
        <v>10</v>
      </c>
      <c r="G52" s="15">
        <f t="shared" ca="1" si="0"/>
        <v>136397.19500000001</v>
      </c>
      <c r="H52" s="15">
        <f t="shared" ca="1" si="1"/>
        <v>134310.24666666664</v>
      </c>
    </row>
    <row r="53" spans="6:8" x14ac:dyDescent="0.25">
      <c r="F53">
        <v>12</v>
      </c>
      <c r="G53" s="15">
        <f t="shared" ca="1" si="0"/>
        <v>148876.63400000002</v>
      </c>
      <c r="H53" s="15">
        <f t="shared" ca="1" si="1"/>
        <v>138172.29599999997</v>
      </c>
    </row>
    <row r="54" spans="6:8" x14ac:dyDescent="0.25">
      <c r="F54">
        <v>14</v>
      </c>
      <c r="G54" s="15">
        <f t="shared" ca="1" si="0"/>
        <v>161356.07300000003</v>
      </c>
      <c r="H54" s="15">
        <f t="shared" ca="1" si="1"/>
        <v>142034.3453333333</v>
      </c>
    </row>
    <row r="55" spans="6:8" x14ac:dyDescent="0.25">
      <c r="F55">
        <v>16</v>
      </c>
      <c r="G55" s="15">
        <f t="shared" ca="1" si="0"/>
        <v>173835.51200000005</v>
      </c>
      <c r="H55" s="15">
        <f t="shared" ca="1" si="1"/>
        <v>145896.39466666663</v>
      </c>
    </row>
    <row r="56" spans="6:8" x14ac:dyDescent="0.25">
      <c r="F56">
        <v>18</v>
      </c>
      <c r="G56" s="15">
        <f t="shared" ca="1" si="0"/>
        <v>186314.95100000006</v>
      </c>
      <c r="H56" s="15">
        <f t="shared" ca="1" si="1"/>
        <v>149758.44399999996</v>
      </c>
    </row>
    <row r="57" spans="6:8" x14ac:dyDescent="0.25">
      <c r="F57">
        <v>20</v>
      </c>
      <c r="G57" s="15">
        <f t="shared" ca="1" si="0"/>
        <v>198794.39000000007</v>
      </c>
      <c r="H57" s="15">
        <f t="shared" ca="1" si="1"/>
        <v>153620.49333333329</v>
      </c>
    </row>
    <row r="58" spans="6:8" x14ac:dyDescent="0.25">
      <c r="F58">
        <v>22</v>
      </c>
      <c r="G58" s="15">
        <f t="shared" ca="1" si="0"/>
        <v>211273.82900000009</v>
      </c>
      <c r="H58" s="15">
        <f t="shared" ca="1" si="1"/>
        <v>157482.54266666662</v>
      </c>
    </row>
    <row r="59" spans="6:8" x14ac:dyDescent="0.25">
      <c r="F59">
        <v>24</v>
      </c>
      <c r="G59" s="15">
        <f t="shared" ca="1" si="0"/>
        <v>223753.2680000001</v>
      </c>
      <c r="H59" s="15">
        <f t="shared" ca="1" si="1"/>
        <v>161344.59199999995</v>
      </c>
    </row>
    <row r="60" spans="6:8" x14ac:dyDescent="0.25">
      <c r="F60">
        <v>26</v>
      </c>
      <c r="G60" s="15">
        <f t="shared" ca="1" si="0"/>
        <v>236232.70700000011</v>
      </c>
      <c r="H60" s="15">
        <f t="shared" ca="1" si="1"/>
        <v>165206.64133333327</v>
      </c>
    </row>
    <row r="61" spans="6:8" x14ac:dyDescent="0.25">
      <c r="F61">
        <v>28</v>
      </c>
      <c r="G61" s="15">
        <f t="shared" ca="1" si="0"/>
        <v>248712.14600000012</v>
      </c>
      <c r="H61" s="15">
        <f t="shared" ca="1" si="1"/>
        <v>169068.6906666666</v>
      </c>
    </row>
    <row r="62" spans="6:8" x14ac:dyDescent="0.25">
      <c r="F62">
        <v>30</v>
      </c>
      <c r="G62" s="15">
        <f t="shared" ca="1" si="0"/>
        <v>261191.58500000014</v>
      </c>
      <c r="H62" s="15">
        <f t="shared" ca="1" si="1"/>
        <v>172930.73999999993</v>
      </c>
    </row>
    <row r="63" spans="6:8" x14ac:dyDescent="0.25">
      <c r="F63">
        <v>32</v>
      </c>
      <c r="G63" s="15">
        <f t="shared" ca="1" si="0"/>
        <v>273671.02400000015</v>
      </c>
      <c r="H63" s="15">
        <f t="shared" ca="1" si="1"/>
        <v>176792.78933333326</v>
      </c>
    </row>
    <row r="64" spans="6:8" x14ac:dyDescent="0.25">
      <c r="F64">
        <v>34</v>
      </c>
      <c r="G64" s="15">
        <f t="shared" ca="1" si="0"/>
        <v>286150.46300000016</v>
      </c>
      <c r="H64" s="15">
        <f t="shared" ca="1" si="1"/>
        <v>180654.83866666659</v>
      </c>
    </row>
    <row r="65" spans="6:8" x14ac:dyDescent="0.25">
      <c r="F65">
        <v>36</v>
      </c>
      <c r="G65" s="15">
        <f t="shared" ca="1" si="0"/>
        <v>298629.90200000018</v>
      </c>
      <c r="H65" s="15">
        <f t="shared" ca="1" si="1"/>
        <v>184516.88799999992</v>
      </c>
    </row>
    <row r="66" spans="6:8" x14ac:dyDescent="0.25">
      <c r="F66">
        <v>38</v>
      </c>
      <c r="G66" s="15">
        <f t="shared" ca="1" si="0"/>
        <v>311109.34100000019</v>
      </c>
      <c r="H66" s="15">
        <f t="shared" ca="1" si="1"/>
        <v>188378.93733333325</v>
      </c>
    </row>
    <row r="67" spans="6:8" x14ac:dyDescent="0.25">
      <c r="F67">
        <v>40</v>
      </c>
      <c r="G67" s="15">
        <f t="shared" ca="1" si="0"/>
        <v>323588.7800000002</v>
      </c>
      <c r="H67" s="15">
        <f t="shared" ca="1" si="1"/>
        <v>192240.98666666658</v>
      </c>
    </row>
    <row r="68" spans="6:8" x14ac:dyDescent="0.25">
      <c r="F68">
        <v>42</v>
      </c>
      <c r="G68" s="15">
        <f t="shared" ca="1" si="0"/>
        <v>336068.21900000022</v>
      </c>
      <c r="H68" s="15">
        <f t="shared" ca="1" si="1"/>
        <v>196103.03599999991</v>
      </c>
    </row>
    <row r="69" spans="6:8" x14ac:dyDescent="0.25">
      <c r="F69">
        <v>44</v>
      </c>
      <c r="G69" s="15">
        <f t="shared" ca="1" si="0"/>
        <v>348547.65800000023</v>
      </c>
      <c r="H69" s="15">
        <f t="shared" ca="1" si="1"/>
        <v>199965.08533333323</v>
      </c>
    </row>
    <row r="70" spans="6:8" x14ac:dyDescent="0.25">
      <c r="F70">
        <v>46</v>
      </c>
      <c r="G70" s="15">
        <f t="shared" ca="1" si="0"/>
        <v>361027.09700000024</v>
      </c>
      <c r="H70" s="15">
        <f t="shared" ca="1" si="1"/>
        <v>203827.13466666656</v>
      </c>
    </row>
    <row r="71" spans="6:8" x14ac:dyDescent="0.25">
      <c r="F71">
        <v>48</v>
      </c>
      <c r="G71" s="15">
        <f t="shared" ca="1" si="0"/>
        <v>373506.53600000025</v>
      </c>
      <c r="H71" s="15">
        <f t="shared" ca="1" si="1"/>
        <v>207689.18399999989</v>
      </c>
    </row>
    <row r="72" spans="6:8" x14ac:dyDescent="0.25">
      <c r="F72">
        <v>50</v>
      </c>
      <c r="G72" s="15">
        <f t="shared" ca="1" si="0"/>
        <v>385985.97500000027</v>
      </c>
      <c r="H72" s="15">
        <f t="shared" ca="1" si="1"/>
        <v>211551.23333333322</v>
      </c>
    </row>
    <row r="73" spans="6:8" x14ac:dyDescent="0.25">
      <c r="F73">
        <v>52</v>
      </c>
      <c r="G73" s="15">
        <f t="shared" ca="1" si="0"/>
        <v>398465.41400000028</v>
      </c>
      <c r="H73" s="15">
        <f t="shared" ca="1" si="1"/>
        <v>215413.28266666655</v>
      </c>
    </row>
    <row r="74" spans="6:8" x14ac:dyDescent="0.25">
      <c r="F74">
        <v>54</v>
      </c>
      <c r="G74" s="15">
        <f t="shared" ca="1" si="0"/>
        <v>410944.85300000029</v>
      </c>
      <c r="H74" s="15">
        <f t="shared" ca="1" si="1"/>
        <v>219275.33199999988</v>
      </c>
    </row>
    <row r="75" spans="6:8" x14ac:dyDescent="0.25">
      <c r="F75">
        <v>56</v>
      </c>
      <c r="G75" s="15">
        <f t="shared" ca="1" si="0"/>
        <v>423424.29200000031</v>
      </c>
      <c r="H75" s="15">
        <f t="shared" ca="1" si="1"/>
        <v>223137.38133333321</v>
      </c>
    </row>
    <row r="76" spans="6:8" x14ac:dyDescent="0.25">
      <c r="F76">
        <v>58</v>
      </c>
      <c r="G76" s="15">
        <f t="shared" ca="1" si="0"/>
        <v>435903.73100000032</v>
      </c>
      <c r="H76" s="15">
        <f t="shared" ca="1" si="1"/>
        <v>226999.43066666654</v>
      </c>
    </row>
    <row r="77" spans="6:8" x14ac:dyDescent="0.25">
      <c r="F77">
        <v>60</v>
      </c>
      <c r="G77" s="15">
        <f t="shared" ca="1" si="0"/>
        <v>448383.17000000033</v>
      </c>
      <c r="H77" s="15">
        <f t="shared" ca="1" si="1"/>
        <v>230861.47999999986</v>
      </c>
    </row>
    <row r="78" spans="6:8" x14ac:dyDescent="0.25">
      <c r="F78">
        <v>62</v>
      </c>
      <c r="G78" s="15">
        <f t="shared" ca="1" si="0"/>
        <v>460862.60900000035</v>
      </c>
      <c r="H78" s="15">
        <f t="shared" ca="1" si="1"/>
        <v>234723.52933333319</v>
      </c>
    </row>
    <row r="79" spans="6:8" x14ac:dyDescent="0.25">
      <c r="F79">
        <v>64</v>
      </c>
      <c r="G79" s="15">
        <f t="shared" ca="1" si="0"/>
        <v>473342.04800000036</v>
      </c>
      <c r="H79" s="15">
        <f t="shared" ca="1" si="1"/>
        <v>238585.57866666652</v>
      </c>
    </row>
    <row r="80" spans="6:8" x14ac:dyDescent="0.25">
      <c r="F80">
        <v>66</v>
      </c>
      <c r="G80" s="15">
        <f t="shared" ca="1" si="0"/>
        <v>485821.48700000037</v>
      </c>
      <c r="H80" s="15">
        <f t="shared" ca="1" si="1"/>
        <v>242447.62799999985</v>
      </c>
    </row>
    <row r="81" spans="6:8" x14ac:dyDescent="0.25">
      <c r="F81">
        <v>68</v>
      </c>
      <c r="G81" s="15">
        <f t="shared" ca="1" si="0"/>
        <v>498300.92600000039</v>
      </c>
      <c r="H81" s="15">
        <f t="shared" ca="1" si="1"/>
        <v>246309.67733333318</v>
      </c>
    </row>
    <row r="82" spans="6:8" x14ac:dyDescent="0.25">
      <c r="F82">
        <v>70</v>
      </c>
      <c r="G82" s="15">
        <f t="shared" ca="1" si="0"/>
        <v>510780.3650000004</v>
      </c>
      <c r="H82" s="15">
        <f t="shared" ca="1" si="1"/>
        <v>250171.72666666651</v>
      </c>
    </row>
    <row r="83" spans="6:8" x14ac:dyDescent="0.25">
      <c r="F83">
        <v>72</v>
      </c>
      <c r="G83" s="15">
        <f t="shared" ca="1" si="0"/>
        <v>523259.80400000041</v>
      </c>
      <c r="H83" s="15">
        <f t="shared" ca="1" si="1"/>
        <v>254033.77599999984</v>
      </c>
    </row>
    <row r="84" spans="6:8" x14ac:dyDescent="0.25">
      <c r="F84">
        <v>74</v>
      </c>
      <c r="G84" s="15">
        <f t="shared" ca="1" si="0"/>
        <v>535739.24300000037</v>
      </c>
      <c r="H84" s="15">
        <f t="shared" ca="1" si="1"/>
        <v>257895.82533333317</v>
      </c>
    </row>
    <row r="85" spans="6:8" x14ac:dyDescent="0.25">
      <c r="F85">
        <v>76</v>
      </c>
      <c r="G85" s="15">
        <f t="shared" ca="1" si="0"/>
        <v>548218.68200000038</v>
      </c>
      <c r="H85" s="15">
        <f t="shared" ca="1" si="1"/>
        <v>261757.8746666665</v>
      </c>
    </row>
    <row r="86" spans="6:8" x14ac:dyDescent="0.25">
      <c r="F86">
        <v>78</v>
      </c>
      <c r="G86" s="15">
        <f t="shared" ca="1" si="0"/>
        <v>560698.12100000039</v>
      </c>
      <c r="H86" s="15">
        <f t="shared" ca="1" si="1"/>
        <v>265619.92399999982</v>
      </c>
    </row>
    <row r="87" spans="6:8" x14ac:dyDescent="0.25">
      <c r="F87">
        <v>80</v>
      </c>
      <c r="G87" s="15">
        <f t="shared" ca="1" si="0"/>
        <v>573177.56000000041</v>
      </c>
      <c r="H87" s="15">
        <f t="shared" ca="1" si="1"/>
        <v>269481.97333333315</v>
      </c>
    </row>
    <row r="88" spans="6:8" x14ac:dyDescent="0.25">
      <c r="F88">
        <v>82</v>
      </c>
      <c r="G88" s="15">
        <f t="shared" ca="1" si="0"/>
        <v>585656.99900000042</v>
      </c>
      <c r="H88" s="15">
        <f t="shared" ca="1" si="1"/>
        <v>273344.02266666648</v>
      </c>
    </row>
    <row r="89" spans="6:8" x14ac:dyDescent="0.25">
      <c r="F89">
        <v>84</v>
      </c>
      <c r="G89" s="15">
        <f t="shared" ca="1" si="0"/>
        <v>598136.43800000043</v>
      </c>
      <c r="H89" s="15">
        <f t="shared" ca="1" si="1"/>
        <v>277206.07199999981</v>
      </c>
    </row>
    <row r="90" spans="6:8" x14ac:dyDescent="0.25">
      <c r="F90">
        <v>86</v>
      </c>
      <c r="G90" s="15">
        <f t="shared" ca="1" si="0"/>
        <v>610615.87700000044</v>
      </c>
      <c r="H90" s="15">
        <f t="shared" ca="1" si="1"/>
        <v>281068.12133333314</v>
      </c>
    </row>
    <row r="91" spans="6:8" x14ac:dyDescent="0.25">
      <c r="F91">
        <v>88</v>
      </c>
      <c r="G91" s="15">
        <f t="shared" ca="1" si="0"/>
        <v>623095.31600000046</v>
      </c>
      <c r="H91" s="15">
        <f t="shared" ca="1" si="1"/>
        <v>284930.17066666647</v>
      </c>
    </row>
    <row r="92" spans="6:8" x14ac:dyDescent="0.25">
      <c r="F92">
        <v>90</v>
      </c>
      <c r="G92" s="15">
        <f t="shared" ca="1" si="0"/>
        <v>635574.75500000047</v>
      </c>
      <c r="H92" s="15">
        <f t="shared" ca="1" si="1"/>
        <v>288792.2199999998</v>
      </c>
    </row>
    <row r="93" spans="6:8" x14ac:dyDescent="0.25">
      <c r="F93">
        <v>92</v>
      </c>
      <c r="G93" s="15">
        <f t="shared" ca="1" si="0"/>
        <v>648054.19400000048</v>
      </c>
      <c r="H93" s="15">
        <f t="shared" ca="1" si="1"/>
        <v>292654.26933333313</v>
      </c>
    </row>
    <row r="94" spans="6:8" x14ac:dyDescent="0.25">
      <c r="F94">
        <v>94</v>
      </c>
      <c r="G94" s="15">
        <f t="shared" ca="1" si="0"/>
        <v>660533.6330000005</v>
      </c>
      <c r="H94" s="15">
        <f t="shared" ca="1" si="1"/>
        <v>296516.31866666646</v>
      </c>
    </row>
    <row r="95" spans="6:8" x14ac:dyDescent="0.25">
      <c r="F95">
        <v>96</v>
      </c>
      <c r="G95" s="15">
        <f t="shared" ca="1" si="0"/>
        <v>673013.07200000051</v>
      </c>
      <c r="H95" s="15">
        <f t="shared" ca="1" si="1"/>
        <v>300378.36799999978</v>
      </c>
    </row>
    <row r="96" spans="6:8" x14ac:dyDescent="0.25">
      <c r="F96">
        <v>98</v>
      </c>
      <c r="G96" s="15">
        <f t="shared" ca="1" si="0"/>
        <v>685492.51100000052</v>
      </c>
      <c r="H96" s="15">
        <f t="shared" ca="1" si="1"/>
        <v>304240.41733333311</v>
      </c>
    </row>
    <row r="97" spans="6:8" x14ac:dyDescent="0.25">
      <c r="F97">
        <v>100</v>
      </c>
      <c r="G97" s="15">
        <f t="shared" ca="1" si="0"/>
        <v>697971.95000000054</v>
      </c>
      <c r="H97" s="15">
        <f t="shared" ca="1" si="1"/>
        <v>308102.46666666644</v>
      </c>
    </row>
    <row r="98" spans="6:8" x14ac:dyDescent="0.25">
      <c r="F98">
        <v>102</v>
      </c>
      <c r="G98" s="15">
        <f t="shared" ca="1" si="0"/>
        <v>710451.38900000055</v>
      </c>
      <c r="H98" s="15">
        <f t="shared" ca="1" si="1"/>
        <v>311964.51599999977</v>
      </c>
    </row>
    <row r="99" spans="6:8" x14ac:dyDescent="0.25">
      <c r="F99">
        <v>104</v>
      </c>
      <c r="G99" s="15">
        <f t="shared" ca="1" si="0"/>
        <v>722930.82800000056</v>
      </c>
      <c r="H99" s="15">
        <f t="shared" ca="1" si="1"/>
        <v>315826.5653333331</v>
      </c>
    </row>
    <row r="100" spans="6:8" x14ac:dyDescent="0.25">
      <c r="F100">
        <v>106</v>
      </c>
      <c r="G100" s="15">
        <f t="shared" ca="1" si="0"/>
        <v>735410.26700000057</v>
      </c>
      <c r="H100" s="15">
        <f t="shared" ca="1" si="1"/>
        <v>319688.61466666643</v>
      </c>
    </row>
    <row r="101" spans="6:8" x14ac:dyDescent="0.25">
      <c r="F101">
        <v>108</v>
      </c>
      <c r="G101" s="15">
        <f t="shared" ca="1" si="0"/>
        <v>747889.70600000059</v>
      </c>
      <c r="H101" s="15">
        <f t="shared" ca="1" si="1"/>
        <v>323550.66399999976</v>
      </c>
    </row>
    <row r="102" spans="6:8" x14ac:dyDescent="0.25">
      <c r="F102">
        <v>110</v>
      </c>
      <c r="G102" s="15">
        <f t="shared" ca="1" si="0"/>
        <v>760369.1450000006</v>
      </c>
      <c r="H102" s="15">
        <f t="shared" ca="1" si="1"/>
        <v>327412.71333333309</v>
      </c>
    </row>
    <row r="103" spans="6:8" x14ac:dyDescent="0.25">
      <c r="F103">
        <v>112</v>
      </c>
      <c r="G103" s="15">
        <f t="shared" ca="1" si="0"/>
        <v>772848.58400000061</v>
      </c>
      <c r="H103" s="15">
        <f t="shared" ca="1" si="1"/>
        <v>331274.76266666641</v>
      </c>
    </row>
    <row r="104" spans="6:8" x14ac:dyDescent="0.25">
      <c r="F104">
        <v>114</v>
      </c>
      <c r="G104" s="15">
        <f t="shared" ca="1" si="0"/>
        <v>785328.02300000063</v>
      </c>
      <c r="H104" s="15">
        <f t="shared" ca="1" si="1"/>
        <v>335136.81199999974</v>
      </c>
    </row>
    <row r="105" spans="6:8" x14ac:dyDescent="0.25">
      <c r="F105">
        <v>116</v>
      </c>
      <c r="G105" s="15">
        <f t="shared" ca="1" si="0"/>
        <v>797807.46200000064</v>
      </c>
      <c r="H105" s="15">
        <f t="shared" ca="1" si="1"/>
        <v>338998.86133333307</v>
      </c>
    </row>
    <row r="106" spans="6:8" x14ac:dyDescent="0.25">
      <c r="F106">
        <v>118</v>
      </c>
      <c r="G106" s="15">
        <f t="shared" ca="1" si="0"/>
        <v>810286.90100000065</v>
      </c>
      <c r="H106" s="15">
        <f t="shared" ca="1" si="1"/>
        <v>342860.9106666664</v>
      </c>
    </row>
    <row r="107" spans="6:8" x14ac:dyDescent="0.25">
      <c r="F107">
        <v>120</v>
      </c>
      <c r="G107" s="15">
        <f t="shared" ca="1" si="0"/>
        <v>822766.34000000067</v>
      </c>
      <c r="H107" s="15">
        <f t="shared" ca="1" si="1"/>
        <v>346722.95999999973</v>
      </c>
    </row>
    <row r="108" spans="6:8" x14ac:dyDescent="0.25">
      <c r="F108">
        <v>122</v>
      </c>
      <c r="G108" s="15">
        <f t="shared" ca="1" si="0"/>
        <v>835245.77900000068</v>
      </c>
      <c r="H108" s="15">
        <f t="shared" ca="1" si="1"/>
        <v>350585.00933333306</v>
      </c>
    </row>
    <row r="109" spans="6:8" x14ac:dyDescent="0.25">
      <c r="F109">
        <v>124</v>
      </c>
      <c r="G109" s="15">
        <f t="shared" ca="1" si="0"/>
        <v>847725.21800000069</v>
      </c>
      <c r="H109" s="15">
        <f t="shared" ca="1" si="1"/>
        <v>354447.05866666639</v>
      </c>
    </row>
    <row r="110" spans="6:8" x14ac:dyDescent="0.25">
      <c r="F110">
        <v>126</v>
      </c>
      <c r="G110" s="15">
        <f t="shared" ca="1" si="0"/>
        <v>860204.65700000071</v>
      </c>
      <c r="H110" s="15">
        <f t="shared" ca="1" si="1"/>
        <v>358309.10799999972</v>
      </c>
    </row>
    <row r="111" spans="6:8" x14ac:dyDescent="0.25">
      <c r="F111">
        <v>128</v>
      </c>
      <c r="G111" s="15">
        <f t="shared" ca="1" si="0"/>
        <v>872684.09600000072</v>
      </c>
      <c r="H111" s="15">
        <f t="shared" ca="1" si="1"/>
        <v>362171.15733333305</v>
      </c>
    </row>
    <row r="112" spans="6:8" x14ac:dyDescent="0.25">
      <c r="F112">
        <v>130</v>
      </c>
      <c r="G112" s="15">
        <f t="shared" ca="1" si="0"/>
        <v>885163.53500000073</v>
      </c>
      <c r="H112" s="15">
        <f t="shared" ca="1" si="1"/>
        <v>366033.20666666637</v>
      </c>
    </row>
    <row r="113" spans="6:8" x14ac:dyDescent="0.25">
      <c r="F113">
        <v>132</v>
      </c>
      <c r="G113" s="15">
        <f t="shared" ref="G113:G176" ca="1" si="2">G112+2*$B$13/12</f>
        <v>897642.97400000074</v>
      </c>
      <c r="H113" s="15">
        <f t="shared" ref="H113:H176" ca="1" si="3">H112+2*$B$29/12</f>
        <v>369895.2559999997</v>
      </c>
    </row>
    <row r="114" spans="6:8" x14ac:dyDescent="0.25">
      <c r="F114">
        <v>134</v>
      </c>
      <c r="G114" s="15">
        <f t="shared" ca="1" si="2"/>
        <v>910122.41300000076</v>
      </c>
      <c r="H114" s="15">
        <f t="shared" ca="1" si="3"/>
        <v>373757.30533333303</v>
      </c>
    </row>
    <row r="115" spans="6:8" x14ac:dyDescent="0.25">
      <c r="F115">
        <v>136</v>
      </c>
      <c r="G115" s="15">
        <f t="shared" ca="1" si="2"/>
        <v>922601.85200000077</v>
      </c>
      <c r="H115" s="15">
        <f t="shared" ca="1" si="3"/>
        <v>377619.35466666636</v>
      </c>
    </row>
    <row r="116" spans="6:8" x14ac:dyDescent="0.25">
      <c r="F116">
        <v>138</v>
      </c>
      <c r="G116" s="15">
        <f t="shared" ca="1" si="2"/>
        <v>935081.29100000078</v>
      </c>
      <c r="H116" s="15">
        <f t="shared" ca="1" si="3"/>
        <v>381481.40399999969</v>
      </c>
    </row>
    <row r="117" spans="6:8" x14ac:dyDescent="0.25">
      <c r="F117">
        <v>140</v>
      </c>
      <c r="G117" s="15">
        <f t="shared" ca="1" si="2"/>
        <v>947560.7300000008</v>
      </c>
      <c r="H117" s="15">
        <f t="shared" ca="1" si="3"/>
        <v>385343.45333333302</v>
      </c>
    </row>
    <row r="118" spans="6:8" x14ac:dyDescent="0.25">
      <c r="F118">
        <v>142</v>
      </c>
      <c r="G118" s="15">
        <f t="shared" ca="1" si="2"/>
        <v>960040.16900000081</v>
      </c>
      <c r="H118" s="15">
        <f t="shared" ca="1" si="3"/>
        <v>389205.50266666635</v>
      </c>
    </row>
    <row r="119" spans="6:8" x14ac:dyDescent="0.25">
      <c r="F119">
        <v>144</v>
      </c>
      <c r="G119" s="15">
        <f t="shared" ca="1" si="2"/>
        <v>972519.60800000082</v>
      </c>
      <c r="H119" s="15">
        <f t="shared" ca="1" si="3"/>
        <v>393067.55199999968</v>
      </c>
    </row>
    <row r="120" spans="6:8" x14ac:dyDescent="0.25">
      <c r="F120">
        <v>146</v>
      </c>
      <c r="G120" s="15">
        <f t="shared" ca="1" si="2"/>
        <v>984999.04700000084</v>
      </c>
      <c r="H120" s="15">
        <f t="shared" ca="1" si="3"/>
        <v>396929.601333333</v>
      </c>
    </row>
    <row r="121" spans="6:8" x14ac:dyDescent="0.25">
      <c r="F121">
        <v>148</v>
      </c>
      <c r="G121" s="15">
        <f t="shared" ca="1" si="2"/>
        <v>997478.48600000085</v>
      </c>
      <c r="H121" s="15">
        <f t="shared" ca="1" si="3"/>
        <v>400791.65066666633</v>
      </c>
    </row>
    <row r="122" spans="6:8" x14ac:dyDescent="0.25">
      <c r="F122">
        <v>150</v>
      </c>
      <c r="G122" s="15">
        <f t="shared" ca="1" si="2"/>
        <v>1009957.9250000009</v>
      </c>
      <c r="H122" s="15">
        <f t="shared" ca="1" si="3"/>
        <v>404653.69999999966</v>
      </c>
    </row>
    <row r="123" spans="6:8" x14ac:dyDescent="0.25">
      <c r="F123">
        <v>152</v>
      </c>
      <c r="G123" s="15">
        <f t="shared" ca="1" si="2"/>
        <v>1022437.3640000009</v>
      </c>
      <c r="H123" s="15">
        <f t="shared" ca="1" si="3"/>
        <v>408515.74933333299</v>
      </c>
    </row>
    <row r="124" spans="6:8" x14ac:dyDescent="0.25">
      <c r="F124">
        <v>154</v>
      </c>
      <c r="G124" s="15">
        <f t="shared" ca="1" si="2"/>
        <v>1034916.8030000009</v>
      </c>
      <c r="H124" s="15">
        <f t="shared" ca="1" si="3"/>
        <v>412377.79866666632</v>
      </c>
    </row>
    <row r="125" spans="6:8" x14ac:dyDescent="0.25">
      <c r="F125">
        <v>156</v>
      </c>
      <c r="G125" s="15">
        <f t="shared" ca="1" si="2"/>
        <v>1047396.2420000009</v>
      </c>
      <c r="H125" s="15">
        <f t="shared" ca="1" si="3"/>
        <v>416239.84799999965</v>
      </c>
    </row>
    <row r="126" spans="6:8" x14ac:dyDescent="0.25">
      <c r="F126">
        <v>158</v>
      </c>
      <c r="G126" s="15">
        <f t="shared" ca="1" si="2"/>
        <v>1059875.6810000008</v>
      </c>
      <c r="H126" s="15">
        <f t="shared" ca="1" si="3"/>
        <v>420101.89733333298</v>
      </c>
    </row>
    <row r="127" spans="6:8" x14ac:dyDescent="0.25">
      <c r="F127">
        <v>160</v>
      </c>
      <c r="G127" s="15">
        <f t="shared" ca="1" si="2"/>
        <v>1072355.1200000008</v>
      </c>
      <c r="H127" s="15">
        <f t="shared" ca="1" si="3"/>
        <v>423963.94666666631</v>
      </c>
    </row>
    <row r="128" spans="6:8" x14ac:dyDescent="0.25">
      <c r="F128">
        <v>162</v>
      </c>
      <c r="G128" s="15">
        <f t="shared" ca="1" si="2"/>
        <v>1084834.5590000008</v>
      </c>
      <c r="H128" s="15">
        <f t="shared" ca="1" si="3"/>
        <v>427825.99599999964</v>
      </c>
    </row>
    <row r="129" spans="6:8" x14ac:dyDescent="0.25">
      <c r="F129">
        <v>164</v>
      </c>
      <c r="G129" s="15">
        <f t="shared" ca="1" si="2"/>
        <v>1097313.9980000008</v>
      </c>
      <c r="H129" s="15">
        <f t="shared" ca="1" si="3"/>
        <v>431688.04533333296</v>
      </c>
    </row>
    <row r="130" spans="6:8" x14ac:dyDescent="0.25">
      <c r="F130">
        <v>166</v>
      </c>
      <c r="G130" s="15">
        <f t="shared" ca="1" si="2"/>
        <v>1109793.4370000008</v>
      </c>
      <c r="H130" s="15">
        <f t="shared" ca="1" si="3"/>
        <v>435550.09466666629</v>
      </c>
    </row>
    <row r="131" spans="6:8" x14ac:dyDescent="0.25">
      <c r="F131">
        <v>168</v>
      </c>
      <c r="G131" s="15">
        <f t="shared" ca="1" si="2"/>
        <v>1122272.8760000009</v>
      </c>
      <c r="H131" s="15">
        <f t="shared" ca="1" si="3"/>
        <v>439412.14399999962</v>
      </c>
    </row>
    <row r="132" spans="6:8" x14ac:dyDescent="0.25">
      <c r="F132">
        <v>170</v>
      </c>
      <c r="G132" s="15">
        <f t="shared" ca="1" si="2"/>
        <v>1134752.3150000009</v>
      </c>
      <c r="H132" s="15">
        <f t="shared" ca="1" si="3"/>
        <v>443274.19333333295</v>
      </c>
    </row>
    <row r="133" spans="6:8" x14ac:dyDescent="0.25">
      <c r="F133">
        <v>172</v>
      </c>
      <c r="G133" s="15">
        <f t="shared" ca="1" si="2"/>
        <v>1147231.7540000009</v>
      </c>
      <c r="H133" s="15">
        <f t="shared" ca="1" si="3"/>
        <v>447136.24266666628</v>
      </c>
    </row>
    <row r="134" spans="6:8" x14ac:dyDescent="0.25">
      <c r="F134">
        <v>174</v>
      </c>
      <c r="G134" s="15">
        <f t="shared" ca="1" si="2"/>
        <v>1159711.1930000009</v>
      </c>
      <c r="H134" s="15">
        <f t="shared" ca="1" si="3"/>
        <v>450998.29199999961</v>
      </c>
    </row>
    <row r="135" spans="6:8" x14ac:dyDescent="0.25">
      <c r="F135">
        <v>176</v>
      </c>
      <c r="G135" s="15">
        <f t="shared" ca="1" si="2"/>
        <v>1172190.6320000009</v>
      </c>
      <c r="H135" s="15">
        <f t="shared" ca="1" si="3"/>
        <v>454860.34133333294</v>
      </c>
    </row>
    <row r="136" spans="6:8" x14ac:dyDescent="0.25">
      <c r="F136">
        <v>178</v>
      </c>
      <c r="G136" s="15">
        <f t="shared" ca="1" si="2"/>
        <v>1184670.0710000009</v>
      </c>
      <c r="H136" s="15">
        <f t="shared" ca="1" si="3"/>
        <v>458722.39066666627</v>
      </c>
    </row>
    <row r="137" spans="6:8" x14ac:dyDescent="0.25">
      <c r="F137">
        <v>180</v>
      </c>
      <c r="G137" s="15">
        <f t="shared" ca="1" si="2"/>
        <v>1197149.5100000009</v>
      </c>
      <c r="H137" s="15">
        <f t="shared" ca="1" si="3"/>
        <v>462584.43999999959</v>
      </c>
    </row>
    <row r="138" spans="6:8" x14ac:dyDescent="0.25">
      <c r="F138">
        <v>182</v>
      </c>
      <c r="G138" s="15">
        <f t="shared" ca="1" si="2"/>
        <v>1209628.949000001</v>
      </c>
      <c r="H138" s="15">
        <f t="shared" ca="1" si="3"/>
        <v>466446.48933333292</v>
      </c>
    </row>
    <row r="139" spans="6:8" x14ac:dyDescent="0.25">
      <c r="F139">
        <v>184</v>
      </c>
      <c r="G139" s="15">
        <f t="shared" ca="1" si="2"/>
        <v>1222108.388000001</v>
      </c>
      <c r="H139" s="15">
        <f t="shared" ca="1" si="3"/>
        <v>470308.53866666625</v>
      </c>
    </row>
    <row r="140" spans="6:8" x14ac:dyDescent="0.25">
      <c r="F140">
        <v>186</v>
      </c>
      <c r="G140" s="15">
        <f t="shared" ca="1" si="2"/>
        <v>1234587.827000001</v>
      </c>
      <c r="H140" s="15">
        <f t="shared" ca="1" si="3"/>
        <v>474170.58799999958</v>
      </c>
    </row>
    <row r="141" spans="6:8" x14ac:dyDescent="0.25">
      <c r="F141">
        <v>188</v>
      </c>
      <c r="G141" s="15">
        <f t="shared" ca="1" si="2"/>
        <v>1247067.266000001</v>
      </c>
      <c r="H141" s="15">
        <f t="shared" ca="1" si="3"/>
        <v>478032.63733333291</v>
      </c>
    </row>
    <row r="142" spans="6:8" x14ac:dyDescent="0.25">
      <c r="F142">
        <v>190</v>
      </c>
      <c r="G142" s="15">
        <f t="shared" ca="1" si="2"/>
        <v>1259546.705000001</v>
      </c>
      <c r="H142" s="15">
        <f t="shared" ca="1" si="3"/>
        <v>481894.68666666624</v>
      </c>
    </row>
    <row r="143" spans="6:8" x14ac:dyDescent="0.25">
      <c r="F143">
        <v>192</v>
      </c>
      <c r="G143" s="15">
        <f t="shared" ca="1" si="2"/>
        <v>1272026.144000001</v>
      </c>
      <c r="H143" s="15">
        <f t="shared" ca="1" si="3"/>
        <v>485756.73599999957</v>
      </c>
    </row>
    <row r="144" spans="6:8" x14ac:dyDescent="0.25">
      <c r="F144">
        <v>194</v>
      </c>
      <c r="G144" s="15">
        <f t="shared" ca="1" si="2"/>
        <v>1284505.583000001</v>
      </c>
      <c r="H144" s="15">
        <f t="shared" ca="1" si="3"/>
        <v>489618.7853333329</v>
      </c>
    </row>
    <row r="145" spans="6:8" x14ac:dyDescent="0.25">
      <c r="F145">
        <v>196</v>
      </c>
      <c r="G145" s="15">
        <f t="shared" ca="1" si="2"/>
        <v>1296985.022000001</v>
      </c>
      <c r="H145" s="15">
        <f t="shared" ca="1" si="3"/>
        <v>493480.83466666623</v>
      </c>
    </row>
    <row r="146" spans="6:8" x14ac:dyDescent="0.25">
      <c r="F146">
        <v>198</v>
      </c>
      <c r="G146" s="15">
        <f t="shared" ca="1" si="2"/>
        <v>1309464.4610000011</v>
      </c>
      <c r="H146" s="15">
        <f t="shared" ca="1" si="3"/>
        <v>497342.88399999955</v>
      </c>
    </row>
    <row r="147" spans="6:8" x14ac:dyDescent="0.25">
      <c r="F147">
        <v>200</v>
      </c>
      <c r="G147" s="15">
        <f t="shared" ca="1" si="2"/>
        <v>1321943.9000000011</v>
      </c>
      <c r="H147" s="15">
        <f t="shared" ca="1" si="3"/>
        <v>501204.93333333288</v>
      </c>
    </row>
    <row r="148" spans="6:8" x14ac:dyDescent="0.25">
      <c r="F148">
        <v>202</v>
      </c>
      <c r="G148" s="15">
        <f t="shared" ca="1" si="2"/>
        <v>1334423.3390000011</v>
      </c>
      <c r="H148" s="15">
        <f t="shared" ca="1" si="3"/>
        <v>505066.98266666621</v>
      </c>
    </row>
    <row r="149" spans="6:8" x14ac:dyDescent="0.25">
      <c r="F149">
        <v>204</v>
      </c>
      <c r="G149" s="15">
        <f t="shared" ca="1" si="2"/>
        <v>1346902.7780000011</v>
      </c>
      <c r="H149" s="15">
        <f t="shared" ca="1" si="3"/>
        <v>508929.03199999954</v>
      </c>
    </row>
    <row r="150" spans="6:8" x14ac:dyDescent="0.25">
      <c r="F150">
        <v>206</v>
      </c>
      <c r="G150" s="15">
        <f t="shared" ca="1" si="2"/>
        <v>1359382.2170000011</v>
      </c>
      <c r="H150" s="15">
        <f t="shared" ca="1" si="3"/>
        <v>512791.08133333287</v>
      </c>
    </row>
    <row r="151" spans="6:8" x14ac:dyDescent="0.25">
      <c r="F151">
        <v>208</v>
      </c>
      <c r="G151" s="15">
        <f t="shared" ca="1" si="2"/>
        <v>1371861.6560000011</v>
      </c>
      <c r="H151" s="15">
        <f t="shared" ca="1" si="3"/>
        <v>516653.1306666662</v>
      </c>
    </row>
    <row r="152" spans="6:8" x14ac:dyDescent="0.25">
      <c r="F152">
        <v>210</v>
      </c>
      <c r="G152" s="15">
        <f t="shared" ca="1" si="2"/>
        <v>1384341.0950000011</v>
      </c>
      <c r="H152" s="15">
        <f t="shared" ca="1" si="3"/>
        <v>520515.17999999953</v>
      </c>
    </row>
    <row r="153" spans="6:8" x14ac:dyDescent="0.25">
      <c r="F153">
        <v>212</v>
      </c>
      <c r="G153" s="15">
        <f t="shared" ca="1" si="2"/>
        <v>1396820.5340000011</v>
      </c>
      <c r="H153" s="15">
        <f t="shared" ca="1" si="3"/>
        <v>524377.22933333286</v>
      </c>
    </row>
    <row r="154" spans="6:8" x14ac:dyDescent="0.25">
      <c r="F154">
        <v>214</v>
      </c>
      <c r="G154" s="15">
        <f t="shared" ca="1" si="2"/>
        <v>1409299.9730000012</v>
      </c>
      <c r="H154" s="15">
        <f t="shared" ca="1" si="3"/>
        <v>528239.27866666624</v>
      </c>
    </row>
    <row r="155" spans="6:8" x14ac:dyDescent="0.25">
      <c r="F155">
        <v>216</v>
      </c>
      <c r="G155" s="15">
        <f t="shared" ca="1" si="2"/>
        <v>1421779.4120000012</v>
      </c>
      <c r="H155" s="15">
        <f t="shared" ca="1" si="3"/>
        <v>532101.32799999963</v>
      </c>
    </row>
    <row r="156" spans="6:8" x14ac:dyDescent="0.25">
      <c r="F156">
        <v>218</v>
      </c>
      <c r="G156" s="15">
        <f t="shared" ca="1" si="2"/>
        <v>1434258.8510000012</v>
      </c>
      <c r="H156" s="15">
        <f t="shared" ca="1" si="3"/>
        <v>535963.37733333302</v>
      </c>
    </row>
    <row r="157" spans="6:8" x14ac:dyDescent="0.25">
      <c r="F157">
        <v>220</v>
      </c>
      <c r="G157" s="15">
        <f t="shared" ca="1" si="2"/>
        <v>1446738.2900000012</v>
      </c>
      <c r="H157" s="15">
        <f t="shared" ca="1" si="3"/>
        <v>539825.4266666664</v>
      </c>
    </row>
    <row r="158" spans="6:8" x14ac:dyDescent="0.25">
      <c r="F158">
        <v>222</v>
      </c>
      <c r="G158" s="15">
        <f t="shared" ca="1" si="2"/>
        <v>1459217.7290000012</v>
      </c>
      <c r="H158" s="15">
        <f t="shared" ca="1" si="3"/>
        <v>543687.47599999979</v>
      </c>
    </row>
    <row r="159" spans="6:8" x14ac:dyDescent="0.25">
      <c r="F159">
        <v>224</v>
      </c>
      <c r="G159" s="15">
        <f t="shared" ca="1" si="2"/>
        <v>1471697.1680000012</v>
      </c>
      <c r="H159" s="15">
        <f t="shared" ca="1" si="3"/>
        <v>547549.52533333318</v>
      </c>
    </row>
    <row r="160" spans="6:8" x14ac:dyDescent="0.25">
      <c r="F160">
        <v>226</v>
      </c>
      <c r="G160" s="15">
        <f t="shared" ca="1" si="2"/>
        <v>1484176.6070000012</v>
      </c>
      <c r="H160" s="15">
        <f t="shared" ca="1" si="3"/>
        <v>551411.57466666657</v>
      </c>
    </row>
    <row r="161" spans="6:8" x14ac:dyDescent="0.25">
      <c r="F161">
        <v>228</v>
      </c>
      <c r="G161" s="15">
        <f t="shared" ca="1" si="2"/>
        <v>1496656.0460000013</v>
      </c>
      <c r="H161" s="15">
        <f t="shared" ca="1" si="3"/>
        <v>555273.62399999995</v>
      </c>
    </row>
    <row r="162" spans="6:8" x14ac:dyDescent="0.25">
      <c r="F162">
        <v>230</v>
      </c>
      <c r="G162" s="15">
        <f t="shared" ca="1" si="2"/>
        <v>1509135.4850000013</v>
      </c>
      <c r="H162" s="15">
        <f t="shared" ca="1" si="3"/>
        <v>559135.67333333334</v>
      </c>
    </row>
    <row r="163" spans="6:8" x14ac:dyDescent="0.25">
      <c r="F163">
        <v>232</v>
      </c>
      <c r="G163" s="15">
        <f t="shared" ca="1" si="2"/>
        <v>1521614.9240000013</v>
      </c>
      <c r="H163" s="15">
        <f t="shared" ca="1" si="3"/>
        <v>562997.72266666673</v>
      </c>
    </row>
    <row r="164" spans="6:8" x14ac:dyDescent="0.25">
      <c r="F164">
        <v>234</v>
      </c>
      <c r="G164" s="15">
        <f t="shared" ca="1" si="2"/>
        <v>1534094.3630000013</v>
      </c>
      <c r="H164" s="15">
        <f t="shared" ca="1" si="3"/>
        <v>566859.77200000011</v>
      </c>
    </row>
    <row r="165" spans="6:8" x14ac:dyDescent="0.25">
      <c r="F165">
        <v>236</v>
      </c>
      <c r="G165" s="15">
        <f t="shared" ca="1" si="2"/>
        <v>1546573.8020000013</v>
      </c>
      <c r="H165" s="15">
        <f t="shared" ca="1" si="3"/>
        <v>570721.8213333335</v>
      </c>
    </row>
    <row r="166" spans="6:8" x14ac:dyDescent="0.25">
      <c r="F166">
        <v>238</v>
      </c>
      <c r="G166" s="15">
        <f t="shared" ca="1" si="2"/>
        <v>1559053.2410000013</v>
      </c>
      <c r="H166" s="15">
        <f t="shared" ca="1" si="3"/>
        <v>574583.87066666689</v>
      </c>
    </row>
    <row r="167" spans="6:8" x14ac:dyDescent="0.25">
      <c r="F167">
        <v>240</v>
      </c>
      <c r="G167" s="15">
        <f t="shared" ca="1" si="2"/>
        <v>1571532.6800000013</v>
      </c>
      <c r="H167" s="15">
        <f t="shared" ca="1" si="3"/>
        <v>578445.92000000027</v>
      </c>
    </row>
    <row r="168" spans="6:8" x14ac:dyDescent="0.25">
      <c r="F168">
        <v>242</v>
      </c>
      <c r="G168" s="15">
        <f t="shared" ca="1" si="2"/>
        <v>1584012.1190000013</v>
      </c>
      <c r="H168" s="15">
        <f t="shared" ca="1" si="3"/>
        <v>582307.96933333366</v>
      </c>
    </row>
    <row r="169" spans="6:8" x14ac:dyDescent="0.25">
      <c r="F169">
        <v>244</v>
      </c>
      <c r="G169" s="15">
        <f t="shared" ca="1" si="2"/>
        <v>1596491.5580000014</v>
      </c>
      <c r="H169" s="15">
        <f t="shared" ca="1" si="3"/>
        <v>586170.01866666705</v>
      </c>
    </row>
    <row r="170" spans="6:8" x14ac:dyDescent="0.25">
      <c r="F170">
        <v>246</v>
      </c>
      <c r="G170" s="15">
        <f t="shared" ca="1" si="2"/>
        <v>1608970.9970000014</v>
      </c>
      <c r="H170" s="15">
        <f t="shared" ca="1" si="3"/>
        <v>590032.06800000044</v>
      </c>
    </row>
    <row r="171" spans="6:8" x14ac:dyDescent="0.25">
      <c r="F171">
        <v>248</v>
      </c>
      <c r="G171" s="15">
        <f t="shared" ca="1" si="2"/>
        <v>1621450.4360000014</v>
      </c>
      <c r="H171" s="15">
        <f t="shared" ca="1" si="3"/>
        <v>593894.11733333382</v>
      </c>
    </row>
    <row r="172" spans="6:8" x14ac:dyDescent="0.25">
      <c r="F172">
        <v>250</v>
      </c>
      <c r="G172" s="15">
        <f t="shared" ca="1" si="2"/>
        <v>1633929.8750000014</v>
      </c>
      <c r="H172" s="15">
        <f t="shared" ca="1" si="3"/>
        <v>597756.16666666721</v>
      </c>
    </row>
    <row r="173" spans="6:8" x14ac:dyDescent="0.25">
      <c r="F173">
        <v>252</v>
      </c>
      <c r="G173" s="15">
        <f t="shared" ca="1" si="2"/>
        <v>1646409.3140000014</v>
      </c>
      <c r="H173" s="15">
        <f t="shared" ca="1" si="3"/>
        <v>601618.2160000006</v>
      </c>
    </row>
    <row r="174" spans="6:8" x14ac:dyDescent="0.25">
      <c r="F174">
        <v>254</v>
      </c>
      <c r="G174" s="15">
        <f t="shared" ca="1" si="2"/>
        <v>1658888.7530000014</v>
      </c>
      <c r="H174" s="15">
        <f t="shared" ca="1" si="3"/>
        <v>605480.26533333398</v>
      </c>
    </row>
    <row r="175" spans="6:8" x14ac:dyDescent="0.25">
      <c r="F175">
        <v>256</v>
      </c>
      <c r="G175" s="15">
        <f t="shared" ca="1" si="2"/>
        <v>1671368.1920000014</v>
      </c>
      <c r="H175" s="15">
        <f t="shared" ca="1" si="3"/>
        <v>609342.31466666737</v>
      </c>
    </row>
    <row r="176" spans="6:8" x14ac:dyDescent="0.25">
      <c r="F176">
        <v>258</v>
      </c>
      <c r="G176" s="15">
        <f t="shared" ca="1" si="2"/>
        <v>1683847.6310000014</v>
      </c>
      <c r="H176" s="15">
        <f t="shared" ca="1" si="3"/>
        <v>613204.36400000076</v>
      </c>
    </row>
    <row r="177" spans="6:8" x14ac:dyDescent="0.25">
      <c r="F177">
        <v>260</v>
      </c>
      <c r="G177" s="15">
        <f t="shared" ref="G177:G240" ca="1" si="4">G176+2*$B$13/12</f>
        <v>1696327.0700000015</v>
      </c>
      <c r="H177" s="15">
        <f t="shared" ref="H177:H240" ca="1" si="5">H176+2*$B$29/12</f>
        <v>617066.41333333415</v>
      </c>
    </row>
    <row r="178" spans="6:8" x14ac:dyDescent="0.25">
      <c r="F178">
        <v>262</v>
      </c>
      <c r="G178" s="15">
        <f t="shared" ca="1" si="4"/>
        <v>1708806.5090000015</v>
      </c>
      <c r="H178" s="15">
        <f t="shared" ca="1" si="5"/>
        <v>620928.46266666753</v>
      </c>
    </row>
    <row r="179" spans="6:8" x14ac:dyDescent="0.25">
      <c r="F179">
        <v>264</v>
      </c>
      <c r="G179" s="15">
        <f t="shared" ca="1" si="4"/>
        <v>1721285.9480000015</v>
      </c>
      <c r="H179" s="15">
        <f t="shared" ca="1" si="5"/>
        <v>624790.51200000092</v>
      </c>
    </row>
    <row r="180" spans="6:8" x14ac:dyDescent="0.25">
      <c r="F180">
        <v>266</v>
      </c>
      <c r="G180" s="15">
        <f t="shared" ca="1" si="4"/>
        <v>1733765.3870000015</v>
      </c>
      <c r="H180" s="15">
        <f t="shared" ca="1" si="5"/>
        <v>628652.56133333431</v>
      </c>
    </row>
    <row r="181" spans="6:8" x14ac:dyDescent="0.25">
      <c r="F181">
        <v>268</v>
      </c>
      <c r="G181" s="15">
        <f t="shared" ca="1" si="4"/>
        <v>1746244.8260000015</v>
      </c>
      <c r="H181" s="15">
        <f t="shared" ca="1" si="5"/>
        <v>632514.61066666769</v>
      </c>
    </row>
    <row r="182" spans="6:8" x14ac:dyDescent="0.25">
      <c r="F182">
        <v>270</v>
      </c>
      <c r="G182" s="15">
        <f t="shared" ca="1" si="4"/>
        <v>1758724.2650000015</v>
      </c>
      <c r="H182" s="15">
        <f t="shared" ca="1" si="5"/>
        <v>636376.66000000108</v>
      </c>
    </row>
    <row r="183" spans="6:8" x14ac:dyDescent="0.25">
      <c r="F183">
        <v>272</v>
      </c>
      <c r="G183" s="15">
        <f t="shared" ca="1" si="4"/>
        <v>1771203.7040000015</v>
      </c>
      <c r="H183" s="15">
        <f t="shared" ca="1" si="5"/>
        <v>640238.70933333447</v>
      </c>
    </row>
    <row r="184" spans="6:8" x14ac:dyDescent="0.25">
      <c r="F184">
        <v>274</v>
      </c>
      <c r="G184" s="15">
        <f t="shared" ca="1" si="4"/>
        <v>1783683.1430000016</v>
      </c>
      <c r="H184" s="15">
        <f t="shared" ca="1" si="5"/>
        <v>644100.75866666785</v>
      </c>
    </row>
    <row r="185" spans="6:8" x14ac:dyDescent="0.25">
      <c r="F185">
        <v>276</v>
      </c>
      <c r="G185" s="15">
        <f t="shared" ca="1" si="4"/>
        <v>1796162.5820000016</v>
      </c>
      <c r="H185" s="15">
        <f t="shared" ca="1" si="5"/>
        <v>647962.80800000124</v>
      </c>
    </row>
    <row r="186" spans="6:8" x14ac:dyDescent="0.25">
      <c r="F186">
        <v>278</v>
      </c>
      <c r="G186" s="15">
        <f t="shared" ca="1" si="4"/>
        <v>1808642.0210000016</v>
      </c>
      <c r="H186" s="15">
        <f t="shared" ca="1" si="5"/>
        <v>651824.85733333463</v>
      </c>
    </row>
    <row r="187" spans="6:8" x14ac:dyDescent="0.25">
      <c r="F187">
        <v>280</v>
      </c>
      <c r="G187" s="15">
        <f t="shared" ca="1" si="4"/>
        <v>1821121.4600000016</v>
      </c>
      <c r="H187" s="15">
        <f t="shared" ca="1" si="5"/>
        <v>655686.90666666802</v>
      </c>
    </row>
    <row r="188" spans="6:8" x14ac:dyDescent="0.25">
      <c r="F188">
        <v>282</v>
      </c>
      <c r="G188" s="15">
        <f t="shared" ca="1" si="4"/>
        <v>1833600.8990000016</v>
      </c>
      <c r="H188" s="15">
        <f t="shared" ca="1" si="5"/>
        <v>659548.9560000014</v>
      </c>
    </row>
    <row r="189" spans="6:8" x14ac:dyDescent="0.25">
      <c r="F189">
        <v>284</v>
      </c>
      <c r="G189" s="15">
        <f t="shared" ca="1" si="4"/>
        <v>1846080.3380000016</v>
      </c>
      <c r="H189" s="15">
        <f t="shared" ca="1" si="5"/>
        <v>663411.00533333479</v>
      </c>
    </row>
    <row r="190" spans="6:8" x14ac:dyDescent="0.25">
      <c r="F190">
        <v>286</v>
      </c>
      <c r="G190" s="15">
        <f t="shared" ca="1" si="4"/>
        <v>1858559.7770000016</v>
      </c>
      <c r="H190" s="15">
        <f t="shared" ca="1" si="5"/>
        <v>667273.05466666818</v>
      </c>
    </row>
    <row r="191" spans="6:8" x14ac:dyDescent="0.25">
      <c r="F191">
        <v>288</v>
      </c>
      <c r="G191" s="15">
        <f t="shared" ca="1" si="4"/>
        <v>1871039.2160000016</v>
      </c>
      <c r="H191" s="15">
        <f t="shared" ca="1" si="5"/>
        <v>671135.10400000156</v>
      </c>
    </row>
    <row r="192" spans="6:8" x14ac:dyDescent="0.25">
      <c r="F192">
        <v>290</v>
      </c>
      <c r="G192" s="15">
        <f t="shared" ca="1" si="4"/>
        <v>1883518.6550000017</v>
      </c>
      <c r="H192" s="15">
        <f t="shared" ca="1" si="5"/>
        <v>674997.15333333495</v>
      </c>
    </row>
    <row r="193" spans="6:8" x14ac:dyDescent="0.25">
      <c r="F193">
        <v>292</v>
      </c>
      <c r="G193" s="15">
        <f t="shared" ca="1" si="4"/>
        <v>1895998.0940000017</v>
      </c>
      <c r="H193" s="15">
        <f t="shared" ca="1" si="5"/>
        <v>678859.20266666834</v>
      </c>
    </row>
    <row r="194" spans="6:8" x14ac:dyDescent="0.25">
      <c r="F194">
        <v>294</v>
      </c>
      <c r="G194" s="15">
        <f t="shared" ca="1" si="4"/>
        <v>1908477.5330000017</v>
      </c>
      <c r="H194" s="15">
        <f t="shared" ca="1" si="5"/>
        <v>682721.25200000172</v>
      </c>
    </row>
    <row r="195" spans="6:8" x14ac:dyDescent="0.25">
      <c r="F195">
        <v>296</v>
      </c>
      <c r="G195" s="15">
        <f t="shared" ca="1" si="4"/>
        <v>1920956.9720000017</v>
      </c>
      <c r="H195" s="15">
        <f t="shared" ca="1" si="5"/>
        <v>686583.30133333511</v>
      </c>
    </row>
    <row r="196" spans="6:8" x14ac:dyDescent="0.25">
      <c r="F196">
        <v>298</v>
      </c>
      <c r="G196" s="15">
        <f t="shared" ca="1" si="4"/>
        <v>1933436.4110000017</v>
      </c>
      <c r="H196" s="15">
        <f t="shared" ca="1" si="5"/>
        <v>690445.3506666685</v>
      </c>
    </row>
    <row r="197" spans="6:8" x14ac:dyDescent="0.25">
      <c r="F197">
        <v>300</v>
      </c>
      <c r="G197" s="15">
        <f t="shared" ca="1" si="4"/>
        <v>1945915.8500000017</v>
      </c>
      <c r="H197" s="15">
        <f t="shared" ca="1" si="5"/>
        <v>694307.40000000189</v>
      </c>
    </row>
    <row r="198" spans="6:8" x14ac:dyDescent="0.25">
      <c r="F198">
        <v>302</v>
      </c>
      <c r="G198" s="15">
        <f t="shared" ca="1" si="4"/>
        <v>1958395.2890000017</v>
      </c>
      <c r="H198" s="15">
        <f t="shared" ca="1" si="5"/>
        <v>698169.44933333527</v>
      </c>
    </row>
    <row r="199" spans="6:8" x14ac:dyDescent="0.25">
      <c r="F199">
        <v>304</v>
      </c>
      <c r="G199" s="15">
        <f t="shared" ca="1" si="4"/>
        <v>1970874.7280000017</v>
      </c>
      <c r="H199" s="15">
        <f t="shared" ca="1" si="5"/>
        <v>702031.49866666866</v>
      </c>
    </row>
    <row r="200" spans="6:8" x14ac:dyDescent="0.25">
      <c r="F200">
        <v>306</v>
      </c>
      <c r="G200" s="15">
        <f t="shared" ca="1" si="4"/>
        <v>1983354.1670000018</v>
      </c>
      <c r="H200" s="15">
        <f t="shared" ca="1" si="5"/>
        <v>705893.54800000205</v>
      </c>
    </row>
    <row r="201" spans="6:8" x14ac:dyDescent="0.25">
      <c r="F201">
        <v>308</v>
      </c>
      <c r="G201" s="15">
        <f t="shared" ca="1" si="4"/>
        <v>1995833.6060000018</v>
      </c>
      <c r="H201" s="15">
        <f t="shared" ca="1" si="5"/>
        <v>709755.59733333543</v>
      </c>
    </row>
    <row r="202" spans="6:8" x14ac:dyDescent="0.25">
      <c r="F202">
        <v>310</v>
      </c>
      <c r="G202" s="15">
        <f t="shared" ca="1" si="4"/>
        <v>2008313.0450000018</v>
      </c>
      <c r="H202" s="15">
        <f t="shared" ca="1" si="5"/>
        <v>713617.64666666882</v>
      </c>
    </row>
    <row r="203" spans="6:8" x14ac:dyDescent="0.25">
      <c r="F203">
        <v>312</v>
      </c>
      <c r="G203" s="15">
        <f t="shared" ca="1" si="4"/>
        <v>2020792.4840000018</v>
      </c>
      <c r="H203" s="15">
        <f t="shared" ca="1" si="5"/>
        <v>717479.69600000221</v>
      </c>
    </row>
    <row r="204" spans="6:8" x14ac:dyDescent="0.25">
      <c r="F204">
        <v>314</v>
      </c>
      <c r="G204" s="15">
        <f t="shared" ca="1" si="4"/>
        <v>2033271.9230000018</v>
      </c>
      <c r="H204" s="15">
        <f t="shared" ca="1" si="5"/>
        <v>721341.7453333356</v>
      </c>
    </row>
    <row r="205" spans="6:8" x14ac:dyDescent="0.25">
      <c r="F205">
        <v>316</v>
      </c>
      <c r="G205" s="15">
        <f t="shared" ca="1" si="4"/>
        <v>2045751.3620000018</v>
      </c>
      <c r="H205" s="15">
        <f t="shared" ca="1" si="5"/>
        <v>725203.79466666898</v>
      </c>
    </row>
    <row r="206" spans="6:8" x14ac:dyDescent="0.25">
      <c r="F206">
        <v>318</v>
      </c>
      <c r="G206" s="15">
        <f t="shared" ca="1" si="4"/>
        <v>2058230.8010000018</v>
      </c>
      <c r="H206" s="15">
        <f t="shared" ca="1" si="5"/>
        <v>729065.84400000237</v>
      </c>
    </row>
    <row r="207" spans="6:8" x14ac:dyDescent="0.25">
      <c r="F207">
        <v>320</v>
      </c>
      <c r="G207" s="15">
        <f t="shared" ca="1" si="4"/>
        <v>2070710.2400000019</v>
      </c>
      <c r="H207" s="15">
        <f t="shared" ca="1" si="5"/>
        <v>732927.89333333576</v>
      </c>
    </row>
    <row r="208" spans="6:8" x14ac:dyDescent="0.25">
      <c r="F208">
        <v>322</v>
      </c>
      <c r="G208" s="15">
        <f t="shared" ca="1" si="4"/>
        <v>2083189.6790000019</v>
      </c>
      <c r="H208" s="15">
        <f t="shared" ca="1" si="5"/>
        <v>736789.94266666914</v>
      </c>
    </row>
    <row r="209" spans="6:8" x14ac:dyDescent="0.25">
      <c r="F209">
        <v>324</v>
      </c>
      <c r="G209" s="15">
        <f t="shared" ca="1" si="4"/>
        <v>2095669.1180000019</v>
      </c>
      <c r="H209" s="15">
        <f t="shared" ca="1" si="5"/>
        <v>740651.99200000253</v>
      </c>
    </row>
    <row r="210" spans="6:8" x14ac:dyDescent="0.25">
      <c r="F210">
        <v>326</v>
      </c>
      <c r="G210" s="15">
        <f t="shared" ca="1" si="4"/>
        <v>2108148.5570000019</v>
      </c>
      <c r="H210" s="15">
        <f t="shared" ca="1" si="5"/>
        <v>744514.04133333592</v>
      </c>
    </row>
    <row r="211" spans="6:8" x14ac:dyDescent="0.25">
      <c r="F211">
        <v>328</v>
      </c>
      <c r="G211" s="15">
        <f t="shared" ca="1" si="4"/>
        <v>2120627.9960000017</v>
      </c>
      <c r="H211" s="15">
        <f t="shared" ca="1" si="5"/>
        <v>748376.0906666693</v>
      </c>
    </row>
    <row r="212" spans="6:8" x14ac:dyDescent="0.25">
      <c r="F212">
        <v>330</v>
      </c>
      <c r="G212" s="15">
        <f t="shared" ca="1" si="4"/>
        <v>2133107.4350000015</v>
      </c>
      <c r="H212" s="15">
        <f t="shared" ca="1" si="5"/>
        <v>752238.14000000269</v>
      </c>
    </row>
    <row r="213" spans="6:8" x14ac:dyDescent="0.25">
      <c r="F213">
        <v>332</v>
      </c>
      <c r="G213" s="15">
        <f t="shared" ca="1" si="4"/>
        <v>2145586.8740000012</v>
      </c>
      <c r="H213" s="15">
        <f t="shared" ca="1" si="5"/>
        <v>756100.18933333608</v>
      </c>
    </row>
    <row r="214" spans="6:8" x14ac:dyDescent="0.25">
      <c r="F214">
        <v>334</v>
      </c>
      <c r="G214" s="15">
        <f t="shared" ca="1" si="4"/>
        <v>2158066.313000001</v>
      </c>
      <c r="H214" s="15">
        <f t="shared" ca="1" si="5"/>
        <v>759962.23866666947</v>
      </c>
    </row>
    <row r="215" spans="6:8" x14ac:dyDescent="0.25">
      <c r="F215">
        <v>336</v>
      </c>
      <c r="G215" s="15">
        <f t="shared" ca="1" si="4"/>
        <v>2170545.7520000008</v>
      </c>
      <c r="H215" s="15">
        <f t="shared" ca="1" si="5"/>
        <v>763824.28800000285</v>
      </c>
    </row>
    <row r="216" spans="6:8" x14ac:dyDescent="0.25">
      <c r="F216">
        <v>338</v>
      </c>
      <c r="G216" s="15">
        <f t="shared" ca="1" si="4"/>
        <v>2183025.1910000006</v>
      </c>
      <c r="H216" s="15">
        <f t="shared" ca="1" si="5"/>
        <v>767686.33733333624</v>
      </c>
    </row>
    <row r="217" spans="6:8" x14ac:dyDescent="0.25">
      <c r="F217">
        <v>340</v>
      </c>
      <c r="G217" s="15">
        <f t="shared" ca="1" si="4"/>
        <v>2195504.6300000004</v>
      </c>
      <c r="H217" s="15">
        <f t="shared" ca="1" si="5"/>
        <v>771548.38666666963</v>
      </c>
    </row>
    <row r="218" spans="6:8" x14ac:dyDescent="0.25">
      <c r="F218">
        <v>342</v>
      </c>
      <c r="G218" s="15">
        <f t="shared" ca="1" si="4"/>
        <v>2207984.0690000001</v>
      </c>
      <c r="H218" s="15">
        <f t="shared" ca="1" si="5"/>
        <v>775410.43600000301</v>
      </c>
    </row>
    <row r="219" spans="6:8" x14ac:dyDescent="0.25">
      <c r="F219">
        <v>344</v>
      </c>
      <c r="G219" s="15">
        <f t="shared" ca="1" si="4"/>
        <v>2220463.5079999999</v>
      </c>
      <c r="H219" s="15">
        <f t="shared" ca="1" si="5"/>
        <v>779272.4853333364</v>
      </c>
    </row>
    <row r="220" spans="6:8" x14ac:dyDescent="0.25">
      <c r="F220">
        <v>346</v>
      </c>
      <c r="G220" s="15">
        <f t="shared" ca="1" si="4"/>
        <v>2232942.9469999997</v>
      </c>
      <c r="H220" s="15">
        <f t="shared" ca="1" si="5"/>
        <v>783134.53466666979</v>
      </c>
    </row>
    <row r="221" spans="6:8" x14ac:dyDescent="0.25">
      <c r="F221">
        <v>348</v>
      </c>
      <c r="G221" s="15">
        <f t="shared" ca="1" si="4"/>
        <v>2245422.3859999995</v>
      </c>
      <c r="H221" s="15">
        <f t="shared" ca="1" si="5"/>
        <v>786996.58400000317</v>
      </c>
    </row>
    <row r="222" spans="6:8" x14ac:dyDescent="0.25">
      <c r="F222">
        <v>350</v>
      </c>
      <c r="G222" s="15">
        <f t="shared" ca="1" si="4"/>
        <v>2257901.8249999993</v>
      </c>
      <c r="H222" s="15">
        <f t="shared" ca="1" si="5"/>
        <v>790858.63333333656</v>
      </c>
    </row>
    <row r="223" spans="6:8" x14ac:dyDescent="0.25">
      <c r="F223">
        <v>352</v>
      </c>
      <c r="G223" s="15">
        <f t="shared" ca="1" si="4"/>
        <v>2270381.263999999</v>
      </c>
      <c r="H223" s="15">
        <f t="shared" ca="1" si="5"/>
        <v>794720.68266666995</v>
      </c>
    </row>
    <row r="224" spans="6:8" x14ac:dyDescent="0.25">
      <c r="F224">
        <v>354</v>
      </c>
      <c r="G224" s="15">
        <f t="shared" ca="1" si="4"/>
        <v>2282860.7029999988</v>
      </c>
      <c r="H224" s="15">
        <f t="shared" ca="1" si="5"/>
        <v>798582.73200000334</v>
      </c>
    </row>
    <row r="225" spans="6:8" x14ac:dyDescent="0.25">
      <c r="F225">
        <v>356</v>
      </c>
      <c r="G225" s="15">
        <f t="shared" ca="1" si="4"/>
        <v>2295340.1419999986</v>
      </c>
      <c r="H225" s="15">
        <f t="shared" ca="1" si="5"/>
        <v>802444.78133333672</v>
      </c>
    </row>
    <row r="226" spans="6:8" x14ac:dyDescent="0.25">
      <c r="F226">
        <v>358</v>
      </c>
      <c r="G226" s="15">
        <f t="shared" ca="1" si="4"/>
        <v>2307819.5809999984</v>
      </c>
      <c r="H226" s="15">
        <f t="shared" ca="1" si="5"/>
        <v>806306.83066667011</v>
      </c>
    </row>
    <row r="227" spans="6:8" x14ac:dyDescent="0.25">
      <c r="F227">
        <v>360</v>
      </c>
      <c r="G227" s="15">
        <f t="shared" ca="1" si="4"/>
        <v>2320299.0199999982</v>
      </c>
      <c r="H227" s="15">
        <f t="shared" ca="1" si="5"/>
        <v>810168.8800000035</v>
      </c>
    </row>
    <row r="228" spans="6:8" x14ac:dyDescent="0.25">
      <c r="F228">
        <v>362</v>
      </c>
      <c r="G228" s="15">
        <f t="shared" ca="1" si="4"/>
        <v>2332778.4589999979</v>
      </c>
      <c r="H228" s="15">
        <f t="shared" ca="1" si="5"/>
        <v>814030.92933333688</v>
      </c>
    </row>
    <row r="229" spans="6:8" x14ac:dyDescent="0.25">
      <c r="F229">
        <v>364</v>
      </c>
      <c r="G229" s="15">
        <f t="shared" ca="1" si="4"/>
        <v>2345257.8979999977</v>
      </c>
      <c r="H229" s="15">
        <f t="shared" ca="1" si="5"/>
        <v>817892.97866667027</v>
      </c>
    </row>
    <row r="230" spans="6:8" x14ac:dyDescent="0.25">
      <c r="F230">
        <v>366</v>
      </c>
      <c r="G230" s="15">
        <f t="shared" ca="1" si="4"/>
        <v>2357737.3369999975</v>
      </c>
      <c r="H230" s="15">
        <f t="shared" ca="1" si="5"/>
        <v>821755.02800000366</v>
      </c>
    </row>
    <row r="231" spans="6:8" x14ac:dyDescent="0.25">
      <c r="F231">
        <v>368</v>
      </c>
      <c r="G231" s="15">
        <f t="shared" ca="1" si="4"/>
        <v>2370216.7759999973</v>
      </c>
      <c r="H231" s="15">
        <f t="shared" ca="1" si="5"/>
        <v>825617.07733333705</v>
      </c>
    </row>
    <row r="232" spans="6:8" x14ac:dyDescent="0.25">
      <c r="F232">
        <v>370</v>
      </c>
      <c r="G232" s="15">
        <f t="shared" ca="1" si="4"/>
        <v>2382696.2149999971</v>
      </c>
      <c r="H232" s="15">
        <f t="shared" ca="1" si="5"/>
        <v>829479.12666667043</v>
      </c>
    </row>
    <row r="233" spans="6:8" x14ac:dyDescent="0.25">
      <c r="F233">
        <v>372</v>
      </c>
      <c r="G233" s="15">
        <f t="shared" ca="1" si="4"/>
        <v>2395175.6539999968</v>
      </c>
      <c r="H233" s="15">
        <f t="shared" ca="1" si="5"/>
        <v>833341.17600000382</v>
      </c>
    </row>
    <row r="234" spans="6:8" x14ac:dyDescent="0.25">
      <c r="F234">
        <v>374</v>
      </c>
      <c r="G234" s="15">
        <f t="shared" ca="1" si="4"/>
        <v>2407655.0929999966</v>
      </c>
      <c r="H234" s="15">
        <f t="shared" ca="1" si="5"/>
        <v>837203.22533333721</v>
      </c>
    </row>
    <row r="235" spans="6:8" x14ac:dyDescent="0.25">
      <c r="F235">
        <v>376</v>
      </c>
      <c r="G235" s="15">
        <f t="shared" ca="1" si="4"/>
        <v>2420134.5319999964</v>
      </c>
      <c r="H235" s="15">
        <f t="shared" ca="1" si="5"/>
        <v>841065.27466667059</v>
      </c>
    </row>
    <row r="236" spans="6:8" x14ac:dyDescent="0.25">
      <c r="F236">
        <v>378</v>
      </c>
      <c r="G236" s="15">
        <f t="shared" ca="1" si="4"/>
        <v>2432613.9709999962</v>
      </c>
      <c r="H236" s="15">
        <f t="shared" ca="1" si="5"/>
        <v>844927.32400000398</v>
      </c>
    </row>
    <row r="237" spans="6:8" x14ac:dyDescent="0.25">
      <c r="F237">
        <v>380</v>
      </c>
      <c r="G237" s="15">
        <f t="shared" ca="1" si="4"/>
        <v>2445093.409999996</v>
      </c>
      <c r="H237" s="15">
        <f t="shared" ca="1" si="5"/>
        <v>848789.37333333737</v>
      </c>
    </row>
    <row r="238" spans="6:8" x14ac:dyDescent="0.25">
      <c r="F238">
        <v>382</v>
      </c>
      <c r="G238" s="15">
        <f t="shared" ca="1" si="4"/>
        <v>2457572.8489999957</v>
      </c>
      <c r="H238" s="15">
        <f t="shared" ca="1" si="5"/>
        <v>852651.42266667075</v>
      </c>
    </row>
    <row r="239" spans="6:8" x14ac:dyDescent="0.25">
      <c r="F239">
        <v>384</v>
      </c>
      <c r="G239" s="15">
        <f t="shared" ca="1" si="4"/>
        <v>2470052.2879999955</v>
      </c>
      <c r="H239" s="15">
        <f t="shared" ca="1" si="5"/>
        <v>856513.47200000414</v>
      </c>
    </row>
    <row r="240" spans="6:8" x14ac:dyDescent="0.25">
      <c r="F240">
        <v>386</v>
      </c>
      <c r="G240" s="15">
        <f t="shared" ca="1" si="4"/>
        <v>2482531.7269999953</v>
      </c>
      <c r="H240" s="15">
        <f t="shared" ca="1" si="5"/>
        <v>860375.52133333753</v>
      </c>
    </row>
    <row r="241" spans="6:8" x14ac:dyDescent="0.25">
      <c r="F241">
        <v>388</v>
      </c>
      <c r="G241" s="15">
        <f t="shared" ref="G241:G245" ca="1" si="6">G240+2*$B$13/12</f>
        <v>2495011.1659999951</v>
      </c>
      <c r="H241" s="15">
        <f t="shared" ref="H241:H245" ca="1" si="7">H240+2*$B$29/12</f>
        <v>864237.57066667092</v>
      </c>
    </row>
    <row r="242" spans="6:8" x14ac:dyDescent="0.25">
      <c r="F242">
        <v>390</v>
      </c>
      <c r="G242" s="15">
        <f t="shared" ca="1" si="6"/>
        <v>2507490.6049999949</v>
      </c>
      <c r="H242" s="15">
        <f t="shared" ca="1" si="7"/>
        <v>868099.6200000043</v>
      </c>
    </row>
    <row r="243" spans="6:8" x14ac:dyDescent="0.25">
      <c r="F243">
        <v>392</v>
      </c>
      <c r="G243" s="15">
        <f t="shared" ca="1" si="6"/>
        <v>2519970.0439999946</v>
      </c>
      <c r="H243" s="15">
        <f t="shared" ca="1" si="7"/>
        <v>871961.66933333769</v>
      </c>
    </row>
    <row r="244" spans="6:8" x14ac:dyDescent="0.25">
      <c r="F244">
        <v>394</v>
      </c>
      <c r="G244" s="15">
        <f t="shared" ca="1" si="6"/>
        <v>2532449.4829999944</v>
      </c>
      <c r="H244" s="15">
        <f t="shared" ca="1" si="7"/>
        <v>875823.71866667108</v>
      </c>
    </row>
    <row r="245" spans="6:8" x14ac:dyDescent="0.25">
      <c r="F245">
        <v>396</v>
      </c>
      <c r="G245" s="15">
        <f t="shared" ca="1" si="6"/>
        <v>2544928.9219999942</v>
      </c>
      <c r="H245" s="15">
        <f t="shared" ca="1" si="7"/>
        <v>879685.76800000446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X43"/>
  <sheetViews>
    <sheetView workbookViewId="0">
      <selection activeCell="B12" sqref="B12:B21"/>
    </sheetView>
  </sheetViews>
  <sheetFormatPr defaultRowHeight="15" x14ac:dyDescent="0.25"/>
  <cols>
    <col min="1" max="1" width="10.85546875" customWidth="1"/>
    <col min="5" max="5" width="9.28515625" bestFit="1" customWidth="1"/>
    <col min="6" max="6" width="9.5703125" bestFit="1" customWidth="1"/>
    <col min="7" max="7" width="9.28515625" bestFit="1"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s="14">
        <f>0.5*0.7544*EXP(0.517*A2)*C2*D2</f>
        <v>0.30362894361543336</v>
      </c>
      <c r="F2" s="14">
        <f>243.16 * EXP(-0.679*A2)</f>
        <v>123.31223846651093</v>
      </c>
      <c r="G2" s="14">
        <f>5.133*EXP(-1.083 *A2)/B2/D2</f>
        <v>4.1379100903453514</v>
      </c>
      <c r="H2">
        <f>A2/10</f>
        <v>0.1</v>
      </c>
    </row>
    <row r="3" spans="1:8" x14ac:dyDescent="0.25">
      <c r="A3">
        <v>2</v>
      </c>
      <c r="B3">
        <v>0.7</v>
      </c>
      <c r="C3">
        <v>0.8</v>
      </c>
      <c r="D3">
        <v>0.6</v>
      </c>
      <c r="E3" s="14">
        <f t="shared" ref="E3:E10" si="0">0.5*0.7544*EXP(0.517*A3)*C3*D3</f>
        <v>0.50918243748356329</v>
      </c>
      <c r="F3" s="14">
        <f t="shared" ref="F3:F10" si="1">243.16 * EXP(-0.679*A3)</f>
        <v>62.534578695598213</v>
      </c>
      <c r="G3" s="14">
        <f t="shared" ref="G3:G10" si="2">5.133*EXP(-1.083 *A3)/B3/D3</f>
        <v>1.4010064220978744</v>
      </c>
      <c r="H3">
        <f t="shared" ref="H3:H10" si="3">A3/10</f>
        <v>0.2</v>
      </c>
    </row>
    <row r="4" spans="1:8" x14ac:dyDescent="0.25">
      <c r="A4">
        <v>3</v>
      </c>
      <c r="B4">
        <v>0.7</v>
      </c>
      <c r="C4">
        <v>0.8</v>
      </c>
      <c r="D4">
        <v>0.6</v>
      </c>
      <c r="E4" s="14">
        <f t="shared" si="0"/>
        <v>0.85389341198670998</v>
      </c>
      <c r="F4" s="14">
        <f t="shared" si="1"/>
        <v>31.712777103612453</v>
      </c>
      <c r="G4" s="14">
        <f t="shared" si="2"/>
        <v>0.47435032465765103</v>
      </c>
      <c r="H4">
        <f t="shared" si="3"/>
        <v>0.3</v>
      </c>
    </row>
    <row r="5" spans="1:8" x14ac:dyDescent="0.25">
      <c r="A5">
        <v>4</v>
      </c>
      <c r="B5">
        <v>0.7</v>
      </c>
      <c r="C5">
        <v>0.8</v>
      </c>
      <c r="D5">
        <v>0.6</v>
      </c>
      <c r="E5" s="14">
        <f t="shared" si="0"/>
        <v>1.4319699686378955</v>
      </c>
      <c r="F5" s="14">
        <f t="shared" si="1"/>
        <v>16.082306023342515</v>
      </c>
      <c r="G5" s="14">
        <f t="shared" si="2"/>
        <v>0.16060471026670267</v>
      </c>
      <c r="H5">
        <f t="shared" si="3"/>
        <v>0.4</v>
      </c>
    </row>
    <row r="6" spans="1:8" x14ac:dyDescent="0.25">
      <c r="A6">
        <v>5</v>
      </c>
      <c r="B6">
        <v>0.7</v>
      </c>
      <c r="C6">
        <v>0.8</v>
      </c>
      <c r="D6">
        <v>0.6</v>
      </c>
      <c r="E6" s="14">
        <f t="shared" si="0"/>
        <v>2.4013980694732537</v>
      </c>
      <c r="F6" s="14">
        <f t="shared" si="1"/>
        <v>8.1557211524996589</v>
      </c>
      <c r="G6" s="14">
        <f t="shared" si="2"/>
        <v>5.4377264268697406E-2</v>
      </c>
      <c r="H6">
        <f t="shared" si="3"/>
        <v>0.5</v>
      </c>
    </row>
    <row r="7" spans="1:8" x14ac:dyDescent="0.25">
      <c r="A7">
        <v>6</v>
      </c>
      <c r="B7">
        <v>0.7</v>
      </c>
      <c r="C7">
        <v>0.8</v>
      </c>
      <c r="D7">
        <v>0.6</v>
      </c>
      <c r="E7" s="14">
        <f t="shared" si="0"/>
        <v>4.0271184552531007</v>
      </c>
      <c r="F7" s="14">
        <f t="shared" si="1"/>
        <v>4.135960814374922</v>
      </c>
      <c r="G7" s="14">
        <f t="shared" si="2"/>
        <v>1.8410959830739128E-2</v>
      </c>
      <c r="H7">
        <f t="shared" si="3"/>
        <v>0.6</v>
      </c>
    </row>
    <row r="8" spans="1:8" x14ac:dyDescent="0.25">
      <c r="A8">
        <v>7</v>
      </c>
      <c r="B8">
        <v>0.7</v>
      </c>
      <c r="C8">
        <v>0.8</v>
      </c>
      <c r="D8">
        <v>0.6</v>
      </c>
      <c r="E8" s="14">
        <f t="shared" si="0"/>
        <v>6.75343386787908</v>
      </c>
      <c r="F8" s="14">
        <f t="shared" si="1"/>
        <v>2.0974444243722039</v>
      </c>
      <c r="G8" s="14">
        <f t="shared" si="2"/>
        <v>6.2335508497476152E-3</v>
      </c>
      <c r="H8">
        <f t="shared" si="3"/>
        <v>0.7</v>
      </c>
    </row>
    <row r="9" spans="1:8" x14ac:dyDescent="0.25">
      <c r="A9">
        <v>8</v>
      </c>
      <c r="B9">
        <v>0.7</v>
      </c>
      <c r="C9">
        <v>0.8</v>
      </c>
      <c r="D9">
        <v>0.6</v>
      </c>
      <c r="E9" s="14">
        <f t="shared" si="0"/>
        <v>11.325435175198921</v>
      </c>
      <c r="F9" s="14">
        <f t="shared" si="1"/>
        <v>1.0636641183929878</v>
      </c>
      <c r="G9" s="14">
        <f t="shared" si="2"/>
        <v>2.1105448359901866E-3</v>
      </c>
      <c r="H9">
        <f t="shared" si="3"/>
        <v>0.8</v>
      </c>
    </row>
    <row r="10" spans="1:8" x14ac:dyDescent="0.25">
      <c r="A10">
        <v>9</v>
      </c>
      <c r="B10">
        <v>0.7</v>
      </c>
      <c r="C10">
        <v>0.8</v>
      </c>
      <c r="D10">
        <v>0.6</v>
      </c>
      <c r="E10" s="14">
        <f t="shared" si="0"/>
        <v>18.992631662196889</v>
      </c>
      <c r="F10" s="14">
        <f t="shared" si="1"/>
        <v>0.53940945638899163</v>
      </c>
      <c r="G10" s="14">
        <f t="shared" si="2"/>
        <v>7.1458461029562219E-4</v>
      </c>
      <c r="H10">
        <f t="shared" si="3"/>
        <v>0.9</v>
      </c>
    </row>
    <row r="11" spans="1:8" x14ac:dyDescent="0.25">
      <c r="A11" t="s">
        <v>258</v>
      </c>
      <c r="B11" t="s">
        <v>143</v>
      </c>
      <c r="C11" t="s">
        <v>144</v>
      </c>
      <c r="D11" t="s">
        <v>259</v>
      </c>
      <c r="E11" s="14" t="s">
        <v>261</v>
      </c>
      <c r="F11" s="14" t="s">
        <v>260</v>
      </c>
      <c r="G11" s="14" t="s">
        <v>262</v>
      </c>
    </row>
    <row r="12" spans="1:8" x14ac:dyDescent="0.25">
      <c r="A12">
        <v>5</v>
      </c>
      <c r="B12">
        <v>0.1</v>
      </c>
      <c r="C12">
        <v>0.8</v>
      </c>
      <c r="D12">
        <v>0.6</v>
      </c>
      <c r="E12" s="14">
        <f>0.5*0.7544*EXP(0.517*A12)*C12*D12</f>
        <v>2.4013980694732537</v>
      </c>
      <c r="F12" s="14">
        <f>243.16 * EXP(-0.679*A12)</f>
        <v>8.1557211524996589</v>
      </c>
      <c r="G12" s="14">
        <f>5.133*EXP(-1.083 *A12)/B12/D12</f>
        <v>0.38064084988088182</v>
      </c>
    </row>
    <row r="13" spans="1:8" x14ac:dyDescent="0.25">
      <c r="A13">
        <v>5</v>
      </c>
      <c r="B13">
        <v>0.2</v>
      </c>
      <c r="C13">
        <v>0.8</v>
      </c>
      <c r="D13">
        <v>0.6</v>
      </c>
      <c r="E13" s="14">
        <f t="shared" ref="E13:E20" si="4">0.5*0.7544*EXP(0.517*A13)*C13*D13</f>
        <v>2.4013980694732537</v>
      </c>
      <c r="F13" s="14">
        <f t="shared" ref="F13:F20" si="5">243.16 * EXP(-0.679*A13)</f>
        <v>8.1557211524996589</v>
      </c>
      <c r="G13" s="14">
        <f t="shared" ref="G13:G20" si="6">5.133*EXP(-1.083 *A13)/B13/D13</f>
        <v>0.19032042494044091</v>
      </c>
    </row>
    <row r="14" spans="1:8" x14ac:dyDescent="0.25">
      <c r="A14">
        <v>5</v>
      </c>
      <c r="B14">
        <v>0.3</v>
      </c>
      <c r="C14">
        <v>0.8</v>
      </c>
      <c r="D14">
        <v>0.6</v>
      </c>
      <c r="E14" s="14">
        <f t="shared" si="4"/>
        <v>2.4013980694732537</v>
      </c>
      <c r="F14" s="14">
        <f t="shared" si="5"/>
        <v>8.1557211524996589</v>
      </c>
      <c r="G14" s="14">
        <f t="shared" si="6"/>
        <v>0.12688028329362727</v>
      </c>
    </row>
    <row r="15" spans="1:8" x14ac:dyDescent="0.25">
      <c r="A15">
        <v>5</v>
      </c>
      <c r="B15">
        <v>0.4</v>
      </c>
      <c r="C15">
        <v>0.8</v>
      </c>
      <c r="D15">
        <v>0.6</v>
      </c>
      <c r="E15" s="14">
        <f t="shared" si="4"/>
        <v>2.4013980694732537</v>
      </c>
      <c r="F15" s="14">
        <f t="shared" si="5"/>
        <v>8.1557211524996589</v>
      </c>
      <c r="G15" s="14">
        <f t="shared" si="6"/>
        <v>9.5160212470220454E-2</v>
      </c>
    </row>
    <row r="16" spans="1:8" x14ac:dyDescent="0.25">
      <c r="A16">
        <v>5</v>
      </c>
      <c r="B16">
        <v>0.5</v>
      </c>
      <c r="C16">
        <v>0.8</v>
      </c>
      <c r="D16">
        <v>0.6</v>
      </c>
      <c r="E16" s="14">
        <f t="shared" si="4"/>
        <v>2.4013980694732537</v>
      </c>
      <c r="F16" s="14">
        <f t="shared" si="5"/>
        <v>8.1557211524996589</v>
      </c>
      <c r="G16" s="14">
        <f t="shared" si="6"/>
        <v>7.6128169976176358E-2</v>
      </c>
    </row>
    <row r="17" spans="1:24" x14ac:dyDescent="0.25">
      <c r="A17">
        <v>5</v>
      </c>
      <c r="B17">
        <v>0.6</v>
      </c>
      <c r="C17">
        <v>0.8</v>
      </c>
      <c r="D17">
        <v>0.6</v>
      </c>
      <c r="E17" s="14">
        <f t="shared" si="4"/>
        <v>2.4013980694732537</v>
      </c>
      <c r="F17" s="14">
        <f t="shared" si="5"/>
        <v>8.1557211524996589</v>
      </c>
      <c r="G17" s="14">
        <f t="shared" si="6"/>
        <v>6.3440141646813636E-2</v>
      </c>
    </row>
    <row r="18" spans="1:24" x14ac:dyDescent="0.25">
      <c r="A18">
        <v>5</v>
      </c>
      <c r="B18">
        <v>0.7</v>
      </c>
      <c r="C18">
        <v>0.8</v>
      </c>
      <c r="D18">
        <v>0.6</v>
      </c>
      <c r="E18" s="14">
        <f t="shared" si="4"/>
        <v>2.4013980694732537</v>
      </c>
      <c r="F18" s="14">
        <f t="shared" si="5"/>
        <v>8.1557211524996589</v>
      </c>
      <c r="G18" s="14">
        <f t="shared" si="6"/>
        <v>5.4377264268697406E-2</v>
      </c>
    </row>
    <row r="19" spans="1:24" x14ac:dyDescent="0.25">
      <c r="A19">
        <v>5</v>
      </c>
      <c r="B19">
        <v>0.8</v>
      </c>
      <c r="C19">
        <v>0.8</v>
      </c>
      <c r="D19">
        <v>0.6</v>
      </c>
      <c r="E19" s="14">
        <f t="shared" si="4"/>
        <v>2.4013980694732537</v>
      </c>
      <c r="F19" s="14">
        <f t="shared" si="5"/>
        <v>8.1557211524996589</v>
      </c>
      <c r="G19" s="14">
        <f t="shared" si="6"/>
        <v>4.7580106235110227E-2</v>
      </c>
    </row>
    <row r="20" spans="1:24" x14ac:dyDescent="0.25">
      <c r="A20">
        <v>5</v>
      </c>
      <c r="B20">
        <v>0.9</v>
      </c>
      <c r="C20">
        <v>0.8</v>
      </c>
      <c r="D20">
        <v>0.6</v>
      </c>
      <c r="E20" s="14">
        <f t="shared" si="4"/>
        <v>2.4013980694732537</v>
      </c>
      <c r="F20" s="14">
        <f t="shared" si="5"/>
        <v>8.1557211524996589</v>
      </c>
      <c r="G20" s="14">
        <f t="shared" si="6"/>
        <v>4.2293427764542417E-2</v>
      </c>
    </row>
    <row r="21" spans="1:24" x14ac:dyDescent="0.25">
      <c r="A21">
        <v>5</v>
      </c>
      <c r="B21">
        <v>1</v>
      </c>
      <c r="C21">
        <v>0.8</v>
      </c>
      <c r="D21">
        <v>0.6</v>
      </c>
      <c r="E21" s="14">
        <f t="shared" ref="E21" si="7">0.5*0.7544*EXP(0.517*A21)*C21*D21</f>
        <v>2.4013980694732537</v>
      </c>
      <c r="F21" s="14">
        <f t="shared" ref="F21" si="8">243.16 * EXP(-0.679*A21)</f>
        <v>8.1557211524996589</v>
      </c>
      <c r="G21" s="14">
        <f t="shared" ref="G21" si="9">5.133*EXP(-1.083 *A21)/B21/D21</f>
        <v>3.8064084988088179E-2</v>
      </c>
    </row>
    <row r="22" spans="1:24" x14ac:dyDescent="0.25">
      <c r="A22" t="s">
        <v>258</v>
      </c>
      <c r="B22" t="s">
        <v>143</v>
      </c>
      <c r="C22" t="s">
        <v>144</v>
      </c>
      <c r="D22" t="s">
        <v>259</v>
      </c>
      <c r="E22" s="14" t="s">
        <v>261</v>
      </c>
      <c r="F22" s="14" t="s">
        <v>260</v>
      </c>
      <c r="G22" s="14" t="s">
        <v>262</v>
      </c>
    </row>
    <row r="23" spans="1:24" x14ac:dyDescent="0.25">
      <c r="A23">
        <v>5</v>
      </c>
      <c r="B23">
        <v>0.7</v>
      </c>
      <c r="C23">
        <v>0.1</v>
      </c>
      <c r="D23">
        <v>0.6</v>
      </c>
      <c r="E23" s="14">
        <f>0.5*0.7544*EXP(0.517*A23)*C23*D23</f>
        <v>0.30017475868415672</v>
      </c>
      <c r="F23" s="14">
        <f>243.16 * EXP(-0.679*A23)</f>
        <v>8.1557211524996589</v>
      </c>
      <c r="G23" s="14">
        <f>5.133*EXP(-1.083 *A23)/B23/D23</f>
        <v>5.4377264268697406E-2</v>
      </c>
    </row>
    <row r="24" spans="1:24" x14ac:dyDescent="0.25">
      <c r="A24">
        <v>5</v>
      </c>
      <c r="B24">
        <v>0.7</v>
      </c>
      <c r="C24">
        <v>0.2</v>
      </c>
      <c r="D24">
        <v>0.6</v>
      </c>
      <c r="E24" s="14">
        <f t="shared" ref="E24:E32" si="10">0.5*0.7544*EXP(0.517*A24)*C24*D24</f>
        <v>0.60034951736831343</v>
      </c>
      <c r="F24" s="14">
        <f t="shared" ref="F24:F32" si="11">243.16 * EXP(-0.679*A24)</f>
        <v>8.1557211524996589</v>
      </c>
      <c r="G24" s="14">
        <f t="shared" ref="G24:G32" si="12">5.133*EXP(-1.083 *A24)/B24/D24</f>
        <v>5.4377264268697406E-2</v>
      </c>
    </row>
    <row r="25" spans="1:24" x14ac:dyDescent="0.25">
      <c r="A25">
        <v>5</v>
      </c>
      <c r="B25">
        <v>0.7</v>
      </c>
      <c r="C25">
        <v>0.3</v>
      </c>
      <c r="D25">
        <v>0.6</v>
      </c>
      <c r="E25" s="14">
        <f t="shared" si="10"/>
        <v>0.90052427605246999</v>
      </c>
      <c r="F25" s="14">
        <f t="shared" si="11"/>
        <v>8.1557211524996589</v>
      </c>
      <c r="G25" s="14">
        <f t="shared" si="12"/>
        <v>5.4377264268697406E-2</v>
      </c>
      <c r="U25" t="s">
        <v>264</v>
      </c>
      <c r="W25" t="s">
        <v>269</v>
      </c>
    </row>
    <row r="26" spans="1:24" x14ac:dyDescent="0.25">
      <c r="A26">
        <v>5</v>
      </c>
      <c r="B26">
        <v>0.7</v>
      </c>
      <c r="C26">
        <v>0.4</v>
      </c>
      <c r="D26">
        <v>0.6</v>
      </c>
      <c r="E26" s="14">
        <f t="shared" si="10"/>
        <v>1.2006990347366269</v>
      </c>
      <c r="F26" s="14">
        <f t="shared" si="11"/>
        <v>8.1557211524996589</v>
      </c>
      <c r="G26" s="14">
        <f t="shared" si="12"/>
        <v>5.4377264268697406E-2</v>
      </c>
      <c r="U26" t="s">
        <v>265</v>
      </c>
      <c r="V26" t="s">
        <v>266</v>
      </c>
      <c r="W26" t="s">
        <v>267</v>
      </c>
      <c r="X26" t="s">
        <v>268</v>
      </c>
    </row>
    <row r="27" spans="1:24" x14ac:dyDescent="0.25">
      <c r="A27">
        <v>5</v>
      </c>
      <c r="B27">
        <v>0.7</v>
      </c>
      <c r="C27">
        <v>0.5</v>
      </c>
      <c r="D27">
        <v>0.6</v>
      </c>
      <c r="E27" s="14">
        <f t="shared" si="10"/>
        <v>1.5008737934207834</v>
      </c>
      <c r="F27" s="14">
        <f t="shared" si="11"/>
        <v>8.1557211524996589</v>
      </c>
      <c r="G27" s="14">
        <f t="shared" si="12"/>
        <v>5.4377264268697406E-2</v>
      </c>
      <c r="U27">
        <v>0.1</v>
      </c>
      <c r="V27">
        <v>3</v>
      </c>
      <c r="W27">
        <v>5</v>
      </c>
      <c r="X27">
        <v>0.01</v>
      </c>
    </row>
    <row r="28" spans="1:24" x14ac:dyDescent="0.25">
      <c r="A28">
        <v>5</v>
      </c>
      <c r="B28">
        <v>0.7</v>
      </c>
      <c r="C28">
        <v>0.6</v>
      </c>
      <c r="D28">
        <v>0.6</v>
      </c>
      <c r="E28" s="14">
        <f t="shared" si="10"/>
        <v>1.80104855210494</v>
      </c>
      <c r="F28" s="14">
        <f t="shared" si="11"/>
        <v>8.1557211524996589</v>
      </c>
      <c r="G28" s="14">
        <f t="shared" si="12"/>
        <v>5.4377264268697406E-2</v>
      </c>
      <c r="U28">
        <v>0.2</v>
      </c>
      <c r="V28">
        <v>3</v>
      </c>
      <c r="W28">
        <v>5</v>
      </c>
      <c r="X28">
        <v>0.01</v>
      </c>
    </row>
    <row r="29" spans="1:24" x14ac:dyDescent="0.25">
      <c r="A29">
        <v>5</v>
      </c>
      <c r="B29">
        <v>0.7</v>
      </c>
      <c r="C29">
        <v>0.7</v>
      </c>
      <c r="D29">
        <v>0.6</v>
      </c>
      <c r="E29" s="14">
        <f t="shared" si="10"/>
        <v>2.1012233107890967</v>
      </c>
      <c r="F29" s="14">
        <f t="shared" si="11"/>
        <v>8.1557211524996589</v>
      </c>
      <c r="G29" s="14">
        <f t="shared" si="12"/>
        <v>5.4377264268697406E-2</v>
      </c>
      <c r="U29">
        <v>0.3</v>
      </c>
      <c r="V29">
        <v>3</v>
      </c>
      <c r="W29">
        <v>5</v>
      </c>
      <c r="X29">
        <v>0.01</v>
      </c>
    </row>
    <row r="30" spans="1:24" x14ac:dyDescent="0.25">
      <c r="A30">
        <v>5</v>
      </c>
      <c r="B30">
        <v>0.7</v>
      </c>
      <c r="C30">
        <v>0.8</v>
      </c>
      <c r="D30">
        <v>0.6</v>
      </c>
      <c r="E30" s="14">
        <f t="shared" si="10"/>
        <v>2.4013980694732537</v>
      </c>
      <c r="F30" s="14">
        <f t="shared" si="11"/>
        <v>8.1557211524996589</v>
      </c>
      <c r="G30" s="14">
        <f t="shared" si="12"/>
        <v>5.4377264268697406E-2</v>
      </c>
      <c r="U30">
        <v>0.4</v>
      </c>
      <c r="V30">
        <v>3</v>
      </c>
      <c r="W30">
        <v>5</v>
      </c>
      <c r="X30">
        <v>0.01</v>
      </c>
    </row>
    <row r="31" spans="1:24" x14ac:dyDescent="0.25">
      <c r="A31">
        <v>5</v>
      </c>
      <c r="B31">
        <v>0.7</v>
      </c>
      <c r="C31">
        <v>0.9</v>
      </c>
      <c r="D31">
        <v>0.6</v>
      </c>
      <c r="E31" s="14">
        <f t="shared" si="10"/>
        <v>2.7015728281574103</v>
      </c>
      <c r="F31" s="14">
        <f t="shared" si="11"/>
        <v>8.1557211524996589</v>
      </c>
      <c r="G31" s="14">
        <f t="shared" si="12"/>
        <v>5.4377264268697406E-2</v>
      </c>
      <c r="U31">
        <v>0.5</v>
      </c>
      <c r="V31">
        <v>3</v>
      </c>
      <c r="W31">
        <v>5</v>
      </c>
      <c r="X31">
        <v>0.01</v>
      </c>
    </row>
    <row r="32" spans="1:24" x14ac:dyDescent="0.25">
      <c r="A32">
        <v>5</v>
      </c>
      <c r="B32">
        <v>0.7</v>
      </c>
      <c r="C32">
        <v>1</v>
      </c>
      <c r="D32">
        <v>0.6</v>
      </c>
      <c r="E32" s="14">
        <f t="shared" si="10"/>
        <v>3.0017475868415668</v>
      </c>
      <c r="F32" s="14">
        <f t="shared" si="11"/>
        <v>8.1557211524996589</v>
      </c>
      <c r="G32" s="14">
        <f t="shared" si="12"/>
        <v>5.4377264268697406E-2</v>
      </c>
      <c r="U32">
        <v>0.6</v>
      </c>
      <c r="V32">
        <v>3</v>
      </c>
      <c r="W32">
        <v>5</v>
      </c>
      <c r="X32">
        <v>0.01</v>
      </c>
    </row>
    <row r="33" spans="1:24" x14ac:dyDescent="0.25">
      <c r="A33" t="s">
        <v>258</v>
      </c>
      <c r="B33" t="s">
        <v>143</v>
      </c>
      <c r="C33" t="s">
        <v>144</v>
      </c>
      <c r="D33" t="s">
        <v>259</v>
      </c>
      <c r="E33" s="14" t="s">
        <v>261</v>
      </c>
      <c r="F33" s="14" t="s">
        <v>260</v>
      </c>
      <c r="G33" s="14" t="s">
        <v>262</v>
      </c>
      <c r="U33">
        <v>0.7</v>
      </c>
      <c r="V33">
        <v>3</v>
      </c>
      <c r="W33">
        <v>5</v>
      </c>
      <c r="X33">
        <v>0.01</v>
      </c>
    </row>
    <row r="34" spans="1:24" x14ac:dyDescent="0.25">
      <c r="A34">
        <v>5</v>
      </c>
      <c r="B34">
        <v>0.7</v>
      </c>
      <c r="C34">
        <v>0.8</v>
      </c>
      <c r="D34">
        <v>0.1</v>
      </c>
      <c r="E34" s="14">
        <f>0.5*0.7544*EXP(0.517*A34)*C34*D34</f>
        <v>0.40023301157887564</v>
      </c>
      <c r="F34" s="14">
        <f>243.16 * EXP(-0.679*A34)</f>
        <v>8.1557211524996589</v>
      </c>
      <c r="G34" s="14">
        <f>5.133*EXP(-1.083 *A34)/B34/D34</f>
        <v>0.32626358561218438</v>
      </c>
      <c r="U34">
        <v>0.8</v>
      </c>
      <c r="V34">
        <v>3</v>
      </c>
      <c r="W34">
        <v>5</v>
      </c>
      <c r="X34">
        <v>0.01</v>
      </c>
    </row>
    <row r="35" spans="1:24" x14ac:dyDescent="0.25">
      <c r="A35">
        <v>5</v>
      </c>
      <c r="B35">
        <v>0.7</v>
      </c>
      <c r="C35">
        <v>0.8</v>
      </c>
      <c r="D35">
        <v>0.2</v>
      </c>
      <c r="E35" s="14">
        <f t="shared" ref="E35:E43" si="13">0.5*0.7544*EXP(0.517*A35)*C35*D35</f>
        <v>0.80046602315775128</v>
      </c>
      <c r="F35" s="14">
        <f t="shared" ref="F35:F43" si="14">243.16 * EXP(-0.679*A35)</f>
        <v>8.1557211524996589</v>
      </c>
      <c r="G35" s="14">
        <f t="shared" ref="G35:G43" si="15">5.133*EXP(-1.083 *A35)/B35/D35</f>
        <v>0.16313179280609219</v>
      </c>
      <c r="U35">
        <v>0.9</v>
      </c>
      <c r="V35">
        <v>3</v>
      </c>
      <c r="W35">
        <v>5</v>
      </c>
      <c r="X35">
        <v>0.01</v>
      </c>
    </row>
    <row r="36" spans="1:24" x14ac:dyDescent="0.25">
      <c r="A36">
        <v>5</v>
      </c>
      <c r="B36">
        <v>0.7</v>
      </c>
      <c r="C36">
        <v>0.8</v>
      </c>
      <c r="D36">
        <v>0.3</v>
      </c>
      <c r="E36" s="14">
        <f t="shared" si="13"/>
        <v>1.2006990347366269</v>
      </c>
      <c r="F36" s="14">
        <f t="shared" si="14"/>
        <v>8.1557211524996589</v>
      </c>
      <c r="G36" s="14">
        <f t="shared" si="15"/>
        <v>0.10875452853739481</v>
      </c>
      <c r="U36">
        <v>1</v>
      </c>
      <c r="V36">
        <v>3</v>
      </c>
      <c r="W36">
        <v>5</v>
      </c>
      <c r="X36">
        <v>0.01</v>
      </c>
    </row>
    <row r="37" spans="1:24" x14ac:dyDescent="0.25">
      <c r="A37">
        <v>5</v>
      </c>
      <c r="B37">
        <v>0.7</v>
      </c>
      <c r="C37">
        <v>0.8</v>
      </c>
      <c r="D37">
        <v>0.4</v>
      </c>
      <c r="E37" s="14">
        <f t="shared" si="13"/>
        <v>1.6009320463155026</v>
      </c>
      <c r="F37" s="14">
        <f t="shared" si="14"/>
        <v>8.1557211524996589</v>
      </c>
      <c r="G37" s="14">
        <f t="shared" si="15"/>
        <v>8.1565896403046095E-2</v>
      </c>
    </row>
    <row r="38" spans="1:24" x14ac:dyDescent="0.25">
      <c r="A38">
        <v>5</v>
      </c>
      <c r="B38">
        <v>0.7</v>
      </c>
      <c r="C38">
        <v>0.8</v>
      </c>
      <c r="D38">
        <v>0.5</v>
      </c>
      <c r="E38" s="14">
        <f t="shared" si="13"/>
        <v>2.001165057894378</v>
      </c>
      <c r="F38" s="14">
        <f t="shared" si="14"/>
        <v>8.1557211524996589</v>
      </c>
      <c r="G38" s="14">
        <f t="shared" si="15"/>
        <v>6.5252717122436882E-2</v>
      </c>
    </row>
    <row r="39" spans="1:24" x14ac:dyDescent="0.25">
      <c r="A39">
        <v>5</v>
      </c>
      <c r="B39">
        <v>0.7</v>
      </c>
      <c r="C39">
        <v>0.8</v>
      </c>
      <c r="D39">
        <v>0.6</v>
      </c>
      <c r="E39" s="14">
        <f t="shared" si="13"/>
        <v>2.4013980694732537</v>
      </c>
      <c r="F39" s="14">
        <f t="shared" si="14"/>
        <v>8.1557211524996589</v>
      </c>
      <c r="G39" s="14">
        <f t="shared" si="15"/>
        <v>5.4377264268697406E-2</v>
      </c>
    </row>
    <row r="40" spans="1:24" x14ac:dyDescent="0.25">
      <c r="A40">
        <v>5</v>
      </c>
      <c r="B40">
        <v>0.7</v>
      </c>
      <c r="C40">
        <v>0.8</v>
      </c>
      <c r="D40">
        <v>0.7</v>
      </c>
      <c r="E40" s="14">
        <f t="shared" si="13"/>
        <v>2.801631081052129</v>
      </c>
      <c r="F40" s="14">
        <f t="shared" si="14"/>
        <v>8.1557211524996589</v>
      </c>
      <c r="G40" s="14">
        <f t="shared" si="15"/>
        <v>4.6609083658883492E-2</v>
      </c>
    </row>
    <row r="41" spans="1:24" x14ac:dyDescent="0.25">
      <c r="A41">
        <v>5</v>
      </c>
      <c r="B41">
        <v>0.7</v>
      </c>
      <c r="C41">
        <v>0.8</v>
      </c>
      <c r="D41">
        <v>0.8</v>
      </c>
      <c r="E41" s="14">
        <f t="shared" si="13"/>
        <v>3.2018640926310051</v>
      </c>
      <c r="F41" s="14">
        <f t="shared" si="14"/>
        <v>8.1557211524996589</v>
      </c>
      <c r="G41" s="14">
        <f t="shared" si="15"/>
        <v>4.0782948201523048E-2</v>
      </c>
    </row>
    <row r="42" spans="1:24" x14ac:dyDescent="0.25">
      <c r="A42">
        <v>5</v>
      </c>
      <c r="B42">
        <v>0.7</v>
      </c>
      <c r="C42">
        <v>0.8</v>
      </c>
      <c r="D42">
        <v>0.9</v>
      </c>
      <c r="E42" s="14">
        <f t="shared" si="13"/>
        <v>3.6020971042098804</v>
      </c>
      <c r="F42" s="14">
        <f t="shared" si="14"/>
        <v>8.1557211524996589</v>
      </c>
      <c r="G42" s="14">
        <f t="shared" si="15"/>
        <v>3.6251509512464933E-2</v>
      </c>
    </row>
    <row r="43" spans="1:24" x14ac:dyDescent="0.25">
      <c r="A43">
        <v>5</v>
      </c>
      <c r="B43">
        <v>0.7</v>
      </c>
      <c r="C43">
        <v>0.8</v>
      </c>
      <c r="D43">
        <v>1</v>
      </c>
      <c r="E43" s="14">
        <f t="shared" si="13"/>
        <v>4.0023301157887561</v>
      </c>
      <c r="F43" s="14">
        <f t="shared" si="14"/>
        <v>8.1557211524996589</v>
      </c>
      <c r="G43" s="14">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B303-4944-4AD2-9017-3CF64895E3F6}">
  <dimension ref="A1:C53"/>
  <sheetViews>
    <sheetView workbookViewId="0">
      <selection activeCell="C12" sqref="C12"/>
    </sheetView>
  </sheetViews>
  <sheetFormatPr defaultRowHeight="15" x14ac:dyDescent="0.25"/>
  <cols>
    <col min="1" max="1" width="21.140625" customWidth="1"/>
    <col min="2" max="2" width="18.28515625" bestFit="1" customWidth="1"/>
  </cols>
  <sheetData>
    <row r="1" spans="1:3" x14ac:dyDescent="0.25">
      <c r="A1" s="2" t="s">
        <v>270</v>
      </c>
    </row>
    <row r="2" spans="1:3" x14ac:dyDescent="0.25">
      <c r="A2" t="s">
        <v>272</v>
      </c>
    </row>
    <row r="3" spans="1:3" x14ac:dyDescent="0.25">
      <c r="A3" t="s">
        <v>141</v>
      </c>
      <c r="B3">
        <v>8</v>
      </c>
      <c r="C3" t="s">
        <v>142</v>
      </c>
    </row>
    <row r="4" spans="1:3" x14ac:dyDescent="0.25">
      <c r="A4" t="s">
        <v>143</v>
      </c>
      <c r="B4" s="8">
        <v>0.7</v>
      </c>
      <c r="C4" t="s">
        <v>127</v>
      </c>
    </row>
    <row r="5" spans="1:3" x14ac:dyDescent="0.25">
      <c r="A5" t="s">
        <v>144</v>
      </c>
      <c r="B5" s="8">
        <v>0.8</v>
      </c>
      <c r="C5" t="s">
        <v>127</v>
      </c>
    </row>
    <row r="6" spans="1:3" x14ac:dyDescent="0.25">
      <c r="A6" t="s">
        <v>145</v>
      </c>
      <c r="B6" s="8">
        <v>0.6</v>
      </c>
      <c r="C6" t="s">
        <v>127</v>
      </c>
    </row>
    <row r="7" spans="1:3" x14ac:dyDescent="0.25">
      <c r="B7" s="8"/>
    </row>
    <row r="8" spans="1:3" x14ac:dyDescent="0.25">
      <c r="A8" t="s">
        <v>141</v>
      </c>
      <c r="B8" t="s">
        <v>271</v>
      </c>
      <c r="C8" t="s">
        <v>275</v>
      </c>
    </row>
    <row r="9" spans="1:3" x14ac:dyDescent="0.25">
      <c r="A9">
        <v>1</v>
      </c>
      <c r="B9" s="17">
        <v>-30660379.26628283</v>
      </c>
      <c r="C9">
        <f>A9/10</f>
        <v>0.1</v>
      </c>
    </row>
    <row r="10" spans="1:3" x14ac:dyDescent="0.25">
      <c r="A10">
        <v>2</v>
      </c>
      <c r="B10" s="17">
        <v>-3608424.0743925855</v>
      </c>
      <c r="C10">
        <f t="shared" ref="C10:C17" si="0">A10/10</f>
        <v>0.2</v>
      </c>
    </row>
    <row r="11" spans="1:3" x14ac:dyDescent="0.25">
      <c r="A11">
        <v>3</v>
      </c>
      <c r="B11" s="17">
        <v>-297607.68853009638</v>
      </c>
      <c r="C11">
        <f t="shared" si="0"/>
        <v>0.3</v>
      </c>
    </row>
    <row r="12" spans="1:3" x14ac:dyDescent="0.25">
      <c r="A12">
        <v>4</v>
      </c>
      <c r="B12" s="17">
        <v>-50137.726831554013</v>
      </c>
      <c r="C12">
        <f t="shared" si="0"/>
        <v>0.4</v>
      </c>
    </row>
    <row r="13" spans="1:3" x14ac:dyDescent="0.25">
      <c r="A13">
        <v>5</v>
      </c>
      <c r="B13" s="17">
        <v>-7646.8577474220256</v>
      </c>
      <c r="C13">
        <f t="shared" si="0"/>
        <v>0.5</v>
      </c>
    </row>
    <row r="14" spans="1:3" x14ac:dyDescent="0.25">
      <c r="A14">
        <v>6</v>
      </c>
      <c r="B14" s="17">
        <v>-351.1280227607607</v>
      </c>
      <c r="C14">
        <f t="shared" si="0"/>
        <v>0.6</v>
      </c>
    </row>
    <row r="15" spans="1:3" x14ac:dyDescent="0.25">
      <c r="A15">
        <v>7</v>
      </c>
      <c r="B15" s="17">
        <v>901.55692726733912</v>
      </c>
      <c r="C15">
        <f t="shared" si="0"/>
        <v>0.7</v>
      </c>
    </row>
    <row r="16" spans="1:3" x14ac:dyDescent="0.25">
      <c r="A16">
        <v>8</v>
      </c>
      <c r="B16" s="17">
        <v>1116.6443336336306</v>
      </c>
      <c r="C16">
        <f t="shared" si="0"/>
        <v>0.8</v>
      </c>
    </row>
    <row r="17" spans="1:3" x14ac:dyDescent="0.25">
      <c r="A17">
        <v>9</v>
      </c>
      <c r="B17" s="17">
        <v>1153.5750817649459</v>
      </c>
      <c r="C17">
        <f t="shared" si="0"/>
        <v>0.9</v>
      </c>
    </row>
    <row r="19" spans="1:3" x14ac:dyDescent="0.25">
      <c r="A19" t="s">
        <v>72</v>
      </c>
    </row>
    <row r="20" spans="1:3" x14ac:dyDescent="0.25">
      <c r="A20">
        <v>0.1</v>
      </c>
      <c r="B20" s="17">
        <v>849.1267821900467</v>
      </c>
    </row>
    <row r="21" spans="1:3" x14ac:dyDescent="0.25">
      <c r="A21">
        <v>0.2</v>
      </c>
      <c r="B21" s="17">
        <v>1005.1786871988046</v>
      </c>
    </row>
    <row r="22" spans="1:3" x14ac:dyDescent="0.25">
      <c r="A22">
        <v>0.3</v>
      </c>
      <c r="B22" s="17">
        <v>1057.1959888683969</v>
      </c>
    </row>
    <row r="23" spans="1:3" x14ac:dyDescent="0.25">
      <c r="A23">
        <v>0.4</v>
      </c>
      <c r="B23" s="17">
        <v>1083.2046397031861</v>
      </c>
    </row>
    <row r="24" spans="1:3" x14ac:dyDescent="0.25">
      <c r="A24">
        <v>0.5</v>
      </c>
      <c r="B24" s="17">
        <v>1098.8098302040587</v>
      </c>
    </row>
    <row r="25" spans="1:3" x14ac:dyDescent="0.25">
      <c r="A25">
        <v>0.6</v>
      </c>
      <c r="B25" s="17">
        <v>1109.2132905379747</v>
      </c>
    </row>
    <row r="26" spans="1:3" x14ac:dyDescent="0.25">
      <c r="A26">
        <v>0.7</v>
      </c>
      <c r="B26" s="17">
        <v>1116.6443336336306</v>
      </c>
    </row>
    <row r="27" spans="1:3" x14ac:dyDescent="0.25">
      <c r="A27">
        <v>0.8</v>
      </c>
      <c r="B27" s="17">
        <v>1122.2176159553687</v>
      </c>
    </row>
    <row r="28" spans="1:3" x14ac:dyDescent="0.25">
      <c r="A28">
        <v>0.9</v>
      </c>
      <c r="B28" s="17">
        <v>1126.5523910945069</v>
      </c>
    </row>
    <row r="29" spans="1:3" x14ac:dyDescent="0.25">
      <c r="A29">
        <v>1</v>
      </c>
      <c r="B29" s="17">
        <v>1130.0202112058078</v>
      </c>
    </row>
    <row r="31" spans="1:3" x14ac:dyDescent="0.25">
      <c r="A31" t="s">
        <v>144</v>
      </c>
      <c r="B31" t="s">
        <v>273</v>
      </c>
    </row>
    <row r="32" spans="1:3" x14ac:dyDescent="0.25">
      <c r="A32">
        <v>0.1</v>
      </c>
      <c r="B32" s="17">
        <v>-130002.65604644013</v>
      </c>
      <c r="C32" t="s">
        <v>274</v>
      </c>
    </row>
    <row r="33" spans="1:2" x14ac:dyDescent="0.25">
      <c r="A33">
        <v>0.2</v>
      </c>
      <c r="B33" s="17">
        <v>319.67523010741735</v>
      </c>
    </row>
    <row r="34" spans="1:2" x14ac:dyDescent="0.25">
      <c r="A34">
        <v>0.3</v>
      </c>
      <c r="B34" s="17">
        <v>319.67523010741735</v>
      </c>
    </row>
    <row r="35" spans="1:2" x14ac:dyDescent="0.25">
      <c r="A35">
        <v>0.4</v>
      </c>
      <c r="B35" s="17">
        <v>319.67523010741735</v>
      </c>
    </row>
    <row r="36" spans="1:2" x14ac:dyDescent="0.25">
      <c r="A36">
        <v>0.5</v>
      </c>
      <c r="B36" s="17">
        <v>319.67523010741735</v>
      </c>
    </row>
    <row r="37" spans="1:2" x14ac:dyDescent="0.25">
      <c r="A37">
        <v>0.6</v>
      </c>
      <c r="B37" s="17">
        <v>319.67523010741735</v>
      </c>
    </row>
    <row r="38" spans="1:2" x14ac:dyDescent="0.25">
      <c r="A38">
        <v>0.7</v>
      </c>
      <c r="B38" s="17">
        <v>319.67523010741735</v>
      </c>
    </row>
    <row r="39" spans="1:2" x14ac:dyDescent="0.25">
      <c r="A39">
        <v>0.8</v>
      </c>
      <c r="B39" s="17">
        <v>319.67523010741735</v>
      </c>
    </row>
    <row r="40" spans="1:2" x14ac:dyDescent="0.25">
      <c r="A40">
        <v>0.9</v>
      </c>
      <c r="B40" s="17">
        <v>319.67523010741735</v>
      </c>
    </row>
    <row r="41" spans="1:2" x14ac:dyDescent="0.25">
      <c r="A41">
        <v>1</v>
      </c>
      <c r="B41" s="17">
        <v>319.67523010741735</v>
      </c>
    </row>
    <row r="43" spans="1:2" x14ac:dyDescent="0.25">
      <c r="A43" t="s">
        <v>145</v>
      </c>
    </row>
    <row r="44" spans="1:2" x14ac:dyDescent="0.25">
      <c r="A44">
        <v>0.1</v>
      </c>
      <c r="B44" s="17">
        <v>893.71304076397655</v>
      </c>
    </row>
    <row r="45" spans="1:2" x14ac:dyDescent="0.25">
      <c r="A45">
        <v>0.2</v>
      </c>
      <c r="B45" s="17">
        <v>1027.471816485772</v>
      </c>
    </row>
    <row r="46" spans="1:2" x14ac:dyDescent="0.25">
      <c r="A46">
        <v>0.3</v>
      </c>
      <c r="B46" s="17">
        <v>1072.0580750597019</v>
      </c>
    </row>
    <row r="47" spans="1:2" x14ac:dyDescent="0.25">
      <c r="A47">
        <v>0.4</v>
      </c>
      <c r="B47" s="17">
        <v>1094.351204346664</v>
      </c>
    </row>
    <row r="48" spans="1:2" x14ac:dyDescent="0.25">
      <c r="A48">
        <v>0.5</v>
      </c>
      <c r="B48" s="17">
        <v>1107.7270819188439</v>
      </c>
    </row>
    <row r="49" spans="1:2" x14ac:dyDescent="0.25">
      <c r="A49">
        <v>0.6</v>
      </c>
      <c r="B49" s="17">
        <v>1116.6443336336306</v>
      </c>
    </row>
    <row r="50" spans="1:2" x14ac:dyDescent="0.25">
      <c r="A50">
        <v>0.7</v>
      </c>
      <c r="B50" s="17">
        <v>1123.0137991441984</v>
      </c>
    </row>
    <row r="51" spans="1:2" x14ac:dyDescent="0.25">
      <c r="A51">
        <v>0.8</v>
      </c>
      <c r="B51" s="17">
        <v>1127.7908982771135</v>
      </c>
    </row>
    <row r="52" spans="1:2" x14ac:dyDescent="0.25">
      <c r="A52">
        <v>0.9</v>
      </c>
      <c r="B52" s="17">
        <v>1131.5064198249374</v>
      </c>
    </row>
    <row r="53" spans="1:2" x14ac:dyDescent="0.25">
      <c r="A53">
        <v>1</v>
      </c>
      <c r="B53" s="17">
        <v>1134.4788370632041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B30-5546-4786-948F-2BC73EA35898}">
  <dimension ref="A1:C64"/>
  <sheetViews>
    <sheetView topLeftCell="A39" zoomScaleNormal="100" workbookViewId="0">
      <selection activeCell="C73" sqref="C73"/>
    </sheetView>
  </sheetViews>
  <sheetFormatPr defaultRowHeight="15" x14ac:dyDescent="0.25"/>
  <cols>
    <col min="1" max="1" width="15.5703125" bestFit="1" customWidth="1"/>
    <col min="2" max="2" width="14.5703125" bestFit="1" customWidth="1"/>
    <col min="3" max="3" width="16.85546875" customWidth="1"/>
  </cols>
  <sheetData>
    <row r="1" spans="1:1" x14ac:dyDescent="0.25">
      <c r="A1" s="2" t="s">
        <v>276</v>
      </c>
    </row>
    <row r="2" spans="1:1" x14ac:dyDescent="0.25">
      <c r="A2" s="2" t="s">
        <v>277</v>
      </c>
    </row>
    <row r="3" spans="1:1" x14ac:dyDescent="0.25">
      <c r="A3" s="2" t="s">
        <v>278</v>
      </c>
    </row>
    <row r="56" spans="1:3" x14ac:dyDescent="0.25">
      <c r="B56" t="s">
        <v>282</v>
      </c>
      <c r="C56">
        <v>115000</v>
      </c>
    </row>
    <row r="57" spans="1:3" x14ac:dyDescent="0.25">
      <c r="A57" t="s">
        <v>279</v>
      </c>
      <c r="B57" t="s">
        <v>281</v>
      </c>
      <c r="C57" t="s">
        <v>280</v>
      </c>
    </row>
    <row r="58" spans="1:3" x14ac:dyDescent="0.25">
      <c r="A58" s="17">
        <v>57500</v>
      </c>
      <c r="B58" s="8">
        <f>(A58-$C$56)/$C$56</f>
        <v>-0.5</v>
      </c>
      <c r="C58" s="17">
        <v>54410.776739144007</v>
      </c>
    </row>
    <row r="59" spans="1:3" x14ac:dyDescent="0.25">
      <c r="A59" s="17">
        <f>A58+20000</f>
        <v>77500</v>
      </c>
      <c r="B59" s="8">
        <f t="shared" ref="B59:B64" si="0">(A59-$C$56)/$C$56</f>
        <v>-0.32608695652173914</v>
      </c>
      <c r="C59" s="17">
        <v>35363.157691524953</v>
      </c>
    </row>
    <row r="60" spans="1:3" x14ac:dyDescent="0.25">
      <c r="A60" s="17">
        <f t="shared" ref="A60:A64" si="1">A59+20000</f>
        <v>97500</v>
      </c>
      <c r="B60" s="8">
        <f t="shared" si="0"/>
        <v>-0.15217391304347827</v>
      </c>
      <c r="C60" s="17">
        <v>16315.538643905906</v>
      </c>
    </row>
    <row r="61" spans="1:3" x14ac:dyDescent="0.25">
      <c r="A61" s="17">
        <f t="shared" si="1"/>
        <v>117500</v>
      </c>
      <c r="B61" s="8">
        <f t="shared" si="0"/>
        <v>2.1739130434782608E-2</v>
      </c>
      <c r="C61" s="17">
        <v>-2732.0804037131415</v>
      </c>
    </row>
    <row r="62" spans="1:3" x14ac:dyDescent="0.25">
      <c r="A62" s="17">
        <f t="shared" si="1"/>
        <v>137500</v>
      </c>
      <c r="B62" s="8">
        <f t="shared" si="0"/>
        <v>0.19565217391304349</v>
      </c>
      <c r="C62" s="17">
        <v>-21779.699451332181</v>
      </c>
    </row>
    <row r="63" spans="1:3" x14ac:dyDescent="0.25">
      <c r="A63" s="17">
        <f t="shared" si="1"/>
        <v>157500</v>
      </c>
      <c r="B63" s="8">
        <f t="shared" si="0"/>
        <v>0.36956521739130432</v>
      </c>
      <c r="C63" s="17">
        <v>-40827.318498951237</v>
      </c>
    </row>
    <row r="64" spans="1:3" x14ac:dyDescent="0.25">
      <c r="A64" s="17">
        <f t="shared" si="1"/>
        <v>177500</v>
      </c>
      <c r="B64" s="8">
        <f t="shared" si="0"/>
        <v>0.54347826086956519</v>
      </c>
      <c r="C64" s="17">
        <v>-59874.937546570283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License</vt:lpstr>
      <vt:lpstr>Revisions</vt:lpstr>
      <vt:lpstr>Inp_Baseline</vt:lpstr>
      <vt:lpstr>Inp_CheapAGV</vt:lpstr>
      <vt:lpstr>Inp_SlowVehicle</vt:lpstr>
      <vt:lpstr>Inp_Custom</vt:lpstr>
      <vt:lpstr>ModelInput</vt:lpstr>
      <vt:lpstr>ModelOutput</vt:lpstr>
      <vt:lpstr>ModelInputSensitivity</vt:lpstr>
      <vt:lpstr>ModelOutputSensitivity</vt:lpstr>
      <vt:lpstr>AssumptionSensitivity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2024-04-25T06:20:11Z</dcterms:modified>
</cp:coreProperties>
</file>