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ew\Documents\GitHub\AGVeval\Excel\"/>
    </mc:Choice>
  </mc:AlternateContent>
  <xr:revisionPtr revIDLastSave="0" documentId="13_ncr:1_{3E57D3C8-BB62-481D-9CC9-5D0706FE5187}" xr6:coauthVersionLast="47" xr6:coauthVersionMax="47" xr10:uidLastSave="{00000000-0000-0000-0000-000000000000}"/>
  <bookViews>
    <workbookView xWindow="28680" yWindow="-120" windowWidth="29040" windowHeight="17640" activeTab="8" xr2:uid="{0EF2771D-CFB8-4DE0-9494-6A24E6C64F08}"/>
  </bookViews>
  <sheets>
    <sheet name="Overview" sheetId="1" r:id="rId1"/>
    <sheet name="License" sheetId="3" r:id="rId2"/>
    <sheet name="Revisions" sheetId="2" r:id="rId3"/>
    <sheet name="Inp_Baseline" sheetId="4" r:id="rId4"/>
    <sheet name="Inp_CheapAGV" sheetId="10" r:id="rId5"/>
    <sheet name="Inp_SlowVehicle" sheetId="11" r:id="rId6"/>
    <sheet name="Inp_Custom" sheetId="12" r:id="rId7"/>
    <sheet name="ModelInput" sheetId="5" r:id="rId8"/>
    <sheet name="ModelOutput" sheetId="6" r:id="rId9"/>
    <sheet name="ModelInputSensitivity" sheetId="7" r:id="rId10"/>
    <sheet name="ModelOutputSensitivity" sheetId="14" r:id="rId11"/>
    <sheet name="AssumptionSensitivity" sheetId="15" r:id="rId12"/>
    <sheet name="TechMaturity" sheetId="8" r:id="rId13"/>
    <sheet name="MissionModel" sheetId="9" r:id="rId1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2" i="12" l="1"/>
  <c r="B20" i="5" a="1"/>
  <c r="B20" i="5"/>
  <c r="B30" i="5" a="1"/>
  <c r="B30" i="5"/>
  <c r="B23" i="5" a="1"/>
  <c r="B23" i="5"/>
  <c r="B24" i="5" a="1"/>
  <c r="B24" i="5"/>
  <c r="B33" i="5" a="1"/>
  <c r="B33" i="5"/>
  <c r="B8" i="5" a="1"/>
  <c r="B8" i="5"/>
  <c r="B41" i="5" a="1"/>
  <c r="B41" i="5"/>
  <c r="B59" i="15" l="1"/>
  <c r="B60" i="15"/>
  <c r="B61" i="15"/>
  <c r="B62" i="15"/>
  <c r="B63" i="15"/>
  <c r="B64" i="15"/>
  <c r="B58" i="15"/>
  <c r="A59" i="15"/>
  <c r="A60" i="15" s="1"/>
  <c r="A61" i="15" s="1"/>
  <c r="A62" i="15" s="1"/>
  <c r="A63" i="15" s="1"/>
  <c r="A64" i="15" s="1"/>
  <c r="C10" i="14" l="1"/>
  <c r="C11" i="14"/>
  <c r="C12" i="14"/>
  <c r="C13" i="14"/>
  <c r="C14" i="14"/>
  <c r="C15" i="14"/>
  <c r="C16" i="14"/>
  <c r="C17" i="14"/>
  <c r="C9" i="14"/>
  <c r="B37" i="12" l="1"/>
  <c r="B36" i="12"/>
  <c r="B34" i="12"/>
  <c r="E2" i="7"/>
  <c r="H3" i="7"/>
  <c r="H4" i="7"/>
  <c r="H5" i="7"/>
  <c r="H6" i="7"/>
  <c r="H7" i="7"/>
  <c r="H8" i="7"/>
  <c r="H9" i="7"/>
  <c r="H10" i="7"/>
  <c r="H2" i="7"/>
  <c r="G43" i="7"/>
  <c r="F43" i="7"/>
  <c r="E43" i="7"/>
  <c r="G42" i="7"/>
  <c r="F42" i="7"/>
  <c r="E42" i="7"/>
  <c r="G41" i="7"/>
  <c r="F41" i="7"/>
  <c r="E41" i="7"/>
  <c r="G40" i="7"/>
  <c r="F40" i="7"/>
  <c r="E40" i="7"/>
  <c r="G39" i="7"/>
  <c r="F39" i="7"/>
  <c r="E39" i="7"/>
  <c r="G38" i="7"/>
  <c r="F38" i="7"/>
  <c r="E38" i="7"/>
  <c r="G37" i="7"/>
  <c r="F37" i="7"/>
  <c r="E37" i="7"/>
  <c r="G36" i="7"/>
  <c r="F36" i="7"/>
  <c r="E36" i="7"/>
  <c r="G35" i="7"/>
  <c r="F35" i="7"/>
  <c r="E35" i="7"/>
  <c r="G34" i="7"/>
  <c r="F34" i="7"/>
  <c r="E34" i="7"/>
  <c r="G32" i="7"/>
  <c r="F32" i="7"/>
  <c r="E32" i="7"/>
  <c r="G31" i="7"/>
  <c r="F31" i="7"/>
  <c r="E31" i="7"/>
  <c r="G30" i="7"/>
  <c r="F30" i="7"/>
  <c r="E30" i="7"/>
  <c r="G29" i="7"/>
  <c r="F29" i="7"/>
  <c r="E29" i="7"/>
  <c r="G28" i="7"/>
  <c r="F28" i="7"/>
  <c r="E28" i="7"/>
  <c r="G27" i="7"/>
  <c r="F27" i="7"/>
  <c r="E27" i="7"/>
  <c r="G26" i="7"/>
  <c r="F26" i="7"/>
  <c r="E26" i="7"/>
  <c r="G25" i="7"/>
  <c r="F25" i="7"/>
  <c r="E25" i="7"/>
  <c r="G24" i="7"/>
  <c r="F24" i="7"/>
  <c r="E24" i="7"/>
  <c r="G23" i="7"/>
  <c r="F23" i="7"/>
  <c r="E23" i="7"/>
  <c r="G21" i="7"/>
  <c r="F21" i="7"/>
  <c r="E21" i="7"/>
  <c r="G20" i="7"/>
  <c r="F20" i="7"/>
  <c r="E20" i="7"/>
  <c r="G19" i="7"/>
  <c r="F19" i="7"/>
  <c r="E19" i="7"/>
  <c r="G18" i="7"/>
  <c r="F18" i="7"/>
  <c r="E18" i="7"/>
  <c r="G17" i="7"/>
  <c r="F17" i="7"/>
  <c r="E17" i="7"/>
  <c r="G16" i="7"/>
  <c r="F16" i="7"/>
  <c r="E16" i="7"/>
  <c r="G15" i="7"/>
  <c r="F15" i="7"/>
  <c r="E15" i="7"/>
  <c r="G14" i="7"/>
  <c r="F14" i="7"/>
  <c r="E14" i="7"/>
  <c r="G13" i="7"/>
  <c r="F13" i="7"/>
  <c r="E13" i="7"/>
  <c r="G12" i="7"/>
  <c r="F12" i="7"/>
  <c r="E12" i="7"/>
  <c r="G3" i="7"/>
  <c r="G4" i="7"/>
  <c r="G5" i="7"/>
  <c r="G6" i="7"/>
  <c r="G7" i="7"/>
  <c r="G8" i="7"/>
  <c r="G9" i="7"/>
  <c r="G10" i="7"/>
  <c r="G2" i="7"/>
  <c r="F3" i="7"/>
  <c r="F4" i="7"/>
  <c r="F5" i="7"/>
  <c r="F6" i="7"/>
  <c r="F7" i="7"/>
  <c r="F8" i="7"/>
  <c r="F9" i="7"/>
  <c r="F10" i="7"/>
  <c r="F2" i="7"/>
  <c r="E3" i="7"/>
  <c r="E4" i="7"/>
  <c r="E5" i="7"/>
  <c r="E6" i="7"/>
  <c r="E7" i="7"/>
  <c r="E8" i="7"/>
  <c r="E9" i="7"/>
  <c r="E10" i="7"/>
  <c r="B9" i="5" a="1"/>
  <c r="B38" i="5" a="1"/>
  <c r="B38" i="5" l="1"/>
  <c r="B9" i="5"/>
  <c r="B25" i="11"/>
  <c r="B30" i="11"/>
  <c r="B30" i="10"/>
  <c r="I3" i="8"/>
  <c r="I4" i="8"/>
  <c r="I5" i="8"/>
  <c r="I6" i="8"/>
  <c r="I7" i="8"/>
  <c r="I8" i="8"/>
  <c r="I9" i="8"/>
  <c r="I10" i="8"/>
  <c r="I2" i="8"/>
  <c r="E3" i="8"/>
  <c r="E4" i="8"/>
  <c r="E5" i="8"/>
  <c r="E6" i="8"/>
  <c r="E7" i="8"/>
  <c r="E8" i="8"/>
  <c r="E9" i="8"/>
  <c r="E10" i="8"/>
  <c r="E2" i="8"/>
  <c r="B3" i="5" a="1"/>
  <c r="B4" i="5" a="1"/>
  <c r="B25" i="5" a="1"/>
  <c r="B7" i="5" a="1"/>
  <c r="B11" i="5" a="1"/>
  <c r="B31" i="5" a="1"/>
  <c r="B15" i="5" a="1"/>
  <c r="B40" i="5" a="1"/>
  <c r="B36" i="5" a="1"/>
  <c r="B17" i="5" a="1"/>
  <c r="B37" i="5" a="1"/>
  <c r="B34" i="5" a="1"/>
  <c r="B32" i="5" a="1"/>
  <c r="B22" i="5" a="1"/>
  <c r="B12" i="5" a="1"/>
  <c r="B16" i="5" a="1"/>
  <c r="B21" i="5" a="1"/>
  <c r="B26" i="5" a="1"/>
  <c r="B35" i="5" a="1"/>
  <c r="B10" i="5" a="1"/>
  <c r="B5" i="5" a="1"/>
  <c r="B27" i="5" a="1"/>
  <c r="B6" i="5" a="1"/>
  <c r="B39" i="5" a="1"/>
  <c r="B40" i="5" l="1"/>
  <c r="B39" i="5"/>
  <c r="B37" i="5"/>
  <c r="B36" i="5"/>
  <c r="B35" i="5"/>
  <c r="B34" i="5"/>
  <c r="B32" i="5"/>
  <c r="B27" i="6" s="1"/>
  <c r="B31" i="5"/>
  <c r="B27" i="5"/>
  <c r="B26" i="5"/>
  <c r="B25" i="5"/>
  <c r="B22" i="5"/>
  <c r="B21" i="5"/>
  <c r="B17" i="5"/>
  <c r="B16" i="5"/>
  <c r="B15" i="5"/>
  <c r="B12" i="5"/>
  <c r="B11" i="5"/>
  <c r="B10" i="5"/>
  <c r="B7" i="5"/>
  <c r="B6" i="5"/>
  <c r="B5" i="5"/>
  <c r="B4" i="5"/>
  <c r="B3" i="5"/>
  <c r="G11" i="6" l="1"/>
  <c r="G27" i="6"/>
  <c r="G28" i="6"/>
  <c r="G31" i="6"/>
  <c r="G33" i="6"/>
  <c r="G23" i="6"/>
  <c r="G25" i="6"/>
  <c r="G12" i="6"/>
  <c r="G13" i="6"/>
  <c r="G29" i="6"/>
  <c r="G32" i="6"/>
  <c r="G22" i="6"/>
  <c r="G26" i="6"/>
  <c r="G14" i="6"/>
  <c r="G30" i="6"/>
  <c r="G20" i="6"/>
  <c r="G15" i="6"/>
  <c r="G16" i="6"/>
  <c r="G17" i="6"/>
  <c r="G18" i="6"/>
  <c r="G19" i="6"/>
  <c r="G24" i="6"/>
  <c r="G21" i="6"/>
  <c r="B24" i="6"/>
  <c r="B23" i="6"/>
  <c r="B3" i="6"/>
  <c r="B4" i="6" s="1"/>
  <c r="B5" i="6" s="1"/>
  <c r="B9" i="6" s="1"/>
  <c r="B17" i="6"/>
  <c r="B18" i="6" s="1"/>
  <c r="B19" i="6" s="1"/>
  <c r="B20" i="6" s="1"/>
  <c r="B30" i="6" s="1"/>
  <c r="I3" i="5"/>
  <c r="I4" i="5" s="1"/>
  <c r="B25" i="6" l="1"/>
  <c r="B22" i="6"/>
  <c r="B8" i="6"/>
  <c r="B10" i="6" s="1"/>
  <c r="B21" i="6"/>
  <c r="B6" i="6"/>
  <c r="I5" i="5"/>
  <c r="I6" i="5" s="1"/>
  <c r="B26" i="6" l="1"/>
  <c r="B28" i="6" s="1"/>
  <c r="B11" i="6"/>
  <c r="B12" i="6" s="1"/>
  <c r="B13" i="6" s="1"/>
  <c r="B14" i="6"/>
  <c r="B34" i="6" s="1"/>
  <c r="B7" i="6"/>
  <c r="B38" i="6" l="1"/>
  <c r="B29" i="6"/>
  <c r="B32" i="6"/>
  <c r="G3" i="6" s="1"/>
  <c r="B37" i="6"/>
  <c r="B33" i="6"/>
  <c r="B44" i="6" l="1"/>
  <c r="G5" i="6"/>
  <c r="G4" i="6"/>
  <c r="G7" i="6"/>
  <c r="G6" i="6"/>
  <c r="G10" i="6"/>
  <c r="G8" i="6"/>
  <c r="G9" i="6"/>
  <c r="B41"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<sst xmlns="http://schemas.openxmlformats.org/spreadsheetml/2006/main" count="720" uniqueCount="283">
  <si>
    <t>Redistribution and use in source and binary forms, with or without modification, are permitted provided that the following conditions are met:</t>
  </si>
  <si>
    <t>1. Redistributions of source code must retain the above copyright notice, this list of conditions and the following disclaimer.</t>
  </si>
  <si>
    <t>2. Redistributions in binary form must reproduce the above copyright notice, this list of conditions and the following disclaimer in the documentation and/or other materials provided with the distribution.</t>
  </si>
  <si>
    <t>3. Neither the name of the copyright holder nor the names of its contributors may be used to endorse or promote products derived from this software without specific prior written permission.</t>
  </si>
  <si>
    <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</si>
  <si>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Copyright 2023 Erik Wilhelm</t>
  </si>
  <si>
    <t>Version</t>
  </si>
  <si>
    <t>Author(s)</t>
  </si>
  <si>
    <t>Initial commit</t>
  </si>
  <si>
    <t>Changelog</t>
  </si>
  <si>
    <t>added licence and overview</t>
  </si>
  <si>
    <t xml:space="preserve">Automated Ground Vehicle Use Case Model </t>
  </si>
  <si>
    <t>The overarching goal of the model is to enable the economic feasibility of a wide variety of autonomous ground vehicle projects to be objectively evaluated. To achieve this goal, the model aims to answer the following questions:</t>
  </si>
  <si>
    <t>1. What is the net present value of an investment in an automated ground vehicle for a specific application use case compared to the business as usual case?</t>
  </si>
  <si>
    <t>2. What is the sensitivity of the amortization period to the input assumptions? In other words, which input assumptions have the greatest effect on the amortization period for the project?</t>
  </si>
  <si>
    <t>3. Which implications do the deployment of automated ground robots have on manpower needs? In other words, where can human resources be more effectively allocated?</t>
  </si>
  <si>
    <t>Contributors</t>
  </si>
  <si>
    <t>Erik Wilhelm</t>
  </si>
  <si>
    <t>Company</t>
  </si>
  <si>
    <t>Kyburz Switzerland</t>
  </si>
  <si>
    <t>Christoph Kammer</t>
  </si>
  <si>
    <t>The Mathworks</t>
  </si>
  <si>
    <t>Flurin Arner</t>
  </si>
  <si>
    <t>Flurin Arner Inc</t>
  </si>
  <si>
    <t>Markus Rohr</t>
  </si>
  <si>
    <t>Robolem</t>
  </si>
  <si>
    <t>AMAG</t>
  </si>
  <si>
    <t>ETH Zürich</t>
  </si>
  <si>
    <t>Christoph Zeier</t>
  </si>
  <si>
    <t>Cyril Zubr</t>
  </si>
  <si>
    <t>The inputs, outputs, and assumptions of the model are outlined in their respective worksheets.</t>
  </si>
  <si>
    <t>Please see the licence worksheet before deploying this model.</t>
  </si>
  <si>
    <t>If you use this model, please use this citation:</t>
  </si>
  <si>
    <t>Please see this paper for details about the assumptions, inputs, and for worked examples.</t>
  </si>
  <si>
    <t>LINK TO PAPER</t>
  </si>
  <si>
    <t>Title</t>
  </si>
  <si>
    <t>Date</t>
  </si>
  <si>
    <t>11.Aug.2023</t>
  </si>
  <si>
    <t>TRL</t>
  </si>
  <si>
    <t>Basic principles observed and reported</t>
  </si>
  <si>
    <t>Basic principles observed</t>
  </si>
  <si>
    <t>Technology concept and/or application formulated</t>
  </si>
  <si>
    <t>Technology concept formulated</t>
  </si>
  <si>
    <t>Analytical and experimental critical function and/or characteristic proof-of concept</t>
  </si>
  <si>
    <t>Experimental proof of concept</t>
  </si>
  <si>
    <t>Component and/or breadboard validation in laboratory environment</t>
  </si>
  <si>
    <t>Technology validated in lab</t>
  </si>
  <si>
    <t>Component and/or breadboard validation in relevant environment</t>
  </si>
  <si>
    <t>Technology validated in relevant environment (industrially relevant environment in the case of key enabling technologies)</t>
  </si>
  <si>
    <t>System/subsystem model or prototype demonstration in a relevant environment (ground or space)</t>
  </si>
  <si>
    <t>Technology demonstrated in relevant environment (industrially relevant environment in the case of key enabling technologies)</t>
  </si>
  <si>
    <t>System prototype demonstration in a space environment</t>
  </si>
  <si>
    <t>System prototype demonstration in operational environment</t>
  </si>
  <si>
    <t>Actual system completed and "flight qualified" through test and demonstration (ground or space)</t>
  </si>
  <si>
    <t>System complete and qualified</t>
  </si>
  <si>
    <t>Actual system "flight proven" through successful mission operations</t>
  </si>
  <si>
    <t>Actual system proven in operational environment (competitive manufacturing in the case of key enabling technologies; or in space)</t>
  </si>
  <si>
    <t>NASA usage</t>
  </si>
  <si>
    <t>European Union</t>
  </si>
  <si>
    <t xml:space="preserve">Source: </t>
  </si>
  <si>
    <t>https://en.wikipedia.org/wiki/Technology_readiness_level</t>
  </si>
  <si>
    <t>Number of Vehicles Deployed</t>
  </si>
  <si>
    <t>Number of Hours Operated</t>
  </si>
  <si>
    <t>Approx. Company Size</t>
  </si>
  <si>
    <t>3000+</t>
  </si>
  <si>
    <t>Years of Experience</t>
  </si>
  <si>
    <t>disengagement per km</t>
  </si>
  <si>
    <t>km between disengagement</t>
  </si>
  <si>
    <t>min per disengagement</t>
  </si>
  <si>
    <t>max_speed</t>
  </si>
  <si>
    <t>Notes:</t>
  </si>
  <si>
    <t>The basic maturity assumptions on the master branch in this section are used in the code cases.</t>
  </si>
  <si>
    <t>Company acceptance</t>
  </si>
  <si>
    <t>Level</t>
  </si>
  <si>
    <t>MissionSimilarity</t>
  </si>
  <si>
    <t>Example(s)</t>
  </si>
  <si>
    <t>MissionDeterminism</t>
  </si>
  <si>
    <t>None</t>
  </si>
  <si>
    <t>Minimum</t>
  </si>
  <si>
    <t>Minor</t>
  </si>
  <si>
    <t>Some</t>
  </si>
  <si>
    <t>Average</t>
  </si>
  <si>
    <t>Sufficient</t>
  </si>
  <si>
    <t>Good</t>
  </si>
  <si>
    <t>Excellent</t>
  </si>
  <si>
    <t xml:space="preserve">Outstanding </t>
  </si>
  <si>
    <t>Complete</t>
  </si>
  <si>
    <t>Company A takes over Company B's production process, inheriting proof-of-concept stage AGV systems in the aquisition; neither managment nor operations tolerates the pilot systems</t>
  </si>
  <si>
    <t>Upper management forces production and logistics departments to trial new AGV technology for external marketing purposes</t>
  </si>
  <si>
    <t>Well meaning senior department heads procure AGVs without adequate consultation of logistics needs; systems are viewed as too expensive and slow</t>
  </si>
  <si>
    <t>AGV system was procured with cross-management agreement, but before delivery company priorities and processes changed; system no longer serves present needs</t>
  </si>
  <si>
    <t>older generation AGV in service for several years, value in process is hard to justify; logistics and production tolerate system presense</t>
  </si>
  <si>
    <t>value of AGV is clear to articulate in ist application; and is understood by management and supervisors</t>
  </si>
  <si>
    <t>AGV works well in its mission, and its value is understood by all employees, including those sharing the shop floor with the system</t>
  </si>
  <si>
    <t>AGV supports the employees in mission-critical ways, and is valued highly at all levels</t>
  </si>
  <si>
    <t>AGV is viewed as critical for the success of the process to which its mission contributes</t>
  </si>
  <si>
    <t>Without the AGV, the system process is viewed as being impossible</t>
  </si>
  <si>
    <t>Each mission is completely different from the next</t>
  </si>
  <si>
    <t>There are some similarites between missions (e.g. they all start and end with a charging step)</t>
  </si>
  <si>
    <t>Parts of the mission are common between missions (e.g. the last building is always the same)</t>
  </si>
  <si>
    <t>The start and end buildings are the same, but the route is vastly different</t>
  </si>
  <si>
    <t>Only a few options exist for the robot to complete its mission; these can only be modified by trained employees</t>
  </si>
  <si>
    <t>There are many pre-programmed routes which are followed by the AGVs, but they are free to choose a route as desired; new routes trained by anyone</t>
  </si>
  <si>
    <t>Two options exist for the robot to complete its mission; these can only be programmed by AGV manufacturer</t>
  </si>
  <si>
    <t>One route programmed by the AGV manufacture exits; it changes every quarter</t>
  </si>
  <si>
    <t>One route programmed by the AGV manufacture exits; it changes every year</t>
  </si>
  <si>
    <t>One route programmed by the AGV manufacture exits; it never changes</t>
  </si>
  <si>
    <t>Peak periods of different vehicles and pedestrians (e.g. lunch time rush of bikes, cars, and people in front of a busy restaurant, but otherwise fewer obstacles)</t>
  </si>
  <si>
    <t>Massive numbers of different types of vehicles and pedestrians (e.g. downtown manhattan at rush hour); this traffic persists throughout the day</t>
  </si>
  <si>
    <t>Steady streams of moderate traffic</t>
  </si>
  <si>
    <t>Periods of moderate traffic, but mostly open roads</t>
  </si>
  <si>
    <t>Mostly open roads, periodic appearance of dynamic obstacles</t>
  </si>
  <si>
    <t>Occasional dynamic obstacles, which are all aware of the AGV's presence and attention</t>
  </si>
  <si>
    <t>Occasional dynamic obstacles, some of whom are untrained</t>
  </si>
  <si>
    <t>Rare dynamic obstacles, which are all aware of the AGV's presence and attention</t>
  </si>
  <si>
    <t>Open road, but no planned dynamic obstacles (e.g. possible to enter AGVs path if traffic rules on site are not followed)</t>
  </si>
  <si>
    <t>Closed road, difficult for dynamic obstacles to enter the AGVs path, even if rules are not followed</t>
  </si>
  <si>
    <t>Added missions</t>
  </si>
  <si>
    <t>15.Aug.2023</t>
  </si>
  <si>
    <t>mission and maturities modelled</t>
  </si>
  <si>
    <t>18.Oct.2023</t>
  </si>
  <si>
    <t>added input assumptions for scripts</t>
  </si>
  <si>
    <t>Added inputs</t>
  </si>
  <si>
    <t>Value</t>
  </si>
  <si>
    <t>Parameter</t>
  </si>
  <si>
    <t>Unit</t>
  </si>
  <si>
    <t>Discount Rate</t>
  </si>
  <si>
    <t>Percent</t>
  </si>
  <si>
    <t>Source</t>
  </si>
  <si>
    <t>Inp_Baseline</t>
  </si>
  <si>
    <t>Inp_CheapAGV</t>
  </si>
  <si>
    <t>Electricity Price</t>
  </si>
  <si>
    <t>EUR/kWh</t>
  </si>
  <si>
    <t>Diesel Price</t>
  </si>
  <si>
    <t>EUR/L</t>
  </si>
  <si>
    <t>Diesel Energy</t>
  </si>
  <si>
    <t>kWh/L</t>
  </si>
  <si>
    <t>Data Carriage Price</t>
  </si>
  <si>
    <t>EUR/MB</t>
  </si>
  <si>
    <t>Years of Operation</t>
  </si>
  <si>
    <t>Years</t>
  </si>
  <si>
    <t>Technology Readiness</t>
  </si>
  <si>
    <t>Unitless</t>
  </si>
  <si>
    <t>Company Acceptance</t>
  </si>
  <si>
    <t>Mission Similarity</t>
  </si>
  <si>
    <t>Mission Determinism</t>
  </si>
  <si>
    <t xml:space="preserve">Assumptions </t>
  </si>
  <si>
    <t>Mission Length</t>
  </si>
  <si>
    <t>km</t>
  </si>
  <si>
    <t>Material to Move</t>
  </si>
  <si>
    <t>Yearly Operation Days</t>
  </si>
  <si>
    <t>Days</t>
  </si>
  <si>
    <t>Mission Inputs</t>
  </si>
  <si>
    <t>AGV Inputs</t>
  </si>
  <si>
    <t>Human Operated Vehicle Inputs</t>
  </si>
  <si>
    <t>Vehicle Energy Consumption</t>
  </si>
  <si>
    <t>Operator Hourly Wage</t>
  </si>
  <si>
    <t xml:space="preserve">Vehicle Maintenance Cost </t>
  </si>
  <si>
    <t>Vehicle End of Life Cost</t>
  </si>
  <si>
    <t>Vehicle Average Speed</t>
  </si>
  <si>
    <t>Vehicle Material Capacity</t>
  </si>
  <si>
    <t>Vehicle Max Shift Length</t>
  </si>
  <si>
    <t>AGV Purchase Cost</t>
  </si>
  <si>
    <t>Vehicle Purchase Cost</t>
  </si>
  <si>
    <t>EUR</t>
  </si>
  <si>
    <t>L/100km</t>
  </si>
  <si>
    <t>EUR/hr</t>
  </si>
  <si>
    <t>km/hr</t>
  </si>
  <si>
    <t>hours</t>
  </si>
  <si>
    <t>AGV Leasing Cost</t>
  </si>
  <si>
    <t>AGV Maintenance Cost</t>
  </si>
  <si>
    <t>AVG End of Life Cost</t>
  </si>
  <si>
    <t>AGV Average Speed</t>
  </si>
  <si>
    <t>AGV Charge Rate</t>
  </si>
  <si>
    <t>AGV Disenagements per km</t>
  </si>
  <si>
    <t xml:space="preserve">AGV Disengagement time </t>
  </si>
  <si>
    <t>AGV Material capacity</t>
  </si>
  <si>
    <t>AGV Energy Consumption</t>
  </si>
  <si>
    <t>AGV Max Shift Length</t>
  </si>
  <si>
    <t>AGV Data Use</t>
  </si>
  <si>
    <t>EUR/vehice/month</t>
  </si>
  <si>
    <t>EUR/AGV/Year</t>
  </si>
  <si>
    <t>EUR/AGV/month</t>
  </si>
  <si>
    <t>kW</t>
  </si>
  <si>
    <t>disengagement/km</t>
  </si>
  <si>
    <t>minutes/disengagement</t>
  </si>
  <si>
    <t>kWh/km</t>
  </si>
  <si>
    <t>MB/day</t>
  </si>
  <si>
    <t>Inp_SlowVehicle</t>
  </si>
  <si>
    <t>Scenarios modelled at present:</t>
  </si>
  <si>
    <t>EarlyByte</t>
  </si>
  <si>
    <t>Remo Höppli</t>
  </si>
  <si>
    <t>Inp_Custom</t>
  </si>
  <si>
    <t>Calculated Parameters</t>
  </si>
  <si>
    <t>Vehicle daily missions</t>
  </si>
  <si>
    <t>Vehicle daily distance</t>
  </si>
  <si>
    <t>Vehicle daily time</t>
  </si>
  <si>
    <t>Number of vehicle required</t>
  </si>
  <si>
    <t>Missions/day</t>
  </si>
  <si>
    <t>hours/day</t>
  </si>
  <si>
    <t xml:space="preserve">expanded TL use explanation, scaling EOL by purchase price, disengagements per unit time, </t>
  </si>
  <si>
    <t>43941580a167ec3b37d2f31ef0fdef1beeb1727b</t>
  </si>
  <si>
    <t>2b2d115e1ead2bea7fad54723684b6c5c870b6fe</t>
  </si>
  <si>
    <t>501e775add03c25aaf35bd38dfb68a304373f038</t>
  </si>
  <si>
    <t>fe42c7a305863349e679748ce4a866aee4ebf1bb</t>
  </si>
  <si>
    <t>Read from excel</t>
  </si>
  <si>
    <t>13.Dec.2023</t>
  </si>
  <si>
    <t>Undiscounted lifetime costs</t>
  </si>
  <si>
    <t>Human operated vehicle daily missions</t>
  </si>
  <si>
    <t>Calculated inputs</t>
  </si>
  <si>
    <t>missions/day</t>
  </si>
  <si>
    <t>Human operated vehicle daily distance</t>
  </si>
  <si>
    <t>km/day</t>
  </si>
  <si>
    <t>Human operated vehicle daily driving time</t>
  </si>
  <si>
    <t>vehicles</t>
  </si>
  <si>
    <t>Human operated vehicle energy cost</t>
  </si>
  <si>
    <t>Human operated vehicle operator cost</t>
  </si>
  <si>
    <t>EUR/year</t>
  </si>
  <si>
    <t>Human operated vehicle annual operating cost</t>
  </si>
  <si>
    <t>Human operated vehicle annual maintenance cost</t>
  </si>
  <si>
    <t>Human operated vehicle annual cost</t>
  </si>
  <si>
    <t>Human operated vehicle end of life cost</t>
  </si>
  <si>
    <t>Human operated vehicle purchase cost</t>
  </si>
  <si>
    <t xml:space="preserve">EUR </t>
  </si>
  <si>
    <t>Human operated vehicle</t>
  </si>
  <si>
    <t>Autonomous ground vehicle</t>
  </si>
  <si>
    <t>Autonomous ground vehicle daily missions</t>
  </si>
  <si>
    <t>Autonomous ground vehicle daily distance</t>
  </si>
  <si>
    <t>Autonomous ground vehicle daily driving time</t>
  </si>
  <si>
    <t>Number of autonomous ground vehicles required</t>
  </si>
  <si>
    <t>Number of human operated vehicles required</t>
  </si>
  <si>
    <t>Autonomous ground vehicle annual operating cost</t>
  </si>
  <si>
    <t>Autonomous ground vehicle energy cost</t>
  </si>
  <si>
    <t>Autonomous ground vehicle purchase cost</t>
  </si>
  <si>
    <t>Autonomous ground vehicle annual maintenance cost</t>
  </si>
  <si>
    <t>Autonomous ground vehicle annual cost</t>
  </si>
  <si>
    <t>Autonomous ground vehicle end of life cost</t>
  </si>
  <si>
    <t>Autonomous ground vehicle data cost</t>
  </si>
  <si>
    <t>Autonomous ground vehicle cost per disengagement</t>
  </si>
  <si>
    <t xml:space="preserve">Autonomous ground vehicle disengagement </t>
  </si>
  <si>
    <t>EUR/disengagement</t>
  </si>
  <si>
    <t>Investment cost of switching to AGVs</t>
  </si>
  <si>
    <t>Annual savings from switching to AGVs</t>
  </si>
  <si>
    <t>End of life cost of switching to AGVs</t>
  </si>
  <si>
    <t>Human operated vehice undiscounted lifetime cost</t>
  </si>
  <si>
    <t>Autonomous ground vehicle undiscounted lifetime cost</t>
  </si>
  <si>
    <t>Net present value</t>
  </si>
  <si>
    <t xml:space="preserve">Investement in AGV yields a net present value of </t>
  </si>
  <si>
    <t>Cashflows</t>
  </si>
  <si>
    <t>Year</t>
  </si>
  <si>
    <t>Flow</t>
  </si>
  <si>
    <t>Amortization period</t>
  </si>
  <si>
    <t>Investement in AGV will pay back after</t>
  </si>
  <si>
    <t>years</t>
  </si>
  <si>
    <t>Vehicle</t>
  </si>
  <si>
    <t>AGV</t>
  </si>
  <si>
    <t>Cumulative annual vehicle operation cost</t>
  </si>
  <si>
    <t>Cumulative annual autonomous vehicle operation cost</t>
  </si>
  <si>
    <t>Technology readiness</t>
  </si>
  <si>
    <t>Misson Determinism</t>
  </si>
  <si>
    <t>Time Per Disengagement (min)</t>
  </si>
  <si>
    <t>Average Speed (km/hr)</t>
  </si>
  <si>
    <t>Disengagements Per Km (1/km)</t>
  </si>
  <si>
    <t>Technology Level</t>
  </si>
  <si>
    <t>Baseline values</t>
  </si>
  <si>
    <t>param level</t>
  </si>
  <si>
    <t>Ave Speed</t>
  </si>
  <si>
    <t>Time per Dis</t>
  </si>
  <si>
    <t>Dis per km</t>
  </si>
  <si>
    <t>(from model input assumptions)</t>
  </si>
  <si>
    <t>Hand calculated based on Inp_Custom inputs</t>
  </si>
  <si>
    <t>Net Present Value</t>
  </si>
  <si>
    <t>Baselines</t>
  </si>
  <si>
    <t>NOTE: To test this sensitivity, we need to change the Units the AGV can carry to 5 in the Inp_custom, as well as change the mission similarity, otherwise the average speed does not have a large enough input</t>
  </si>
  <si>
    <t>2 vehicles are suddenly needed</t>
  </si>
  <si>
    <t>TR by 10</t>
  </si>
  <si>
    <t>An easy and clear analysis of the sensitivity of net present value of the AGV replacement project is possible</t>
  </si>
  <si>
    <t>based on the algorithms here: https://github.com/erikwilhelm/AGVeval/tree/main/Python</t>
  </si>
  <si>
    <t>Note: This is completely possible using the excel tool as well, it is just a manual process (see example below for AGV cost, and in the sheet 'Model Output Sensitivity')</t>
  </si>
  <si>
    <t>AGV Cost</t>
  </si>
  <si>
    <t>NPV</t>
  </si>
  <si>
    <t>Change from baseline</t>
  </si>
  <si>
    <t>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</si>
</sst>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00"/>
    <numFmt numFmtId="167" formatCode="_-[$€-2]\ * #,##0.00_-;\-[$€-2]\ * #,##0.00_-;_-[$€-2]\ * &quot;-&quot;??_-;_-@_-"/>
    <numFmt numFmtId="168" formatCode="_-* #,##0.00\ [$CHF-100C]_-;\-* #,##0.00\ [$CHF-100C]_-;_-* &quot;-&quot;??\ [$CHF-100C]_-;_-@_-"/>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20">
    <xf numFmtId="0" fontId="0" fillId="0" borderId="0" xfId="0"/>
    <xf numFmtId="0" fontId="0" fillId="0" borderId="1" xfId="0" applyBorder="1"/>
    <xf numFmtId="0" fontId="1" fillId="0" borderId="0" xfId="0" applyFont="1"/>
    <xf numFmtId="0" fontId="0" fillId="0" borderId="0" xfId="0" applyAlignment="1">
      <alignment wrapText="1"/>
    </xf>
    <xf numFmtId="0" fontId="2" fillId="0" borderId="0" xfId="1"/>
    <xf numFmtId="0" fontId="1" fillId="0" borderId="0" xfId="0" applyFont="1" applyAlignment="1">
      <alignment wrapText="1"/>
    </xf>
    <xf numFmtId="164" fontId="0" fillId="0" borderId="0" xfId="0" applyNumberFormat="1"/>
    <xf numFmtId="165" fontId="0" fillId="0" borderId="0" xfId="0" applyNumberFormat="1"/>
    <xf numFmtId="9" fontId="0" fillId="0" borderId="0" xfId="2" applyFont="1"/>
    <xf numFmtId="0" fontId="4" fillId="0" borderId="0" xfId="0" applyFont="1"/>
    <xf numFmtId="0" fontId="0" fillId="0" borderId="0" xfId="2" applyNumberFormat="1" applyFont="1"/>
    <xf numFmtId="0" fontId="0" fillId="2" borderId="0" xfId="0" applyFill="1"/>
    <xf numFmtId="11" fontId="0" fillId="0" borderId="1" xfId="0" applyNumberFormat="1" applyBorder="1"/>
    <xf numFmtId="166" fontId="0" fillId="0" borderId="0" xfId="0" applyNumberFormat="1"/>
    <xf numFmtId="2" fontId="0" fillId="0" borderId="0" xfId="0" applyNumberFormat="1"/>
    <xf numFmtId="167" fontId="0" fillId="0" borderId="0" xfId="0" applyNumberFormat="1"/>
    <xf numFmtId="2" fontId="1" fillId="0" borderId="0" xfId="0" applyNumberFormat="1" applyFont="1"/>
    <xf numFmtId="168" fontId="0" fillId="0" borderId="0" xfId="0" applyNumberFormat="1"/>
    <xf numFmtId="0" fontId="1" fillId="0" borderId="0" xfId="0" applyFont="1" applyFill="1"/>
    <xf numFmtId="167" fontId="1" fillId="0" borderId="0" xfId="0" applyNumberFormat="1" applyFont="1" applyFill="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Comparison</a:t>
            </a:r>
            <a:r>
              <a:rPr lang="en-CA" baseline="0"/>
              <a:t> of Undiscounted Lifetime Costs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ModelOutput!$D$37:$D$38</c:f>
              <c:strCache>
                <c:ptCount val="2"/>
                <c:pt idx="0">
                  <c:v>Vehicle</c:v>
                </c:pt>
                <c:pt idx="1">
                  <c:v>AGV</c:v>
                </c:pt>
              </c:strCache>
            </c:strRef>
          </c:cat>
          <c:val>
            <c:numRef>
              <c:f>ModelOutput!$B$37:$B$38</c:f>
              <c:numCache>
                <c:formatCode>_-[$€-2]\ * #,##0.00_-;\-[$€-2]\ * #,##0.00_-;_-[$€-2]\ * "-"??_-;_-@_-</c:formatCode>
                <c:ptCount val="2"/>
                <c:pt idx="0">
                  <c:v>34393.324000000001</c:v>
                </c:pt>
                <c:pt idx="1">
                  <c:v>29821.923636655087</c:v>
                </c:pt>
              </c:numCache>
            </c:numRef>
          </c:val>
          <c:extLst>
            <c:ext xmlns:c16="http://schemas.microsoft.com/office/drawing/2014/chart" uri="{C3380CC4-5D6E-409C-BE32-E72D297353CC}">
              <c16:uniqueId val="{00000000-95DB-4414-AF15-D7B33B4828A6}"/>
            </c:ext>
          </c:extLst>
        </c:ser>
        <c:dLbls>
          <c:showLegendKey val="0"/>
          <c:showVal val="0"/>
          <c:showCatName val="0"/>
          <c:showSerName val="0"/>
          <c:showPercent val="0"/>
          <c:showBubbleSize val="0"/>
        </c:dLbls>
        <c:gapWidth val="219"/>
        <c:overlap val="-27"/>
        <c:axId val="790424216"/>
        <c:axId val="790423496"/>
      </c:barChart>
      <c:catAx>
        <c:axId val="790424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423496"/>
        <c:crosses val="autoZero"/>
        <c:auto val="1"/>
        <c:lblAlgn val="ctr"/>
        <c:lblOffset val="100"/>
        <c:noMultiLvlLbl val="0"/>
      </c:catAx>
      <c:valAx>
        <c:axId val="790423496"/>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424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 Cash Flow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ModelOutput!$G$2</c:f>
              <c:strCache>
                <c:ptCount val="1"/>
                <c:pt idx="0">
                  <c:v>Flow</c:v>
                </c:pt>
              </c:strCache>
            </c:strRef>
          </c:tx>
          <c:spPr>
            <a:solidFill>
              <a:srgbClr val="000000"/>
            </a:solidFill>
            <a:ln>
              <a:noFill/>
            </a:ln>
            <a:effectLst/>
          </c:spPr>
          <c:invertIfNegative val="1"/>
          <c:cat>
            <c:numRef>
              <c:f>ModelOutput!$F$3:$F$10</c:f>
              <c:numCache>
                <c:formatCode>General</c:formatCode>
                <c:ptCount val="8"/>
                <c:pt idx="0">
                  <c:v>0</c:v>
                </c:pt>
                <c:pt idx="1">
                  <c:v>1</c:v>
                </c:pt>
                <c:pt idx="2">
                  <c:v>2</c:v>
                </c:pt>
                <c:pt idx="3">
                  <c:v>3</c:v>
                </c:pt>
                <c:pt idx="4">
                  <c:v>4</c:v>
                </c:pt>
                <c:pt idx="5">
                  <c:v>5</c:v>
                </c:pt>
                <c:pt idx="6">
                  <c:v>6</c:v>
                </c:pt>
                <c:pt idx="7">
                  <c:v>7</c:v>
                </c:pt>
              </c:numCache>
            </c:numRef>
          </c:cat>
          <c:val>
            <c:numRef>
              <c:f>ModelOutput!$G$3:$G$10</c:f>
              <c:numCache>
                <c:formatCode>General</c:formatCode>
                <c:ptCount val="8"/>
                <c:pt idx="0" formatCode="_-[$€-2]\ * #,##0.00_-;\-[$€-2]\ * #,##0.00_-;_-[$€-2]\ * &quot;-&quot;??_-;_-@_-">
                  <c:v>-13000</c:v>
                </c:pt>
                <c:pt idx="1">
                  <c:v>8785.7001816724569</c:v>
                </c:pt>
                <c:pt idx="2">
                  <c:v>8785.7001816724569</c:v>
                </c:pt>
                <c:pt idx="3">
                  <c:v>0</c:v>
                </c:pt>
                <c:pt idx="4">
                  <c:v>0</c:v>
                </c:pt>
                <c:pt idx="5">
                  <c:v>0</c:v>
                </c:pt>
                <c:pt idx="6">
                  <c:v>0</c:v>
                </c:pt>
                <c:pt idx="7">
                  <c:v>0</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1-9FFD-44E0-80D4-02C0E22996EC}"/>
            </c:ext>
          </c:extLst>
        </c:ser>
        <c:dLbls>
          <c:showLegendKey val="0"/>
          <c:showVal val="0"/>
          <c:showCatName val="0"/>
          <c:showSerName val="0"/>
          <c:showPercent val="0"/>
          <c:showBubbleSize val="0"/>
        </c:dLbls>
        <c:gapWidth val="219"/>
        <c:overlap val="-27"/>
        <c:axId val="865068784"/>
        <c:axId val="865069144"/>
      </c:barChart>
      <c:catAx>
        <c:axId val="86506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69144"/>
        <c:crosses val="autoZero"/>
        <c:auto val="1"/>
        <c:lblAlgn val="ctr"/>
        <c:lblOffset val="100"/>
        <c:noMultiLvlLbl val="0"/>
      </c:catAx>
      <c:valAx>
        <c:axId val="865069144"/>
        <c:scaling>
          <c:orientation val="minMax"/>
        </c:scaling>
        <c:delete val="0"/>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68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Human operated vehicle lifetime</a:t>
            </a:r>
            <a:r>
              <a:rPr lang="en-CA" baseline="0"/>
              <a:t> cost share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4E-4126-A14A-C05D94A894F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4E-4126-A14A-C05D94A894F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4E-4126-A14A-C05D94A894FC}"/>
              </c:ext>
            </c:extLst>
          </c:dPt>
          <c:cat>
            <c:strRef>
              <c:f>(ModelOutput!$A$7,ModelOutput!$A$13:$A$14)</c:f>
              <c:strCache>
                <c:ptCount val="3"/>
                <c:pt idx="0">
                  <c:v>Human operated vehicle purchase cost</c:v>
                </c:pt>
                <c:pt idx="1">
                  <c:v>Cumulative annual vehicle operation cost</c:v>
                </c:pt>
                <c:pt idx="2">
                  <c:v>Human operated vehicle end of life cost</c:v>
                </c:pt>
              </c:strCache>
            </c:strRef>
          </c:cat>
          <c:val>
            <c:numRef>
              <c:f>(ModelOutput!$B$7,ModelOutput!$B$13:$B$14)</c:f>
              <c:numCache>
                <c:formatCode>_-[$€-2]\ * #,##0.00_-;\-[$€-2]\ * #,##0.00_-;_-[$€-2]\ * "-"??_-;_-@_-</c:formatCode>
                <c:ptCount val="3"/>
                <c:pt idx="0">
                  <c:v>13000</c:v>
                </c:pt>
                <c:pt idx="1">
                  <c:v>21393.324000000001</c:v>
                </c:pt>
                <c:pt idx="2">
                  <c:v>0</c:v>
                </c:pt>
              </c:numCache>
            </c:numRef>
          </c:val>
          <c:extLst>
            <c:ext xmlns:c16="http://schemas.microsoft.com/office/drawing/2014/chart" uri="{C3380CC4-5D6E-409C-BE32-E72D297353CC}">
              <c16:uniqueId val="{00000000-1D89-4BEB-8573-1B14763D2B2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Autonomous ground</a:t>
            </a:r>
            <a:r>
              <a:rPr lang="en-CA" baseline="0"/>
              <a:t> </a:t>
            </a:r>
            <a:r>
              <a:rPr lang="en-CA"/>
              <a:t>vehicle lifetime</a:t>
            </a:r>
            <a:r>
              <a:rPr lang="en-CA" baseline="0"/>
              <a:t> cost share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FE-4955-B7EF-34A0709E68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FE-4955-B7EF-34A0709E68C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DFE-4955-B7EF-34A0709E68CD}"/>
              </c:ext>
            </c:extLst>
          </c:dPt>
          <c:cat>
            <c:strRef>
              <c:f>(ModelOutput!$A$21,ModelOutput!$A$29:$A$30)</c:f>
              <c:strCache>
                <c:ptCount val="3"/>
                <c:pt idx="0">
                  <c:v>Autonomous ground vehicle purchase cost</c:v>
                </c:pt>
                <c:pt idx="1">
                  <c:v>Cumulative annual autonomous vehicle operation cost</c:v>
                </c:pt>
                <c:pt idx="2">
                  <c:v>Autonomous ground vehicle end of life cost</c:v>
                </c:pt>
              </c:strCache>
            </c:strRef>
          </c:cat>
          <c:val>
            <c:numRef>
              <c:f>(ModelOutput!$B$21,ModelOutput!$B$29:$B$30)</c:f>
              <c:numCache>
                <c:formatCode>_-[$€-2]\ * #,##0.00_-;\-[$€-2]\ * #,##0.00_-;_-[$€-2]\ * "-"??_-;_-@_-</c:formatCode>
                <c:ptCount val="3"/>
                <c:pt idx="0">
                  <c:v>26000</c:v>
                </c:pt>
                <c:pt idx="1">
                  <c:v>3821.9236366550876</c:v>
                </c:pt>
                <c:pt idx="2">
                  <c:v>0</c:v>
                </c:pt>
              </c:numCache>
            </c:numRef>
          </c:val>
          <c:extLst>
            <c:ext xmlns:c16="http://schemas.microsoft.com/office/drawing/2014/chart" uri="{C3380CC4-5D6E-409C-BE32-E72D297353CC}">
              <c16:uniqueId val="{00000006-BDFE-4955-B7EF-34A0709E68CD}"/>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5.2151446735362601E-2"/>
          <c:y val="0.77591326550372397"/>
          <c:w val="0.88783856198122779"/>
          <c:h val="0.19969649840071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 Speed vs Robot Model Parameters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ModelInputSensitivity!$A$1</c:f>
              <c:strCache>
                <c:ptCount val="1"/>
                <c:pt idx="0">
                  <c:v>Technology readiness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ModelInputSensitivity!$H$2:$H$10</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ModelInputSensitivity!$E$2:$E$10</c:f>
              <c:numCache>
                <c:formatCode>0.00</c:formatCode>
                <c:ptCount val="9"/>
                <c:pt idx="0">
                  <c:v>0.30362894361543336</c:v>
                </c:pt>
                <c:pt idx="1">
                  <c:v>0.50918243748356329</c:v>
                </c:pt>
                <c:pt idx="2">
                  <c:v>0.85389341198670998</c:v>
                </c:pt>
                <c:pt idx="3">
                  <c:v>1.4319699686378955</c:v>
                </c:pt>
                <c:pt idx="4">
                  <c:v>2.4013980694732537</c:v>
                </c:pt>
                <c:pt idx="5">
                  <c:v>4.0271184552531007</c:v>
                </c:pt>
                <c:pt idx="6">
                  <c:v>6.75343386787908</c:v>
                </c:pt>
                <c:pt idx="7">
                  <c:v>11.325435175198921</c:v>
                </c:pt>
                <c:pt idx="8">
                  <c:v>18.992631662196889</c:v>
                </c:pt>
              </c:numCache>
            </c:numRef>
          </c:yVal>
          <c:smooth val="0"/>
          <c:extLst>
            <c:ext xmlns:c16="http://schemas.microsoft.com/office/drawing/2014/chart" uri="{C3380CC4-5D6E-409C-BE32-E72D297353CC}">
              <c16:uniqueId val="{00000001-FBDB-4069-B525-DED8B3DE40F6}"/>
            </c:ext>
          </c:extLst>
        </c:ser>
        <c:ser>
          <c:idx val="3"/>
          <c:order val="1"/>
          <c:tx>
            <c:strRef>
              <c:f>ModelInputSensitivity!$B$11</c:f>
              <c:strCache>
                <c:ptCount val="1"/>
                <c:pt idx="0">
                  <c:v>Company Acceptance</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ModelInputSensitivity!$B$12:$B$21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ModelInputSensitivity!$E$12:$E$21</c:f>
              <c:numCache>
                <c:formatCode>0.00</c:formatCode>
                <c:ptCount val="10"/>
                <c:pt idx="0">
                  <c:v>2.4013980694732537</c:v>
                </c:pt>
                <c:pt idx="1">
                  <c:v>2.4013980694732537</c:v>
                </c:pt>
                <c:pt idx="2">
                  <c:v>2.4013980694732537</c:v>
                </c:pt>
                <c:pt idx="3">
                  <c:v>2.4013980694732537</c:v>
                </c:pt>
                <c:pt idx="4">
                  <c:v>2.4013980694732537</c:v>
                </c:pt>
                <c:pt idx="5">
                  <c:v>2.4013980694732537</c:v>
                </c:pt>
                <c:pt idx="6">
                  <c:v>2.4013980694732537</c:v>
                </c:pt>
                <c:pt idx="7">
                  <c:v>2.4013980694732537</c:v>
                </c:pt>
                <c:pt idx="8">
                  <c:v>2.4013980694732537</c:v>
                </c:pt>
                <c:pt idx="9">
                  <c:v>2.4013980694732537</c:v>
                </c:pt>
              </c:numCache>
            </c:numRef>
          </c:yVal>
          <c:smooth val="0"/>
          <c:extLst>
            <c:ext xmlns:c16="http://schemas.microsoft.com/office/drawing/2014/chart" uri="{C3380CC4-5D6E-409C-BE32-E72D297353CC}">
              <c16:uniqueId val="{00000003-FBDB-4069-B525-DED8B3DE40F6}"/>
            </c:ext>
          </c:extLst>
        </c:ser>
        <c:ser>
          <c:idx val="5"/>
          <c:order val="2"/>
          <c:tx>
            <c:strRef>
              <c:f>ModelInputSensitivity!$C$22</c:f>
              <c:strCache>
                <c:ptCount val="1"/>
                <c:pt idx="0">
                  <c:v>Mission Similarity</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ModelInputSensitivity!$C$23:$C$32</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ModelInputSensitivity!$E$23:$E$32</c:f>
              <c:numCache>
                <c:formatCode>0.00</c:formatCode>
                <c:ptCount val="10"/>
                <c:pt idx="0">
                  <c:v>0.30017475868415672</c:v>
                </c:pt>
                <c:pt idx="1">
                  <c:v>0.60034951736831343</c:v>
                </c:pt>
                <c:pt idx="2">
                  <c:v>0.90052427605246999</c:v>
                </c:pt>
                <c:pt idx="3">
                  <c:v>1.2006990347366269</c:v>
                </c:pt>
                <c:pt idx="4">
                  <c:v>1.5008737934207834</c:v>
                </c:pt>
                <c:pt idx="5">
                  <c:v>1.80104855210494</c:v>
                </c:pt>
                <c:pt idx="6">
                  <c:v>2.1012233107890967</c:v>
                </c:pt>
                <c:pt idx="7">
                  <c:v>2.4013980694732537</c:v>
                </c:pt>
                <c:pt idx="8">
                  <c:v>2.7015728281574103</c:v>
                </c:pt>
                <c:pt idx="9">
                  <c:v>3.0017475868415668</c:v>
                </c:pt>
              </c:numCache>
            </c:numRef>
          </c:yVal>
          <c:smooth val="0"/>
          <c:extLst>
            <c:ext xmlns:c16="http://schemas.microsoft.com/office/drawing/2014/chart" uri="{C3380CC4-5D6E-409C-BE32-E72D297353CC}">
              <c16:uniqueId val="{00000005-FBDB-4069-B525-DED8B3DE40F6}"/>
            </c:ext>
          </c:extLst>
        </c:ser>
        <c:ser>
          <c:idx val="7"/>
          <c:order val="3"/>
          <c:tx>
            <c:strRef>
              <c:f>ModelInputSensitivity!$D$33</c:f>
              <c:strCache>
                <c:ptCount val="1"/>
                <c:pt idx="0">
                  <c:v>Misson Determinism</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ModelInputSensitivity!$D$34:$D$43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ModelInputSensitivity!$E$34:$E$43</c:f>
              <c:numCache>
                <c:formatCode>0.00</c:formatCode>
                <c:ptCount val="10"/>
                <c:pt idx="0">
                  <c:v>0.40023301157887564</c:v>
                </c:pt>
                <c:pt idx="1">
                  <c:v>0.80046602315775128</c:v>
                </c:pt>
                <c:pt idx="2">
                  <c:v>1.2006990347366269</c:v>
                </c:pt>
                <c:pt idx="3">
                  <c:v>1.6009320463155026</c:v>
                </c:pt>
                <c:pt idx="4">
                  <c:v>2.001165057894378</c:v>
                </c:pt>
                <c:pt idx="5">
                  <c:v>2.4013980694732537</c:v>
                </c:pt>
                <c:pt idx="6">
                  <c:v>2.801631081052129</c:v>
                </c:pt>
                <c:pt idx="7">
                  <c:v>3.2018640926310051</c:v>
                </c:pt>
                <c:pt idx="8">
                  <c:v>3.6020971042098804</c:v>
                </c:pt>
                <c:pt idx="9">
                  <c:v>4.0023301157887561</c:v>
                </c:pt>
              </c:numCache>
            </c:numRef>
          </c:yVal>
          <c:smooth val="0"/>
          <c:extLst>
            <c:ext xmlns:c16="http://schemas.microsoft.com/office/drawing/2014/chart" uri="{C3380CC4-5D6E-409C-BE32-E72D297353CC}">
              <c16:uniqueId val="{00000007-FBDB-4069-B525-DED8B3DE40F6}"/>
            </c:ext>
          </c:extLst>
        </c:ser>
        <c:ser>
          <c:idx val="0"/>
          <c:order val="4"/>
          <c:tx>
            <c:strRef>
              <c:f>ModelInputSensitivity!$U$25</c:f>
              <c:strCache>
                <c:ptCount val="1"/>
                <c:pt idx="0">
                  <c:v>Baseline values</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xVal>
            <c:numRef>
              <c:f>ModelInputSensitivity!$U$27:$U$36</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ModelInputSensitivity!$V$27:$V$36</c:f>
              <c:numCache>
                <c:formatCode>General</c:formatCode>
                <c:ptCount val="10"/>
                <c:pt idx="0">
                  <c:v>3</c:v>
                </c:pt>
                <c:pt idx="1">
                  <c:v>3</c:v>
                </c:pt>
                <c:pt idx="2">
                  <c:v>3</c:v>
                </c:pt>
                <c:pt idx="3">
                  <c:v>3</c:v>
                </c:pt>
                <c:pt idx="4">
                  <c:v>3</c:v>
                </c:pt>
                <c:pt idx="5">
                  <c:v>3</c:v>
                </c:pt>
                <c:pt idx="6">
                  <c:v>3</c:v>
                </c:pt>
                <c:pt idx="7">
                  <c:v>3</c:v>
                </c:pt>
                <c:pt idx="8">
                  <c:v>3</c:v>
                </c:pt>
                <c:pt idx="9">
                  <c:v>3</c:v>
                </c:pt>
              </c:numCache>
            </c:numRef>
          </c:yVal>
          <c:smooth val="0"/>
          <c:extLst>
            <c:ext xmlns:c16="http://schemas.microsoft.com/office/drawing/2014/chart" uri="{C3380CC4-5D6E-409C-BE32-E72D297353CC}">
              <c16:uniqueId val="{00000021-FBDB-4069-B525-DED8B3DE40F6}"/>
            </c:ext>
          </c:extLst>
        </c:ser>
        <c:dLbls>
          <c:showLegendKey val="0"/>
          <c:showVal val="0"/>
          <c:showCatName val="0"/>
          <c:showSerName val="0"/>
          <c:showPercent val="0"/>
          <c:showBubbleSize val="0"/>
        </c:dLbls>
        <c:axId val="844068000"/>
        <c:axId val="844069080"/>
      </c:scatterChart>
      <c:valAx>
        <c:axId val="84406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Parameter</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9080"/>
        <c:crosses val="autoZero"/>
        <c:crossBetween val="midCat"/>
      </c:valAx>
      <c:valAx>
        <c:axId val="844069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AGV</a:t>
                </a:r>
                <a:r>
                  <a:rPr lang="en-CA" baseline="0"/>
                  <a:t> speed (km/hr)</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8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Disengagements per km vs Robot Model Parameters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ModelInputSensitivity!$A$1</c:f>
              <c:strCache>
                <c:ptCount val="1"/>
                <c:pt idx="0">
                  <c:v>Technology readiness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ModelInputSensitivity!$H$2:$H$10</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ModelInputSensitivity!$G$2:$G$10</c:f>
              <c:numCache>
                <c:formatCode>0.00</c:formatCode>
                <c:ptCount val="9"/>
                <c:pt idx="0">
                  <c:v>4.1379100903453514</c:v>
                </c:pt>
                <c:pt idx="1">
                  <c:v>1.4010064220978744</c:v>
                </c:pt>
                <c:pt idx="2">
                  <c:v>0.47435032465765103</c:v>
                </c:pt>
                <c:pt idx="3">
                  <c:v>0.16060471026670267</c:v>
                </c:pt>
                <c:pt idx="4">
                  <c:v>5.4377264268697406E-2</c:v>
                </c:pt>
                <c:pt idx="5">
                  <c:v>1.8410959830739128E-2</c:v>
                </c:pt>
                <c:pt idx="6">
                  <c:v>6.2335508497476152E-3</c:v>
                </c:pt>
                <c:pt idx="7">
                  <c:v>2.1105448359901866E-3</c:v>
                </c:pt>
                <c:pt idx="8">
                  <c:v>7.1458461029562219E-4</c:v>
                </c:pt>
              </c:numCache>
            </c:numRef>
          </c:yVal>
          <c:smooth val="0"/>
          <c:extLst>
            <c:ext xmlns:c16="http://schemas.microsoft.com/office/drawing/2014/chart" uri="{C3380CC4-5D6E-409C-BE32-E72D297353CC}">
              <c16:uniqueId val="{00000000-E52D-4CB2-BDAE-D66D5080384F}"/>
            </c:ext>
          </c:extLst>
        </c:ser>
        <c:ser>
          <c:idx val="3"/>
          <c:order val="1"/>
          <c:tx>
            <c:strRef>
              <c:f>ModelInputSensitivity!$B$11</c:f>
              <c:strCache>
                <c:ptCount val="1"/>
                <c:pt idx="0">
                  <c:v>Company Acceptance</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ModelInputSensitivity!$B$12:$B$21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ModelInputSensitivity!$G$12:$G$21</c:f>
              <c:numCache>
                <c:formatCode>0.00</c:formatCode>
                <c:ptCount val="10"/>
                <c:pt idx="0">
                  <c:v>0.38064084988088182</c:v>
                </c:pt>
                <c:pt idx="1">
                  <c:v>0.19032042494044091</c:v>
                </c:pt>
                <c:pt idx="2">
                  <c:v>0.12688028329362727</c:v>
                </c:pt>
                <c:pt idx="3">
                  <c:v>9.5160212470220454E-2</c:v>
                </c:pt>
                <c:pt idx="4">
                  <c:v>7.6128169976176358E-2</c:v>
                </c:pt>
                <c:pt idx="5">
                  <c:v>6.3440141646813636E-2</c:v>
                </c:pt>
                <c:pt idx="6">
                  <c:v>5.4377264268697406E-2</c:v>
                </c:pt>
                <c:pt idx="7">
                  <c:v>4.7580106235110227E-2</c:v>
                </c:pt>
                <c:pt idx="8">
                  <c:v>4.2293427764542417E-2</c:v>
                </c:pt>
                <c:pt idx="9">
                  <c:v>3.8064084988088179E-2</c:v>
                </c:pt>
              </c:numCache>
            </c:numRef>
          </c:yVal>
          <c:smooth val="0"/>
          <c:extLst>
            <c:ext xmlns:c16="http://schemas.microsoft.com/office/drawing/2014/chart" uri="{C3380CC4-5D6E-409C-BE32-E72D297353CC}">
              <c16:uniqueId val="{00000001-E52D-4CB2-BDAE-D66D5080384F}"/>
            </c:ext>
          </c:extLst>
        </c:ser>
        <c:ser>
          <c:idx val="5"/>
          <c:order val="2"/>
          <c:tx>
            <c:strRef>
              <c:f>ModelInputSensitivity!$C$22</c:f>
              <c:strCache>
                <c:ptCount val="1"/>
                <c:pt idx="0">
                  <c:v>Mission Similarity</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ModelInputSensitivity!$C$23:$C$32</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ModelInputSensitivity!$G$23:$G$32</c:f>
              <c:numCache>
                <c:formatCode>0.00</c:formatCode>
                <c:ptCount val="10"/>
                <c:pt idx="0">
                  <c:v>5.4377264268697406E-2</c:v>
                </c:pt>
                <c:pt idx="1">
                  <c:v>5.4377264268697406E-2</c:v>
                </c:pt>
                <c:pt idx="2">
                  <c:v>5.4377264268697406E-2</c:v>
                </c:pt>
                <c:pt idx="3">
                  <c:v>5.4377264268697406E-2</c:v>
                </c:pt>
                <c:pt idx="4">
                  <c:v>5.4377264268697406E-2</c:v>
                </c:pt>
                <c:pt idx="5">
                  <c:v>5.4377264268697406E-2</c:v>
                </c:pt>
                <c:pt idx="6">
                  <c:v>5.4377264268697406E-2</c:v>
                </c:pt>
                <c:pt idx="7">
                  <c:v>5.4377264268697406E-2</c:v>
                </c:pt>
                <c:pt idx="8">
                  <c:v>5.4377264268697406E-2</c:v>
                </c:pt>
                <c:pt idx="9">
                  <c:v>5.4377264268697406E-2</c:v>
                </c:pt>
              </c:numCache>
            </c:numRef>
          </c:yVal>
          <c:smooth val="0"/>
          <c:extLst>
            <c:ext xmlns:c16="http://schemas.microsoft.com/office/drawing/2014/chart" uri="{C3380CC4-5D6E-409C-BE32-E72D297353CC}">
              <c16:uniqueId val="{00000002-E52D-4CB2-BDAE-D66D5080384F}"/>
            </c:ext>
          </c:extLst>
        </c:ser>
        <c:ser>
          <c:idx val="7"/>
          <c:order val="3"/>
          <c:tx>
            <c:strRef>
              <c:f>ModelInputSensitivity!$D$33</c:f>
              <c:strCache>
                <c:ptCount val="1"/>
                <c:pt idx="0">
                  <c:v>Misson Determinism</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ModelInputSensitivity!$D$34:$D$43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ModelInputSensitivity!$G$34:$G$43</c:f>
              <c:numCache>
                <c:formatCode>0.00</c:formatCode>
                <c:ptCount val="10"/>
                <c:pt idx="0">
                  <c:v>0.32626358561218438</c:v>
                </c:pt>
                <c:pt idx="1">
                  <c:v>0.16313179280609219</c:v>
                </c:pt>
                <c:pt idx="2">
                  <c:v>0.10875452853739481</c:v>
                </c:pt>
                <c:pt idx="3">
                  <c:v>8.1565896403046095E-2</c:v>
                </c:pt>
                <c:pt idx="4">
                  <c:v>6.5252717122436882E-2</c:v>
                </c:pt>
                <c:pt idx="5">
                  <c:v>5.4377264268697406E-2</c:v>
                </c:pt>
                <c:pt idx="6">
                  <c:v>4.6609083658883492E-2</c:v>
                </c:pt>
                <c:pt idx="7">
                  <c:v>4.0782948201523048E-2</c:v>
                </c:pt>
                <c:pt idx="8">
                  <c:v>3.6251509512464933E-2</c:v>
                </c:pt>
                <c:pt idx="9">
                  <c:v>3.2626358561218441E-2</c:v>
                </c:pt>
              </c:numCache>
            </c:numRef>
          </c:yVal>
          <c:smooth val="0"/>
          <c:extLst>
            <c:ext xmlns:c16="http://schemas.microsoft.com/office/drawing/2014/chart" uri="{C3380CC4-5D6E-409C-BE32-E72D297353CC}">
              <c16:uniqueId val="{00000003-E52D-4CB2-BDAE-D66D5080384F}"/>
            </c:ext>
          </c:extLst>
        </c:ser>
        <c:ser>
          <c:idx val="0"/>
          <c:order val="4"/>
          <c:tx>
            <c:strRef>
              <c:f>ModelInputSensitivity!$U$25</c:f>
              <c:strCache>
                <c:ptCount val="1"/>
                <c:pt idx="0">
                  <c:v>Baseline values</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xVal>
            <c:numRef>
              <c:f>ModelInputSensitivity!$U$27:$U$36</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ModelInputSensitivity!$X$27:$X$36</c:f>
              <c:numCache>
                <c:formatCode>General</c:formatCode>
                <c:ptCount val="10"/>
                <c:pt idx="0">
                  <c:v>0.01</c:v>
                </c:pt>
                <c:pt idx="1">
                  <c:v>0.01</c:v>
                </c:pt>
                <c:pt idx="2">
                  <c:v>0.01</c:v>
                </c:pt>
                <c:pt idx="3">
                  <c:v>0.01</c:v>
                </c:pt>
                <c:pt idx="4">
                  <c:v>0.01</c:v>
                </c:pt>
                <c:pt idx="5">
                  <c:v>0.01</c:v>
                </c:pt>
                <c:pt idx="6">
                  <c:v>0.01</c:v>
                </c:pt>
                <c:pt idx="7">
                  <c:v>0.01</c:v>
                </c:pt>
                <c:pt idx="8">
                  <c:v>0.01</c:v>
                </c:pt>
                <c:pt idx="9">
                  <c:v>0.01</c:v>
                </c:pt>
              </c:numCache>
            </c:numRef>
          </c:yVal>
          <c:smooth val="0"/>
          <c:extLst>
            <c:ext xmlns:c16="http://schemas.microsoft.com/office/drawing/2014/chart" uri="{C3380CC4-5D6E-409C-BE32-E72D297353CC}">
              <c16:uniqueId val="{00000004-E52D-4CB2-BDAE-D66D5080384F}"/>
            </c:ext>
          </c:extLst>
        </c:ser>
        <c:dLbls>
          <c:showLegendKey val="0"/>
          <c:showVal val="0"/>
          <c:showCatName val="0"/>
          <c:showSerName val="0"/>
          <c:showPercent val="0"/>
          <c:showBubbleSize val="0"/>
        </c:dLbls>
        <c:axId val="844068000"/>
        <c:axId val="844069080"/>
      </c:scatterChart>
      <c:valAx>
        <c:axId val="84406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Parameter</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9080"/>
        <c:crosses val="autoZero"/>
        <c:crossBetween val="midCat"/>
      </c:valAx>
      <c:valAx>
        <c:axId val="844069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AGV</a:t>
                </a:r>
                <a:r>
                  <a:rPr lang="en-CA" baseline="0"/>
                  <a:t> speed (km/hr)</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8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Disengagements Time</a:t>
            </a:r>
            <a:r>
              <a:rPr lang="en-CA" baseline="0"/>
              <a:t> </a:t>
            </a:r>
            <a:r>
              <a:rPr lang="en-CA"/>
              <a:t>vs Robot Model Parameters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ModelInputSensitivity!$A$1</c:f>
              <c:strCache>
                <c:ptCount val="1"/>
                <c:pt idx="0">
                  <c:v>Technology readiness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ModelInputSensitivity!$H$2:$H$10</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ModelInputSensitivity!$F$2:$F$10</c:f>
              <c:numCache>
                <c:formatCode>0.00</c:formatCode>
                <c:ptCount val="9"/>
                <c:pt idx="0">
                  <c:v>123.31223846651093</c:v>
                </c:pt>
                <c:pt idx="1">
                  <c:v>62.534578695598213</c:v>
                </c:pt>
                <c:pt idx="2">
                  <c:v>31.712777103612453</c:v>
                </c:pt>
                <c:pt idx="3">
                  <c:v>16.082306023342515</c:v>
                </c:pt>
                <c:pt idx="4">
                  <c:v>8.1557211524996589</c:v>
                </c:pt>
                <c:pt idx="5">
                  <c:v>4.135960814374922</c:v>
                </c:pt>
                <c:pt idx="6">
                  <c:v>2.0974444243722039</c:v>
                </c:pt>
                <c:pt idx="7">
                  <c:v>1.0636641183929878</c:v>
                </c:pt>
                <c:pt idx="8">
                  <c:v>0.53940945638899163</c:v>
                </c:pt>
              </c:numCache>
            </c:numRef>
          </c:yVal>
          <c:smooth val="0"/>
          <c:extLst>
            <c:ext xmlns:c16="http://schemas.microsoft.com/office/drawing/2014/chart" uri="{C3380CC4-5D6E-409C-BE32-E72D297353CC}">
              <c16:uniqueId val="{00000000-9FCD-464C-AA4C-647D74F9F619}"/>
            </c:ext>
          </c:extLst>
        </c:ser>
        <c:ser>
          <c:idx val="3"/>
          <c:order val="1"/>
          <c:tx>
            <c:strRef>
              <c:f>ModelInputSensitivity!$B$11</c:f>
              <c:strCache>
                <c:ptCount val="1"/>
                <c:pt idx="0">
                  <c:v>Company Acceptance</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ModelInputSensitivity!$B$12:$B$21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ModelInputSensitivity!$F$12:$F$21</c:f>
              <c:numCache>
                <c:formatCode>0.00</c:formatCode>
                <c:ptCount val="10"/>
                <c:pt idx="0">
                  <c:v>8.1557211524996589</c:v>
                </c:pt>
                <c:pt idx="1">
                  <c:v>8.1557211524996589</c:v>
                </c:pt>
                <c:pt idx="2">
                  <c:v>8.1557211524996589</c:v>
                </c:pt>
                <c:pt idx="3">
                  <c:v>8.1557211524996589</c:v>
                </c:pt>
                <c:pt idx="4">
                  <c:v>8.1557211524996589</c:v>
                </c:pt>
                <c:pt idx="5">
                  <c:v>8.1557211524996589</c:v>
                </c:pt>
                <c:pt idx="6">
                  <c:v>8.1557211524996589</c:v>
                </c:pt>
                <c:pt idx="7">
                  <c:v>8.1557211524996589</c:v>
                </c:pt>
                <c:pt idx="8">
                  <c:v>8.1557211524996589</c:v>
                </c:pt>
                <c:pt idx="9">
                  <c:v>8.1557211524996589</c:v>
                </c:pt>
              </c:numCache>
            </c:numRef>
          </c:yVal>
          <c:smooth val="0"/>
          <c:extLst>
            <c:ext xmlns:c16="http://schemas.microsoft.com/office/drawing/2014/chart" uri="{C3380CC4-5D6E-409C-BE32-E72D297353CC}">
              <c16:uniqueId val="{00000001-9FCD-464C-AA4C-647D74F9F619}"/>
            </c:ext>
          </c:extLst>
        </c:ser>
        <c:ser>
          <c:idx val="5"/>
          <c:order val="2"/>
          <c:tx>
            <c:strRef>
              <c:f>ModelInputSensitivity!$C$22</c:f>
              <c:strCache>
                <c:ptCount val="1"/>
                <c:pt idx="0">
                  <c:v>Mission Similarity</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ModelInputSensitivity!$C$23:$C$32</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ModelInputSensitivity!$F$23:$F$32</c:f>
              <c:numCache>
                <c:formatCode>0.00</c:formatCode>
                <c:ptCount val="10"/>
                <c:pt idx="0">
                  <c:v>8.1557211524996589</c:v>
                </c:pt>
                <c:pt idx="1">
                  <c:v>8.1557211524996589</c:v>
                </c:pt>
                <c:pt idx="2">
                  <c:v>8.1557211524996589</c:v>
                </c:pt>
                <c:pt idx="3">
                  <c:v>8.1557211524996589</c:v>
                </c:pt>
                <c:pt idx="4">
                  <c:v>8.1557211524996589</c:v>
                </c:pt>
                <c:pt idx="5">
                  <c:v>8.1557211524996589</c:v>
                </c:pt>
                <c:pt idx="6">
                  <c:v>8.1557211524996589</c:v>
                </c:pt>
                <c:pt idx="7">
                  <c:v>8.1557211524996589</c:v>
                </c:pt>
                <c:pt idx="8">
                  <c:v>8.1557211524996589</c:v>
                </c:pt>
                <c:pt idx="9">
                  <c:v>8.1557211524996589</c:v>
                </c:pt>
              </c:numCache>
            </c:numRef>
          </c:yVal>
          <c:smooth val="0"/>
          <c:extLst>
            <c:ext xmlns:c16="http://schemas.microsoft.com/office/drawing/2014/chart" uri="{C3380CC4-5D6E-409C-BE32-E72D297353CC}">
              <c16:uniqueId val="{00000002-9FCD-464C-AA4C-647D74F9F619}"/>
            </c:ext>
          </c:extLst>
        </c:ser>
        <c:ser>
          <c:idx val="7"/>
          <c:order val="3"/>
          <c:tx>
            <c:strRef>
              <c:f>ModelInputSensitivity!$D$33</c:f>
              <c:strCache>
                <c:ptCount val="1"/>
                <c:pt idx="0">
                  <c:v>Misson Determinism</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ModelInputSensitivity!$D$34:$D$43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ModelInputSensitivity!$F$34:$F$43</c:f>
              <c:numCache>
                <c:formatCode>0.00</c:formatCode>
                <c:ptCount val="10"/>
                <c:pt idx="0">
                  <c:v>8.1557211524996589</c:v>
                </c:pt>
                <c:pt idx="1">
                  <c:v>8.1557211524996589</c:v>
                </c:pt>
                <c:pt idx="2">
                  <c:v>8.1557211524996589</c:v>
                </c:pt>
                <c:pt idx="3">
                  <c:v>8.1557211524996589</c:v>
                </c:pt>
                <c:pt idx="4">
                  <c:v>8.1557211524996589</c:v>
                </c:pt>
                <c:pt idx="5">
                  <c:v>8.1557211524996589</c:v>
                </c:pt>
                <c:pt idx="6">
                  <c:v>8.1557211524996589</c:v>
                </c:pt>
                <c:pt idx="7">
                  <c:v>8.1557211524996589</c:v>
                </c:pt>
                <c:pt idx="8">
                  <c:v>8.1557211524996589</c:v>
                </c:pt>
                <c:pt idx="9">
                  <c:v>8.1557211524996589</c:v>
                </c:pt>
              </c:numCache>
            </c:numRef>
          </c:yVal>
          <c:smooth val="0"/>
          <c:extLst>
            <c:ext xmlns:c16="http://schemas.microsoft.com/office/drawing/2014/chart" uri="{C3380CC4-5D6E-409C-BE32-E72D297353CC}">
              <c16:uniqueId val="{00000003-9FCD-464C-AA4C-647D74F9F619}"/>
            </c:ext>
          </c:extLst>
        </c:ser>
        <c:ser>
          <c:idx val="0"/>
          <c:order val="4"/>
          <c:tx>
            <c:strRef>
              <c:f>ModelInputSensitivity!$U$25</c:f>
              <c:strCache>
                <c:ptCount val="1"/>
                <c:pt idx="0">
                  <c:v>Baseline values</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xVal>
            <c:numRef>
              <c:f>ModelInputSensitivity!$U$27:$U$36</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ModelInputSensitivity!$W$27:$W$36</c:f>
              <c:numCache>
                <c:formatCode>General</c:formatCode>
                <c:ptCount val="10"/>
                <c:pt idx="0">
                  <c:v>5</c:v>
                </c:pt>
                <c:pt idx="1">
                  <c:v>5</c:v>
                </c:pt>
                <c:pt idx="2">
                  <c:v>5</c:v>
                </c:pt>
                <c:pt idx="3">
                  <c:v>5</c:v>
                </c:pt>
                <c:pt idx="4">
                  <c:v>5</c:v>
                </c:pt>
                <c:pt idx="5">
                  <c:v>5</c:v>
                </c:pt>
                <c:pt idx="6">
                  <c:v>5</c:v>
                </c:pt>
                <c:pt idx="7">
                  <c:v>5</c:v>
                </c:pt>
                <c:pt idx="8">
                  <c:v>5</c:v>
                </c:pt>
                <c:pt idx="9">
                  <c:v>5</c:v>
                </c:pt>
              </c:numCache>
            </c:numRef>
          </c:yVal>
          <c:smooth val="0"/>
          <c:extLst>
            <c:ext xmlns:c16="http://schemas.microsoft.com/office/drawing/2014/chart" uri="{C3380CC4-5D6E-409C-BE32-E72D297353CC}">
              <c16:uniqueId val="{00000004-9FCD-464C-AA4C-647D74F9F619}"/>
            </c:ext>
          </c:extLst>
        </c:ser>
        <c:dLbls>
          <c:showLegendKey val="0"/>
          <c:showVal val="0"/>
          <c:showCatName val="0"/>
          <c:showSerName val="0"/>
          <c:showPercent val="0"/>
          <c:showBubbleSize val="0"/>
        </c:dLbls>
        <c:axId val="844068000"/>
        <c:axId val="844069080"/>
      </c:scatterChart>
      <c:valAx>
        <c:axId val="84406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Parameter</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9080"/>
        <c:crosses val="autoZero"/>
        <c:crossBetween val="midCat"/>
      </c:valAx>
      <c:valAx>
        <c:axId val="844069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AGV</a:t>
                </a:r>
                <a:r>
                  <a:rPr lang="en-CA" baseline="0"/>
                  <a:t> speed (km/hr)</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8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Senstivity</a:t>
            </a:r>
            <a:r>
              <a:rPr lang="en-CA" baseline="0"/>
              <a:t> to Mission </a:t>
            </a:r>
            <a:r>
              <a:rPr lang="en-CA"/>
              <a:t>Input Assumptions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ModelOutputSensitivity!$A$19</c:f>
              <c:strCache>
                <c:ptCount val="1"/>
                <c:pt idx="0">
                  <c:v>Company acceptance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ModelOutputSensitivity!$A$20:$A$29</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ModelOutputSensitivity!$B$20:$B$29</c:f>
              <c:numCache>
                <c:formatCode>_-* #,##0.00\ [$CHF-100C]_-;\-* #,##0.00\ [$CHF-100C]_-;_-* "-"??\ [$CHF-100C]_-;_-@_-</c:formatCode>
                <c:ptCount val="10"/>
                <c:pt idx="0">
                  <c:v>849.1267821900467</c:v>
                </c:pt>
                <c:pt idx="1">
                  <c:v>1005.1786871988046</c:v>
                </c:pt>
                <c:pt idx="2">
                  <c:v>1057.1959888683969</c:v>
                </c:pt>
                <c:pt idx="3">
                  <c:v>1083.2046397031861</c:v>
                </c:pt>
                <c:pt idx="4">
                  <c:v>1098.8098302040587</c:v>
                </c:pt>
                <c:pt idx="5">
                  <c:v>1109.2132905379747</c:v>
                </c:pt>
                <c:pt idx="6">
                  <c:v>1116.6443336336306</c:v>
                </c:pt>
                <c:pt idx="7">
                  <c:v>1122.2176159553687</c:v>
                </c:pt>
                <c:pt idx="8">
                  <c:v>1126.5523910945069</c:v>
                </c:pt>
                <c:pt idx="9">
                  <c:v>1130.0202112058078</c:v>
                </c:pt>
              </c:numCache>
            </c:numRef>
          </c:yVal>
          <c:smooth val="0"/>
          <c:extLst>
            <c:ext xmlns:c16="http://schemas.microsoft.com/office/drawing/2014/chart" uri="{C3380CC4-5D6E-409C-BE32-E72D297353CC}">
              <c16:uniqueId val="{00000001-4BA1-4919-8F97-A2456E3BAFAE}"/>
            </c:ext>
          </c:extLst>
        </c:ser>
        <c:ser>
          <c:idx val="0"/>
          <c:order val="1"/>
          <c:tx>
            <c:strRef>
              <c:f>ModelOutputSensitivity!$A$31</c:f>
              <c:strCache>
                <c:ptCount val="1"/>
                <c:pt idx="0">
                  <c:v>Mission Similarity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ModelOutputSensitivity!$A$32:$A$41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ModelOutputSensitivity!$B$32:$B$41</c:f>
              <c:numCache>
                <c:formatCode>_-* #,##0.00\ [$CHF-100C]_-;\-* #,##0.00\ [$CHF-100C]_-;_-* "-"??\ [$CHF-100C]_-;_-@_-</c:formatCode>
                <c:ptCount val="10"/>
                <c:pt idx="0">
                  <c:v>-130002.65604644013</c:v>
                </c:pt>
                <c:pt idx="1">
                  <c:v>319.67523010741735</c:v>
                </c:pt>
                <c:pt idx="2">
                  <c:v>319.67523010741735</c:v>
                </c:pt>
                <c:pt idx="3">
                  <c:v>319.67523010741735</c:v>
                </c:pt>
                <c:pt idx="4">
                  <c:v>319.67523010741735</c:v>
                </c:pt>
                <c:pt idx="5">
                  <c:v>319.67523010741735</c:v>
                </c:pt>
                <c:pt idx="6">
                  <c:v>319.67523010741735</c:v>
                </c:pt>
                <c:pt idx="7">
                  <c:v>319.67523010741735</c:v>
                </c:pt>
                <c:pt idx="8">
                  <c:v>319.67523010741735</c:v>
                </c:pt>
                <c:pt idx="9">
                  <c:v>319.67523010741735</c:v>
                </c:pt>
              </c:numCache>
            </c:numRef>
          </c:yVal>
          <c:smooth val="0"/>
          <c:extLst>
            <c:ext xmlns:c16="http://schemas.microsoft.com/office/drawing/2014/chart" uri="{C3380CC4-5D6E-409C-BE32-E72D297353CC}">
              <c16:uniqueId val="{00000002-4BA1-4919-8F97-A2456E3BAFAE}"/>
            </c:ext>
          </c:extLst>
        </c:ser>
        <c:ser>
          <c:idx val="2"/>
          <c:order val="2"/>
          <c:tx>
            <c:strRef>
              <c:f>ModelOutputSensitivity!$A$43</c:f>
              <c:strCache>
                <c:ptCount val="1"/>
                <c:pt idx="0">
                  <c:v>Mission Determinism</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ModelOutputSensitivity!$A$44:$A$53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ModelOutputSensitivity!$B$44:$B$53</c:f>
              <c:numCache>
                <c:formatCode>_-* #,##0.00\ [$CHF-100C]_-;\-* #,##0.00\ [$CHF-100C]_-;_-* "-"??\ [$CHF-100C]_-;_-@_-</c:formatCode>
                <c:ptCount val="10"/>
                <c:pt idx="0">
                  <c:v>893.71304076397655</c:v>
                </c:pt>
                <c:pt idx="1">
                  <c:v>1027.471816485772</c:v>
                </c:pt>
                <c:pt idx="2">
                  <c:v>1072.0580750597019</c:v>
                </c:pt>
                <c:pt idx="3">
                  <c:v>1094.351204346664</c:v>
                </c:pt>
                <c:pt idx="4">
                  <c:v>1107.7270819188439</c:v>
                </c:pt>
                <c:pt idx="5">
                  <c:v>1116.6443336336306</c:v>
                </c:pt>
                <c:pt idx="6">
                  <c:v>1123.0137991441984</c:v>
                </c:pt>
                <c:pt idx="7">
                  <c:v>1127.7908982771135</c:v>
                </c:pt>
                <c:pt idx="8">
                  <c:v>1131.5064198249374</c:v>
                </c:pt>
                <c:pt idx="9">
                  <c:v>1134.4788370632041</c:v>
                </c:pt>
              </c:numCache>
            </c:numRef>
          </c:yVal>
          <c:smooth val="0"/>
          <c:extLst>
            <c:ext xmlns:c16="http://schemas.microsoft.com/office/drawing/2014/chart" uri="{C3380CC4-5D6E-409C-BE32-E72D297353CC}">
              <c16:uniqueId val="{00000003-4BA1-4919-8F97-A2456E3BAFAE}"/>
            </c:ext>
          </c:extLst>
        </c:ser>
        <c:ser>
          <c:idx val="3"/>
          <c:order val="3"/>
          <c:tx>
            <c:strRef>
              <c:f>ModelOutputSensitivity!$A$8</c:f>
              <c:strCache>
                <c:ptCount val="1"/>
                <c:pt idx="0">
                  <c:v>Technology Readiness</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ModelOutputSensitivity!$C$9:$C$17</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ModelOutputSensitivity!$B$9:$B$17</c:f>
              <c:numCache>
                <c:formatCode>_-* #,##0.00\ [$CHF-100C]_-;\-* #,##0.00\ [$CHF-100C]_-;_-* "-"??\ [$CHF-100C]_-;_-@_-</c:formatCode>
                <c:ptCount val="9"/>
                <c:pt idx="0">
                  <c:v>-30660379.26628283</c:v>
                </c:pt>
                <c:pt idx="1">
                  <c:v>-3608424.0743925855</c:v>
                </c:pt>
                <c:pt idx="2">
                  <c:v>-297607.68853009638</c:v>
                </c:pt>
                <c:pt idx="3">
                  <c:v>-50137.726831554013</c:v>
                </c:pt>
                <c:pt idx="4">
                  <c:v>-7646.8577474220256</c:v>
                </c:pt>
                <c:pt idx="5">
                  <c:v>-351.1280227607607</c:v>
                </c:pt>
                <c:pt idx="6">
                  <c:v>901.55692726733912</c:v>
                </c:pt>
                <c:pt idx="7">
                  <c:v>1116.6443336336306</c:v>
                </c:pt>
                <c:pt idx="8">
                  <c:v>1153.5750817649459</c:v>
                </c:pt>
              </c:numCache>
            </c:numRef>
          </c:yVal>
          <c:smooth val="0"/>
          <c:extLst>
            <c:ext xmlns:c16="http://schemas.microsoft.com/office/drawing/2014/chart" uri="{C3380CC4-5D6E-409C-BE32-E72D297353CC}">
              <c16:uniqueId val="{00000004-4BA1-4919-8F97-A2456E3BAFAE}"/>
            </c:ext>
          </c:extLst>
        </c:ser>
        <c:dLbls>
          <c:showLegendKey val="0"/>
          <c:showVal val="0"/>
          <c:showCatName val="0"/>
          <c:showSerName val="0"/>
          <c:showPercent val="0"/>
          <c:showBubbleSize val="0"/>
        </c:dLbls>
        <c:axId val="659955288"/>
        <c:axId val="659963208"/>
      </c:scatterChart>
      <c:valAx>
        <c:axId val="659955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Sensitivity</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963208"/>
        <c:crosses val="autoZero"/>
        <c:crossBetween val="midCat"/>
      </c:valAx>
      <c:valAx>
        <c:axId val="659963208"/>
        <c:scaling>
          <c:orientation val="minMax"/>
          <c:max val="2000"/>
          <c:min val="-1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Net Present 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 [$CHF-100C]_-;\-* #,##0.00\ [$CHF-100C]_-;_-* &quot;-&quot;??\ [$CHF-100C]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9552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 impact of AGV</a:t>
            </a:r>
            <a:r>
              <a:rPr lang="en-US" baseline="0"/>
              <a:t> Cost on Net Present Value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AssumptionSensitivity!$C$57</c:f>
              <c:strCache>
                <c:ptCount val="1"/>
                <c:pt idx="0">
                  <c:v>NPV</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AssumptionSensitivity!$B$58:$B$64</c:f>
              <c:numCache>
                <c:formatCode>0%</c:formatCode>
                <c:ptCount val="7"/>
                <c:pt idx="0">
                  <c:v>-0.5</c:v>
                </c:pt>
                <c:pt idx="1">
                  <c:v>-0.32608695652173914</c:v>
                </c:pt>
                <c:pt idx="2">
                  <c:v>-0.15217391304347827</c:v>
                </c:pt>
                <c:pt idx="3">
                  <c:v>2.1739130434782608E-2</c:v>
                </c:pt>
                <c:pt idx="4">
                  <c:v>0.19565217391304349</c:v>
                </c:pt>
                <c:pt idx="5">
                  <c:v>0.36956521739130432</c:v>
                </c:pt>
                <c:pt idx="6">
                  <c:v>0.54347826086956519</c:v>
                </c:pt>
              </c:numCache>
            </c:numRef>
          </c:xVal>
          <c:yVal>
            <c:numRef>
              <c:f>AssumptionSensitivity!$C$58:$C$64</c:f>
              <c:numCache>
                <c:formatCode>_-* #,##0.00\ [$CHF-100C]_-;\-* #,##0.00\ [$CHF-100C]_-;_-* "-"??\ [$CHF-100C]_-;_-@_-</c:formatCode>
                <c:ptCount val="7"/>
                <c:pt idx="0">
                  <c:v>54410.776739144007</c:v>
                </c:pt>
                <c:pt idx="1">
                  <c:v>35363.157691524953</c:v>
                </c:pt>
                <c:pt idx="2">
                  <c:v>16315.538643905906</c:v>
                </c:pt>
                <c:pt idx="3">
                  <c:v>-2732.0804037131415</c:v>
                </c:pt>
                <c:pt idx="4">
                  <c:v>-21779.699451332181</c:v>
                </c:pt>
                <c:pt idx="5">
                  <c:v>-40827.318498951237</c:v>
                </c:pt>
                <c:pt idx="6">
                  <c:v>-59874.937546570283</c:v>
                </c:pt>
              </c:numCache>
            </c:numRef>
          </c:yVal>
          <c:smooth val="0"/>
          <c:extLst>
            <c:ext xmlns:c16="http://schemas.microsoft.com/office/drawing/2014/chart" uri="{C3380CC4-5D6E-409C-BE32-E72D297353CC}">
              <c16:uniqueId val="{00000000-AE9E-43FF-8360-ED5296A2E262}"/>
            </c:ext>
          </c:extLst>
        </c:ser>
        <c:dLbls>
          <c:showLegendKey val="0"/>
          <c:showVal val="0"/>
          <c:showCatName val="0"/>
          <c:showSerName val="0"/>
          <c:showPercent val="0"/>
          <c:showBubbleSize val="0"/>
        </c:dLbls>
        <c:axId val="915969712"/>
        <c:axId val="911674992"/>
      </c:scatterChart>
      <c:valAx>
        <c:axId val="9159697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t>
                </a:r>
                <a:r>
                  <a:rPr lang="en-CA" baseline="0"/>
                  <a:t> Change from Baseline</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1674992"/>
        <c:crosses val="autoZero"/>
        <c:crossBetween val="midCat"/>
      </c:valAx>
      <c:valAx>
        <c:axId val="911674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Net</a:t>
                </a:r>
                <a:r>
                  <a:rPr lang="en-CA" baseline="0"/>
                  <a:t> Present Value (CHF)</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 [$CHF-100C]_-;\-* #,##0.00\ [$CHF-100C]_-;_-* &quot;-&quot;??\ [$CHF-100C]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5969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 per km</a:t>
            </a:r>
          </a:p>
        </c:rich>
      </c:tx>
      <c:overlay val="0"/>
      <c:spPr>
        <a:noFill/>
        <a:ln>
          <a:noFill/>
        </a:ln>
        <a:effectLst/>
      </c:spPr>
    </c:title>
    <c:autoTitleDeleted val="0"/>
    <c:plotArea>
      <c:layout/>
      <c:scatterChart>
        <c:scatterStyle val="lineMarker"/>
        <c:varyColors val="0"/>
        <c:ser>
          <c:idx val="1"/>
          <c:order val="0"/>
          <c:tx>
            <c:strRef>
              <c:f>TechMaturity!$I$1</c:f>
              <c:strCache>
                <c:ptCount val="1"/>
                <c:pt idx="0">
                  <c:v>disengagement per km</c:v>
                </c:pt>
              </c:strCache>
            </c:strRef>
          </c:tx>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5-C3AC-4F06-A5B4-ADD91AD596D7}"/>
            </c:ext>
          </c:extLst>
        </c:ser>
        <c:ser>
          <c:idx val="0"/>
          <c:order val="1"/>
          <c:tx>
            <c:strRef>
              <c:f>TechMaturity!$I$1</c:f>
              <c:strCache>
                <c:ptCount val="1"/>
                <c:pt idx="0">
                  <c:v>disengagement per km</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4-C3AC-4F06-A5B4-ADD91AD596D7}"/>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Disengagements/km (LOG scale)</a:t>
                </a:r>
              </a:p>
            </c:rich>
          </c:tx>
          <c:overlay val="0"/>
          <c:spPr>
            <a:noFill/>
            <a:ln>
              <a:noFill/>
            </a:ln>
            <a:effectLst/>
          </c:spPr>
        </c:title>
        <c:numFmt formatCode="0.0"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Minutes per Disengagement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TechMaturity!$J$1</c:f>
              <c:strCache>
                <c:ptCount val="1"/>
                <c:pt idx="0">
                  <c:v>min per disengagement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TechMaturity!$J$2:$J$10</c:f>
              <c:numCache>
                <c:formatCode>General</c:formatCode>
                <c:ptCount val="9"/>
                <c:pt idx="0">
                  <c:v>120</c:v>
                </c:pt>
                <c:pt idx="1">
                  <c:v>60</c:v>
                </c:pt>
                <c:pt idx="2">
                  <c:v>30</c:v>
                </c:pt>
                <c:pt idx="3">
                  <c:v>15</c:v>
                </c:pt>
                <c:pt idx="4">
                  <c:v>10</c:v>
                </c:pt>
                <c:pt idx="5">
                  <c:v>5</c:v>
                </c:pt>
                <c:pt idx="6">
                  <c:v>2</c:v>
                </c:pt>
                <c:pt idx="7">
                  <c:v>1</c:v>
                </c:pt>
                <c:pt idx="8">
                  <c:v>0.5</c:v>
                </c:pt>
              </c:numCache>
            </c:numRef>
          </c:yVal>
          <c:smooth val="0"/>
          <c:extLst>
            <c:ext xmlns:c16="http://schemas.microsoft.com/office/drawing/2014/chart" uri="{C3380CC4-5D6E-409C-BE32-E72D297353CC}">
              <c16:uniqueId val="{00000001-CB9A-4417-80F6-B50A17412530}"/>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min/Disengagement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Max Speed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TechMaturity!$K$1</c:f>
              <c:strCache>
                <c:ptCount val="1"/>
                <c:pt idx="0">
                  <c:v>max_speed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159180405440194E-2"/>
                  <c:y val="1.520712164551118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TechMaturity!$K$2:$K$10</c:f>
              <c:numCache>
                <c:formatCode>General</c:formatCode>
                <c:ptCount val="9"/>
                <c:pt idx="0">
                  <c:v>1</c:v>
                </c:pt>
                <c:pt idx="1">
                  <c:v>2</c:v>
                </c:pt>
                <c:pt idx="2">
                  <c:v>4</c:v>
                </c:pt>
                <c:pt idx="3">
                  <c:v>8</c:v>
                </c:pt>
                <c:pt idx="4">
                  <c:v>10</c:v>
                </c:pt>
                <c:pt idx="5">
                  <c:v>16</c:v>
                </c:pt>
                <c:pt idx="6">
                  <c:v>32</c:v>
                </c:pt>
                <c:pt idx="7">
                  <c:v>48</c:v>
                </c:pt>
                <c:pt idx="8">
                  <c:v>64</c:v>
                </c:pt>
              </c:numCache>
            </c:numRef>
          </c:yVal>
          <c:smooth val="0"/>
          <c:extLst>
            <c:ext xmlns:c16="http://schemas.microsoft.com/office/drawing/2014/chart" uri="{C3380CC4-5D6E-409C-BE32-E72D297353CC}">
              <c16:uniqueId val="{00000001-AE7D-4093-82C3-3580A4C85609}"/>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max speed km/hr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85725</xdr:colOff>
      <xdr:row>0</xdr:row>
      <xdr:rowOff>71437</xdr:rowOff>
    </xdr:from>
    <xdr:to>
      <xdr:col>14</xdr:col>
      <xdr:colOff>390525</xdr:colOff>
      <xdr:row>14</xdr:row>
      <xdr:rowOff>19050</xdr:rowOff>
    </xdr:to>
    <xdr:graphicFrame macro="">
      <xdr:nvGraphicFramePr>
        <xdr:cNvPr id="2" name="Chart 1">
          <a:extLst>
            <a:ext uri="{FF2B5EF4-FFF2-40B4-BE49-F238E27FC236}">
              <a16:creationId xmlns:a16="http://schemas.microsoft.com/office/drawing/2014/main" id="{3663758A-0EC9-56A0-7C94-42F7D6F0F4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76200</xdr:colOff>
      <xdr:row>14</xdr:row>
      <xdr:rowOff>52386</xdr:rowOff>
    </xdr:from>
    <xdr:to>
      <xdr:col>14</xdr:col>
      <xdr:colOff>400050</xdr:colOff>
      <xdr:row>29</xdr:row>
      <xdr:rowOff>66675</xdr:rowOff>
    </xdr:to>
    <xdr:graphicFrame macro="">
      <xdr:nvGraphicFramePr>
        <xdr:cNvPr id="3" name="Chart 2">
          <a:extLst>
            <a:ext uri="{FF2B5EF4-FFF2-40B4-BE49-F238E27FC236}">
              <a16:creationId xmlns:a16="http://schemas.microsoft.com/office/drawing/2014/main" id="{7B8E0AB2-3DC2-D4BB-5DA2-57301BE49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590550</xdr:colOff>
      <xdr:row>0</xdr:row>
      <xdr:rowOff>0</xdr:rowOff>
    </xdr:from>
    <xdr:to>
      <xdr:col>22</xdr:col>
      <xdr:colOff>285750</xdr:colOff>
      <xdr:row>14</xdr:row>
      <xdr:rowOff>28575</xdr:rowOff>
    </xdr:to>
    <xdr:graphicFrame macro="">
      <xdr:nvGraphicFramePr>
        <xdr:cNvPr id="5" name="Chart 4">
          <a:extLst>
            <a:ext uri="{FF2B5EF4-FFF2-40B4-BE49-F238E27FC236}">
              <a16:creationId xmlns:a16="http://schemas.microsoft.com/office/drawing/2014/main" id="{DC188DD1-373D-CBF0-B568-96A9846646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561974</xdr:colOff>
      <xdr:row>14</xdr:row>
      <xdr:rowOff>47625</xdr:rowOff>
    </xdr:from>
    <xdr:to>
      <xdr:col>22</xdr:col>
      <xdr:colOff>257175</xdr:colOff>
      <xdr:row>29</xdr:row>
      <xdr:rowOff>161925</xdr:rowOff>
    </xdr:to>
    <xdr:graphicFrame macro="">
      <xdr:nvGraphicFramePr>
        <xdr:cNvPr id="6" name="Chart 5">
          <a:extLst>
            <a:ext uri="{FF2B5EF4-FFF2-40B4-BE49-F238E27FC236}">
              <a16:creationId xmlns:a16="http://schemas.microsoft.com/office/drawing/2014/main" id="{E66DB761-4EFF-4FD1-98FE-B3DE239F8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161924</xdr:colOff>
      <xdr:row>0</xdr:row>
      <xdr:rowOff>0</xdr:rowOff>
    </xdr:from>
    <xdr:to>
      <xdr:col>18</xdr:col>
      <xdr:colOff>371475</xdr:colOff>
      <xdr:row>22</xdr:row>
      <xdr:rowOff>28575</xdr:rowOff>
    </xdr:to>
    <xdr:graphicFrame macro="">
      <xdr:nvGraphicFramePr>
        <xdr:cNvPr id="3" name="Chart 2">
          <a:extLst>
            <a:ext uri="{FF2B5EF4-FFF2-40B4-BE49-F238E27FC236}">
              <a16:creationId xmlns:a16="http://schemas.microsoft.com/office/drawing/2014/main" id="{3EE7B598-38BF-C0F4-9B4E-283AE75D6B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152400</xdr:colOff>
      <xdr:row>21</xdr:row>
      <xdr:rowOff>171450</xdr:rowOff>
    </xdr:from>
    <xdr:to>
      <xdr:col>18</xdr:col>
      <xdr:colOff>361951</xdr:colOff>
      <xdr:row>44</xdr:row>
      <xdr:rowOff>9525</xdr:rowOff>
    </xdr:to>
    <xdr:graphicFrame macro="">
      <xdr:nvGraphicFramePr>
        <xdr:cNvPr id="4" name="Chart 3">
          <a:extLst>
            <a:ext uri="{FF2B5EF4-FFF2-40B4-BE49-F238E27FC236}">
              <a16:creationId xmlns:a16="http://schemas.microsoft.com/office/drawing/2014/main" id="{2425E6D4-3C97-481C-A4F0-0E36488D9B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0</xdr:row>
      <xdr:rowOff>0</xdr:rowOff>
    </xdr:from>
    <xdr:to>
      <xdr:col>28</xdr:col>
      <xdr:colOff>209551</xdr:colOff>
      <xdr:row>22</xdr:row>
      <xdr:rowOff>28575</xdr:rowOff>
    </xdr:to>
    <xdr:graphicFrame macro="">
      <xdr:nvGraphicFramePr>
        <xdr:cNvPr id="5" name="Chart 4">
          <a:extLst>
            <a:ext uri="{FF2B5EF4-FFF2-40B4-BE49-F238E27FC236}">
              <a16:creationId xmlns:a16="http://schemas.microsoft.com/office/drawing/2014/main" id="{DF151E76-1E93-4D6C-978B-44CC5CAFC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495299</xdr:colOff>
      <xdr:row>0</xdr:row>
      <xdr:rowOff>80962</xdr:rowOff>
    </xdr:from>
    <xdr:to>
      <xdr:col>19</xdr:col>
      <xdr:colOff>485774</xdr:colOff>
      <xdr:row>29</xdr:row>
      <xdr:rowOff>95250</xdr:rowOff>
    </xdr:to>
    <xdr:graphicFrame macro="">
      <xdr:nvGraphicFramePr>
        <xdr:cNvPr id="2" name="Chart 1">
          <a:extLst>
            <a:ext uri="{FF2B5EF4-FFF2-40B4-BE49-F238E27FC236}">
              <a16:creationId xmlns:a16="http://schemas.microsoft.com/office/drawing/2014/main" id="{21A59C6B-84BD-95DF-E5C6-F6F335791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27</xdr:col>
      <xdr:colOff>193006</xdr:colOff>
      <xdr:row>54</xdr:row>
      <xdr:rowOff>96593</xdr:rowOff>
    </xdr:to>
    <xdr:pic>
      <xdr:nvPicPr>
        <xdr:cNvPr id="2" name="Picture 1">
          <a:extLst>
            <a:ext uri="{FF2B5EF4-FFF2-40B4-BE49-F238E27FC236}">
              <a16:creationId xmlns:a16="http://schemas.microsoft.com/office/drawing/2014/main" id="{1FA6C54D-8792-28A2-1F92-D2FE21123203}"/>
            </a:ext>
          </a:extLst>
        </xdr:cNvPr>
        <xdr:cNvPicPr>
          <a:picLocks noChangeAspect="1"/>
        </xdr:cNvPicPr>
      </xdr:nvPicPr>
      <xdr:blipFill>
        <a:blip xmlns:r="http://schemas.openxmlformats.org/officeDocument/2006/relationships" r:embed="rId1"/>
        <a:stretch>
          <a:fillRect/>
        </a:stretch>
      </xdr:blipFill>
      <xdr:spPr>
        <a:xfrm>
          <a:off x="0" y="0"/>
          <a:ext cx="17957131" cy="9621593"/>
        </a:xfrm>
        <a:prstGeom prst="rect">
          <a:avLst/>
        </a:prstGeom>
      </xdr:spPr>
    </xdr:pic>
    <xdr:clientData/>
  </xdr:twoCellAnchor>
  <xdr:twoCellAnchor editAs="oneCell">
    <xdr:from>
      <xdr:col>7</xdr:col>
      <xdr:colOff>152400</xdr:colOff>
      <xdr:row>34</xdr:row>
      <xdr:rowOff>9525</xdr:rowOff>
    </xdr:from>
    <xdr:to>
      <xdr:col>20</xdr:col>
      <xdr:colOff>39190</xdr:colOff>
      <xdr:row>44</xdr:row>
      <xdr:rowOff>124107</xdr:rowOff>
    </xdr:to>
    <xdr:pic>
      <xdr:nvPicPr>
        <xdr:cNvPr id="3" name="Picture 2">
          <a:extLst>
            <a:ext uri="{FF2B5EF4-FFF2-40B4-BE49-F238E27FC236}">
              <a16:creationId xmlns:a16="http://schemas.microsoft.com/office/drawing/2014/main" id="{DBBC2AB4-1466-676F-1FAE-6F04B0697A47}"/>
            </a:ext>
          </a:extLst>
        </xdr:cNvPr>
        <xdr:cNvPicPr>
          <a:picLocks noChangeAspect="1"/>
        </xdr:cNvPicPr>
      </xdr:nvPicPr>
      <xdr:blipFill>
        <a:blip xmlns:r="http://schemas.openxmlformats.org/officeDocument/2006/relationships" r:embed="rId2"/>
        <a:stretch>
          <a:fillRect/>
        </a:stretch>
      </xdr:blipFill>
      <xdr:spPr>
        <a:xfrm>
          <a:off x="4419600" y="5724525"/>
          <a:ext cx="7811590" cy="2019582"/>
        </a:xfrm>
        <a:prstGeom prst="rect">
          <a:avLst/>
        </a:prstGeom>
      </xdr:spPr>
    </xdr:pic>
    <xdr:clientData/>
  </xdr:twoCellAnchor>
  <xdr:twoCellAnchor>
    <xdr:from>
      <xdr:col>4</xdr:col>
      <xdr:colOff>0</xdr:colOff>
      <xdr:row>55</xdr:row>
      <xdr:rowOff>71437</xdr:rowOff>
    </xdr:from>
    <xdr:to>
      <xdr:col>13</xdr:col>
      <xdr:colOff>533400</xdr:colOff>
      <xdr:row>74</xdr:row>
      <xdr:rowOff>9525</xdr:rowOff>
    </xdr:to>
    <xdr:graphicFrame macro="">
      <xdr:nvGraphicFramePr>
        <xdr:cNvPr id="4" name="Chart 3">
          <a:extLst>
            <a:ext uri="{FF2B5EF4-FFF2-40B4-BE49-F238E27FC236}">
              <a16:creationId xmlns:a16="http://schemas.microsoft.com/office/drawing/2014/main" id="{E9634AED-482C-B55C-1707-69E14F9C77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242887</xdr:colOff>
      <xdr:row>0</xdr:row>
      <xdr:rowOff>357186</xdr:rowOff>
    </xdr:from>
    <xdr:to>
      <xdr:col>20</xdr:col>
      <xdr:colOff>466725</xdr:colOff>
      <xdr:row>7</xdr:row>
      <xdr:rowOff>266699</xdr:rowOff>
    </xdr:to>
    <xdr:graphicFrame macro="">
      <xdr:nvGraphicFramePr>
        <xdr:cNvPr id="2" name="Chart 1">
          <a:extLst>
            <a:ext uri="{FF2B5EF4-FFF2-40B4-BE49-F238E27FC236}">
              <a16:creationId xmlns:a16="http://schemas.microsoft.com/office/drawing/2014/main" id="{75FAEFB5-CF97-808B-044C-922CD0CA7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257175</xdr:colOff>
      <xdr:row>7</xdr:row>
      <xdr:rowOff>342900</xdr:rowOff>
    </xdr:from>
    <xdr:to>
      <xdr:col>20</xdr:col>
      <xdr:colOff>481013</xdr:colOff>
      <xdr:row>22</xdr:row>
      <xdr:rowOff>61913</xdr:rowOff>
    </xdr:to>
    <xdr:graphicFrame macro="">
      <xdr:nvGraphicFramePr>
        <xdr:cNvPr id="3" name="Chart 2">
          <a:extLst>
            <a:ext uri="{FF2B5EF4-FFF2-40B4-BE49-F238E27FC236}">
              <a16:creationId xmlns:a16="http://schemas.microsoft.com/office/drawing/2014/main" id="{BC8CE692-13CA-42A4-9C1C-51FECF99A3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19050</xdr:colOff>
      <xdr:row>0</xdr:row>
      <xdr:rowOff>304800</xdr:rowOff>
    </xdr:from>
    <xdr:to>
      <xdr:col>30</xdr:col>
      <xdr:colOff>242888</xdr:colOff>
      <xdr:row>7</xdr:row>
      <xdr:rowOff>214313</xdr:rowOff>
    </xdr:to>
    <xdr:graphicFrame macro="">
      <xdr:nvGraphicFramePr>
        <xdr:cNvPr id="4" name="Chart 3">
          <a:extLst>
            <a:ext uri="{FF2B5EF4-FFF2-40B4-BE49-F238E27FC236}">
              <a16:creationId xmlns:a16="http://schemas.microsoft.com/office/drawing/2014/main" id="{97F89DD2-480B-4C6A-A8F9-FA2A822A78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en.wikipedia.org/wiki/Technology_readiness_lev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54754-4F99-4FD9-969E-48E849408383}">
  <dimension ref="A1:B32"/>
  <sheetViews>
    <sheetView workbookViewId="0">
      <selection activeCell="B33" sqref="B33"/>
    </sheetView>
  </sheetViews>
  <sheetFormatPr defaultRowHeight="15" x14ac:dyDescent="0.25"/>
  <cols>
    <col min="1" max="1" width="22.7109375" customWidth="1"/>
    <col min="2" max="2" width="19.140625" customWidth="1"/>
  </cols>
  <sheetData>
    <row r="1" spans="1:2" x14ac:dyDescent="0.25">
      <c r="A1" s="2" t="s">
        <v>11</v>
      </c>
    </row>
    <row r="3" spans="1:2" x14ac:dyDescent="0.25">
      <c r="A3" t="s">
        <v>12</v>
      </c>
    </row>
    <row r="5" spans="1:2" x14ac:dyDescent="0.25">
      <c r="A5" t="s">
        <v>13</v>
      </c>
    </row>
    <row r="6" spans="1:2" x14ac:dyDescent="0.25">
      <c r="A6" t="s">
        <v>14</v>
      </c>
    </row>
    <row r="7" spans="1:2" x14ac:dyDescent="0.25">
      <c r="A7" t="s">
        <v>15</v>
      </c>
    </row>
    <row r="9" spans="1:2" x14ac:dyDescent="0.25">
      <c r="A9" s="2" t="s">
        <v>16</v>
      </c>
      <c r="B9" s="2" t="s">
        <v>18</v>
      </c>
    </row>
    <row r="10" spans="1:2" x14ac:dyDescent="0.25">
      <c r="A10" t="s">
        <v>17</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28</v>
      </c>
      <c r="B14" t="s">
        <v>26</v>
      </c>
    </row>
    <row r="15" spans="1:2" x14ac:dyDescent="0.25">
      <c r="A15" t="s">
        <v>29</v>
      </c>
      <c r="B15" t="s">
        <v>27</v>
      </c>
    </row>
    <row r="16" spans="1:2" x14ac:dyDescent="0.25">
      <c r="A16" t="s">
        <v>191</v>
      </c>
      <c r="B16" t="s">
        <v>190</v>
      </c>
    </row>
    <row r="18" spans="1:1" x14ac:dyDescent="0.25">
      <c r="A18" t="s">
        <v>30</v>
      </c>
    </row>
    <row r="20" spans="1:1" x14ac:dyDescent="0.25">
      <c r="A20" t="s">
        <v>33</v>
      </c>
    </row>
    <row r="21" spans="1:1" x14ac:dyDescent="0.25">
      <c r="A21" t="s">
        <v>34</v>
      </c>
    </row>
    <row r="23" spans="1:1" x14ac:dyDescent="0.25">
      <c r="A23" t="s">
        <v>31</v>
      </c>
    </row>
    <row r="25" spans="1:1" x14ac:dyDescent="0.25">
      <c r="A25" t="s">
        <v>32</v>
      </c>
    </row>
    <row r="28" spans="1:1" x14ac:dyDescent="0.25">
      <c r="A28" t="s">
        <v>189</v>
      </c>
    </row>
    <row r="29" spans="1:1" x14ac:dyDescent="0.25">
      <c r="A29" t="s">
        <v>129</v>
      </c>
    </row>
    <row r="30" spans="1:1" x14ac:dyDescent="0.25">
      <c r="A30" t="s">
        <v>130</v>
      </c>
    </row>
    <row r="31" spans="1:1" x14ac:dyDescent="0.25">
      <c r="A31" t="s">
        <v>188</v>
      </c>
    </row>
    <row r="32" spans="1:1" x14ac:dyDescent="0.25">
      <c r="A32"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220BA-D6B8-4BF3-9DEF-B47EF2B32EFA}">
  <dimension ref="A1:A11"/>
  <sheetViews>
    <sheetView workbookViewId="0">
      <selection activeCell="A24" sqref="A24"/>
    </sheetView>
  </sheetViews>
  <sheetFormatPr defaultRowHeight="15" x14ac:dyDescent="0.25"/>
  <cols>
    <col min="1" max="1" width="140" customWidth="1"/>
  </cols>
  <sheetData>
    <row r="1" spans="1:1" x14ac:dyDescent="0.25">
      <c r="A1" t="s">
        <v>5</v>
      </c>
    </row>
    <row r="3" spans="1:1" x14ac:dyDescent="0.25">
      <c r="A3" s="3" t="s">
        <v>0</v>
      </c>
    </row>
    <row r="4" spans="1:1" x14ac:dyDescent="0.25">
      <c r="A4" s="3"/>
    </row>
    <row r="5" spans="1:1" x14ac:dyDescent="0.25">
      <c r="A5" s="3" t="s">
        <v>1</v>
      </c>
    </row>
    <row r="6" spans="1:1" x14ac:dyDescent="0.25">
      <c r="A6" s="3"/>
    </row>
    <row r="7" spans="1:1" ht="30" x14ac:dyDescent="0.25">
      <c r="A7" s="3" t="s">
        <v>2</v>
      </c>
    </row>
    <row r="8" spans="1:1" x14ac:dyDescent="0.25">
      <c r="A8" s="3"/>
    </row>
    <row r="9" spans="1:1" ht="30" x14ac:dyDescent="0.25">
      <c r="A9" s="3" t="s">
        <v>3</v>
      </c>
    </row>
    <row r="10" spans="1:1" x14ac:dyDescent="0.25">
      <c r="A10" s="3"/>
    </row>
    <row r="11" spans="1:1" ht="90" x14ac:dyDescent="0.25">
      <c r="A11" s="3"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DBDA-DE44-4252-90B2-55A50E3DF62B}">
  <dimension ref="A1:E25"/>
  <sheetViews>
    <sheetView workbookViewId="0">
      <selection activeCell="B6" sqref="B6"/>
    </sheetView>
  </sheetViews>
  <sheetFormatPr defaultRowHeight="15" x14ac:dyDescent="0.25"/>
  <cols>
    <col min="2" max="2" width="13.42578125" bestFit="1" customWidth="1"/>
    <col min="3" max="3" width="13.42578125" customWidth="1"/>
    <col min="4" max="4" width="14.85546875" customWidth="1"/>
    <col min="5" max="5" width="84.42578125" bestFit="1" customWidth="1"/>
  </cols>
  <sheetData>
    <row r="1" spans="1:5" x14ac:dyDescent="0.25">
      <c r="A1" s="1" t="s">
        <v>6</v>
      </c>
      <c r="B1" s="1" t="s">
        <v>35</v>
      </c>
      <c r="C1" s="1" t="s">
        <v>36</v>
      </c>
      <c r="D1" s="1" t="s">
        <v>7</v>
      </c>
      <c r="E1" s="1" t="s">
        <v>9</v>
      </c>
    </row>
    <row r="2" spans="1:5" x14ac:dyDescent="0.25">
      <c r="A2" s="12" t="s">
        <v>203</v>
      </c>
      <c r="B2" s="1" t="s">
        <v>8</v>
      </c>
      <c r="C2" t="s">
        <v>37</v>
      </c>
      <c r="D2" t="s">
        <v>17</v>
      </c>
      <c r="E2" s="1" t="s">
        <v>10</v>
      </c>
    </row>
    <row r="3" spans="1:5" x14ac:dyDescent="0.25">
      <c r="A3" s="1" t="s">
        <v>202</v>
      </c>
      <c r="B3" s="1" t="s">
        <v>117</v>
      </c>
      <c r="C3" s="1" t="s">
        <v>118</v>
      </c>
      <c r="D3" t="s">
        <v>17</v>
      </c>
      <c r="E3" s="1" t="s">
        <v>119</v>
      </c>
    </row>
    <row r="4" spans="1:5" x14ac:dyDescent="0.25">
      <c r="A4" s="1" t="s">
        <v>201</v>
      </c>
      <c r="B4" s="1" t="s">
        <v>122</v>
      </c>
      <c r="C4" s="1" t="s">
        <v>120</v>
      </c>
      <c r="D4" s="1" t="s">
        <v>17</v>
      </c>
      <c r="E4" s="1" t="s">
        <v>121</v>
      </c>
    </row>
    <row r="5" spans="1:5" x14ac:dyDescent="0.25">
      <c r="A5" s="1" t="s">
        <v>204</v>
      </c>
      <c r="B5" s="1" t="s">
        <v>205</v>
      </c>
      <c r="C5" s="1" t="s">
        <v>206</v>
      </c>
      <c r="D5" s="1" t="s">
        <v>191</v>
      </c>
      <c r="E5" s="1" t="s">
        <v>200</v>
      </c>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8CA9B-8483-4F01-824C-AFC919087770}">
  <dimension ref="A1:C41"/>
  <sheetViews>
    <sheetView workbookViewId="0">
      <selection activeCell="B35" sqref="B35"/>
    </sheetView>
  </sheetViews>
  <sheetFormatPr defaultRowHeight="15" x14ac:dyDescent="0.25"/>
  <cols>
    <col min="1" max="1" width="38.42578125" bestFit="1" customWidth="1"/>
    <col min="2" max="2" width="7" bestFit="1"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4</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F5C8A-23BE-4ED9-94E4-6FBCDB50D668}">
  <dimension ref="A1:C41"/>
  <sheetViews>
    <sheetView workbookViewId="0">
      <selection activeCell="B35" sqref="B35"/>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s="11">
        <f>115000*0.75</f>
        <v>86250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4</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98D05-84DC-439B-8D0F-471860EEB1C2}">
  <dimension ref="A1:C41"/>
  <sheetViews>
    <sheetView workbookViewId="0">
      <selection activeCell="B37" sqref="B37"/>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s="11">
        <f>12*0.25</f>
        <v>3</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f>115000</f>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4</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8A5B1-C94B-40F6-B37D-6D55F3EDC6C6}">
  <dimension ref="A1:C41"/>
  <sheetViews>
    <sheetView topLeftCell="A3" workbookViewId="0">
      <selection activeCell="B9" sqref="B9"/>
    </sheetView>
  </sheetViews>
  <sheetFormatPr defaultRowHeight="15" x14ac:dyDescent="0.25"/>
  <cols>
    <col min="1" max="1" width="38.42578125" bestFit="1" customWidth="1"/>
    <col min="2" max="2" width="9.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2</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13000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26000</v>
      </c>
      <c r="C30" t="s">
        <v>164</v>
      </c>
    </row>
    <row r="31" spans="1:3" x14ac:dyDescent="0.25">
      <c r="A31" t="s">
        <v>169</v>
      </c>
      <c r="B31">
        <v>0</v>
      </c>
      <c r="C31" t="s">
        <v>181</v>
      </c>
    </row>
    <row r="32" spans="1:3" x14ac:dyDescent="0.25">
      <c r="A32" t="s">
        <v>170</v>
      </c>
      <c r="B32">
        <f>1500/12</f>
        <v>125</v>
      </c>
      <c r="C32" t="s">
        <v>182</v>
      </c>
    </row>
    <row r="33" spans="1:3" x14ac:dyDescent="0.25">
      <c r="A33" t="s">
        <v>171</v>
      </c>
      <c r="B33">
        <v>0</v>
      </c>
      <c r="C33" t="s">
        <v>164</v>
      </c>
    </row>
    <row r="34" spans="1:3" x14ac:dyDescent="0.25">
      <c r="A34" t="s">
        <v>172</v>
      </c>
      <c r="B34" s="7">
        <f>0.5*0.7544*EXP(0.517*B9)*B11*B12</f>
        <v>4.0271184552531007</v>
      </c>
      <c r="C34" t="s">
        <v>167</v>
      </c>
    </row>
    <row r="35" spans="1:3" x14ac:dyDescent="0.25">
      <c r="A35" t="s">
        <v>173</v>
      </c>
      <c r="B35">
        <v>3</v>
      </c>
      <c r="C35" t="s">
        <v>183</v>
      </c>
    </row>
    <row r="36" spans="1:3" x14ac:dyDescent="0.25">
      <c r="A36" t="s">
        <v>174</v>
      </c>
      <c r="B36" s="13">
        <f>5.133*EXP(-1.083*B9)/B10/B12</f>
        <v>1.8410959830739128E-2</v>
      </c>
      <c r="C36" t="s">
        <v>184</v>
      </c>
    </row>
    <row r="37" spans="1:3" x14ac:dyDescent="0.25">
      <c r="A37" t="s">
        <v>175</v>
      </c>
      <c r="B37" s="13">
        <f>243.16*EXP(-0.679*B9)</f>
        <v>4.135960814374922</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0</v>
      </c>
      <c r="C41"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FE16-9466-4B3B-9B84-9ACED9823E1B}">
  <dimension ref="A1:J41"/>
  <sheetViews>
    <sheetView workbookViewId="0">
      <selection activeCell="F1" sqref="F1"/>
    </sheetView>
  </sheetViews>
  <sheetFormatPr defaultRowHeight="15" x14ac:dyDescent="0.25"/>
  <cols>
    <col min="1" max="1" width="38.42578125" bestFit="1" customWidth="1"/>
    <col min="6" max="6" width="18" customWidth="1"/>
    <col min="8" max="8" width="27.42578125" bestFit="1" customWidth="1"/>
  </cols>
  <sheetData>
    <row r="1" spans="1:10" ht="18.75" x14ac:dyDescent="0.3">
      <c r="A1" s="9" t="s">
        <v>146</v>
      </c>
      <c r="E1" t="s">
        <v>128</v>
      </c>
      <c r="F1" s="11" t="s">
        <v>192</v>
      </c>
      <c r="H1" s="9" t="s">
        <v>193</v>
      </c>
    </row>
    <row r="2" spans="1:10" x14ac:dyDescent="0.25">
      <c r="A2" s="2" t="s">
        <v>124</v>
      </c>
      <c r="B2" s="2" t="s">
        <v>123</v>
      </c>
      <c r="C2" s="2" t="s">
        <v>125</v>
      </c>
      <c r="H2" s="2" t="s">
        <v>124</v>
      </c>
      <c r="I2" s="2" t="s">
        <v>123</v>
      </c>
      <c r="J2" s="2" t="s">
        <v>125</v>
      </c>
    </row>
    <row r="3" spans="1:10" x14ac:dyDescent="0.25">
      <c r="A3" t="s">
        <v>126</v>
      </c>
      <c r="B3" s="8" cm="1">
        <f t="array" aca="1" ref="B3" ca="1">INDIRECT("'"&amp;$F$1&amp;"'!B3")</f>
        <v>0.05</v>
      </c>
      <c r="C3" t="s">
        <v>127</v>
      </c>
      <c r="H3" t="s">
        <v>194</v>
      </c>
      <c r="I3">
        <f ca="1">_xlfn.CEILING.MATH(B16/B26)</f>
        <v>5</v>
      </c>
      <c r="J3" t="s">
        <v>198</v>
      </c>
    </row>
    <row r="4" spans="1:10" x14ac:dyDescent="0.25">
      <c r="A4" t="s">
        <v>131</v>
      </c>
      <c r="B4" s="10" cm="1">
        <f t="array" aca="1" ref="B4" ca="1">INDIRECT("'"&amp;$F$1&amp;"'!B4")</f>
        <v>0.23</v>
      </c>
      <c r="C4" t="s">
        <v>132</v>
      </c>
      <c r="H4" t="s">
        <v>195</v>
      </c>
      <c r="I4">
        <f ca="1">B15*I3</f>
        <v>10</v>
      </c>
      <c r="J4" t="s">
        <v>148</v>
      </c>
    </row>
    <row r="5" spans="1:10" x14ac:dyDescent="0.25">
      <c r="A5" t="s">
        <v>133</v>
      </c>
      <c r="B5" s="10" cm="1">
        <f t="array" aca="1" ref="B5" ca="1">INDIRECT("'"&amp;$F$1&amp;"'!B5")</f>
        <v>1.79</v>
      </c>
      <c r="C5" t="s">
        <v>134</v>
      </c>
      <c r="H5" t="s">
        <v>196</v>
      </c>
      <c r="I5" s="13">
        <f ca="1">I4/B25</f>
        <v>0.83333333333333337</v>
      </c>
      <c r="J5" t="s">
        <v>199</v>
      </c>
    </row>
    <row r="6" spans="1:10" x14ac:dyDescent="0.25">
      <c r="A6" t="s">
        <v>135</v>
      </c>
      <c r="B6" s="10" cm="1">
        <f t="array" aca="1" ref="B6" ca="1">INDIRECT("'"&amp;$F$1&amp;"'!B6")</f>
        <v>9.6</v>
      </c>
      <c r="C6" t="s">
        <v>136</v>
      </c>
      <c r="H6" t="s">
        <v>197</v>
      </c>
      <c r="I6">
        <f ca="1">_xlfn.CEILING.MATH(I5/B27)</f>
        <v>1</v>
      </c>
    </row>
    <row r="7" spans="1:10" x14ac:dyDescent="0.25">
      <c r="A7" t="s">
        <v>137</v>
      </c>
      <c r="B7" s="10" cm="1">
        <f t="array" aca="1" ref="B7" ca="1">INDIRECT("'"&amp;$F$1&amp;"'!B7")</f>
        <v>0.7</v>
      </c>
      <c r="C7" t="s">
        <v>138</v>
      </c>
    </row>
    <row r="8" spans="1:10" x14ac:dyDescent="0.25">
      <c r="A8" t="s">
        <v>139</v>
      </c>
      <c r="B8" s="10" cm="1">
        <f t="array" aca="1" ref="B8" ca="1">INDIRECT("'"&amp;$F$1&amp;"'!B8")</f>
        <v>2</v>
      </c>
      <c r="C8" t="s">
        <v>140</v>
      </c>
    </row>
    <row r="9" spans="1:10" x14ac:dyDescent="0.25">
      <c r="A9" t="s">
        <v>141</v>
      </c>
      <c r="B9" s="10" cm="1">
        <f t="array" aca="1" ref="B9" ca="1">INDIRECT("'"&amp;$F$1&amp;"'!B9")</f>
        <v>6</v>
      </c>
      <c r="C9" t="s">
        <v>142</v>
      </c>
    </row>
    <row r="10" spans="1:10" x14ac:dyDescent="0.25">
      <c r="A10" t="s">
        <v>143</v>
      </c>
      <c r="B10" s="8" cm="1">
        <f t="array" aca="1" ref="B10" ca="1">INDIRECT("'"&amp;$F$1&amp;"'!B10")</f>
        <v>0.7</v>
      </c>
      <c r="C10" t="s">
        <v>127</v>
      </c>
    </row>
    <row r="11" spans="1:10" x14ac:dyDescent="0.25">
      <c r="A11" t="s">
        <v>144</v>
      </c>
      <c r="B11" s="8" cm="1">
        <f t="array" aca="1" ref="B11" ca="1">INDIRECT("'"&amp;$F$1&amp;"'!B11")</f>
        <v>0.8</v>
      </c>
      <c r="C11" t="s">
        <v>127</v>
      </c>
    </row>
    <row r="12" spans="1:10" x14ac:dyDescent="0.25">
      <c r="A12" t="s">
        <v>145</v>
      </c>
      <c r="B12" s="8" cm="1">
        <f t="array" aca="1" ref="B12" ca="1">INDIRECT("'"&amp;$F$1&amp;"'!B12")</f>
        <v>0.6</v>
      </c>
      <c r="C12" t="s">
        <v>127</v>
      </c>
    </row>
    <row r="13" spans="1:10" ht="18.75" x14ac:dyDescent="0.3">
      <c r="A13" s="9" t="s">
        <v>152</v>
      </c>
      <c r="B13" s="10"/>
    </row>
    <row r="14" spans="1:10" x14ac:dyDescent="0.25">
      <c r="A14" s="2" t="s">
        <v>124</v>
      </c>
      <c r="B14" s="2" t="s">
        <v>123</v>
      </c>
      <c r="C14" s="2" t="s">
        <v>125</v>
      </c>
    </row>
    <row r="15" spans="1:10" x14ac:dyDescent="0.25">
      <c r="A15" t="s">
        <v>147</v>
      </c>
      <c r="B15" s="10" cm="1">
        <f t="array" aca="1" ref="B15" ca="1">INDIRECT("'"&amp;$F$1&amp;"'!B15")</f>
        <v>2</v>
      </c>
      <c r="C15" t="s">
        <v>148</v>
      </c>
    </row>
    <row r="16" spans="1:10" x14ac:dyDescent="0.25">
      <c r="A16" t="s">
        <v>149</v>
      </c>
      <c r="B16" s="10" cm="1">
        <f t="array" aca="1" ref="B16" ca="1">INDIRECT("'"&amp;$F$1&amp;"'!B16")</f>
        <v>200</v>
      </c>
      <c r="C16" t="s">
        <v>142</v>
      </c>
    </row>
    <row r="17" spans="1:3" x14ac:dyDescent="0.25">
      <c r="A17" t="s">
        <v>150</v>
      </c>
      <c r="B17" s="10" cm="1">
        <f t="array" aca="1" ref="B17" ca="1">INDIRECT("'"&amp;$F$1&amp;"'!B17")</f>
        <v>212</v>
      </c>
      <c r="C17" t="s">
        <v>151</v>
      </c>
    </row>
    <row r="18" spans="1:3" ht="18.75" x14ac:dyDescent="0.3">
      <c r="A18" s="9" t="s">
        <v>154</v>
      </c>
      <c r="B18" s="10"/>
    </row>
    <row r="19" spans="1:3" x14ac:dyDescent="0.25">
      <c r="A19" s="2" t="s">
        <v>124</v>
      </c>
      <c r="B19" s="2" t="s">
        <v>123</v>
      </c>
      <c r="C19" s="2" t="s">
        <v>125</v>
      </c>
    </row>
    <row r="20" spans="1:3" x14ac:dyDescent="0.25">
      <c r="A20" t="s">
        <v>163</v>
      </c>
      <c r="B20" s="10" cm="1">
        <f t="array" aca="1" ref="B20" ca="1">INDIRECT("'"&amp;$F$1&amp;"'!B20")</f>
        <v>13000</v>
      </c>
      <c r="C20" t="s">
        <v>164</v>
      </c>
    </row>
    <row r="21" spans="1:3" x14ac:dyDescent="0.25">
      <c r="A21" t="s">
        <v>155</v>
      </c>
      <c r="B21" s="10" cm="1">
        <f t="array" aca="1" ref="B21" ca="1">INDIRECT("'"&amp;$F$1&amp;"'!B21")</f>
        <v>6.5</v>
      </c>
      <c r="C21" t="s">
        <v>165</v>
      </c>
    </row>
    <row r="22" spans="1:3" x14ac:dyDescent="0.25">
      <c r="A22" t="s">
        <v>156</v>
      </c>
      <c r="B22" s="10" cm="1">
        <f t="array" aca="1" ref="B22" ca="1">INDIRECT("'"&amp;$F$1&amp;"'!B22")</f>
        <v>51</v>
      </c>
      <c r="C22" t="s">
        <v>166</v>
      </c>
    </row>
    <row r="23" spans="1:3" x14ac:dyDescent="0.25">
      <c r="A23" t="s">
        <v>157</v>
      </c>
      <c r="B23" s="10" cm="1">
        <f t="array" aca="1" ref="B23" ca="1">INDIRECT("'"&amp;$F$1&amp;"'!B23")</f>
        <v>120</v>
      </c>
      <c r="C23" t="s">
        <v>180</v>
      </c>
    </row>
    <row r="24" spans="1:3" x14ac:dyDescent="0.25">
      <c r="A24" t="s">
        <v>158</v>
      </c>
      <c r="B24" s="10" cm="1">
        <f t="array" aca="1" ref="B24" ca="1">INDIRECT("'"&amp;$F$1&amp;"'!B24")</f>
        <v>0</v>
      </c>
      <c r="C24" t="s">
        <v>164</v>
      </c>
    </row>
    <row r="25" spans="1:3" x14ac:dyDescent="0.25">
      <c r="A25" t="s">
        <v>159</v>
      </c>
      <c r="B25" s="10" cm="1">
        <f t="array" aca="1" ref="B25" ca="1">INDIRECT("'"&amp;$F$1&amp;"'!B25")</f>
        <v>12</v>
      </c>
      <c r="C25" t="s">
        <v>167</v>
      </c>
    </row>
    <row r="26" spans="1:3" x14ac:dyDescent="0.25">
      <c r="A26" t="s">
        <v>160</v>
      </c>
      <c r="B26" s="10" cm="1">
        <f t="array" aca="1" ref="B26" ca="1">INDIRECT("'"&amp;$F$1&amp;"'!B26")</f>
        <v>40</v>
      </c>
      <c r="C26" t="s">
        <v>142</v>
      </c>
    </row>
    <row r="27" spans="1:3" x14ac:dyDescent="0.25">
      <c r="A27" t="s">
        <v>161</v>
      </c>
      <c r="B27" s="10" cm="1">
        <f t="array" aca="1" ref="B27" ca="1">INDIRECT("'"&amp;$F$1&amp;"'!B27")</f>
        <v>8</v>
      </c>
      <c r="C27" t="s">
        <v>168</v>
      </c>
    </row>
    <row r="28" spans="1:3" ht="18.75" x14ac:dyDescent="0.3">
      <c r="A28" s="9" t="s">
        <v>153</v>
      </c>
      <c r="B28" s="10"/>
    </row>
    <row r="29" spans="1:3" x14ac:dyDescent="0.25">
      <c r="A29" s="2" t="s">
        <v>124</v>
      </c>
      <c r="B29" s="2" t="s">
        <v>123</v>
      </c>
      <c r="C29" s="2" t="s">
        <v>125</v>
      </c>
    </row>
    <row r="30" spans="1:3" x14ac:dyDescent="0.25">
      <c r="A30" t="s">
        <v>162</v>
      </c>
      <c r="B30" s="10" cm="1">
        <f t="array" aca="1" ref="B30" ca="1">INDIRECT("'"&amp;$F$1&amp;"'!B30")</f>
        <v>26000</v>
      </c>
      <c r="C30" t="s">
        <v>164</v>
      </c>
    </row>
    <row r="31" spans="1:3" x14ac:dyDescent="0.25">
      <c r="A31" t="s">
        <v>169</v>
      </c>
      <c r="B31" s="10" cm="1">
        <f t="array" aca="1" ref="B31" ca="1">INDIRECT("'"&amp;$F$1&amp;"'!B31")</f>
        <v>0</v>
      </c>
      <c r="C31" t="s">
        <v>181</v>
      </c>
    </row>
    <row r="32" spans="1:3" x14ac:dyDescent="0.25">
      <c r="A32" t="s">
        <v>170</v>
      </c>
      <c r="B32" s="10" cm="1">
        <f t="array" aca="1" ref="B32" ca="1">INDIRECT("'"&amp;$F$1&amp;"'!B32")</f>
        <v>125</v>
      </c>
      <c r="C32" t="s">
        <v>182</v>
      </c>
    </row>
    <row r="33" spans="1:3" x14ac:dyDescent="0.25">
      <c r="A33" t="s">
        <v>171</v>
      </c>
      <c r="B33" s="10" cm="1">
        <f t="array" aca="1" ref="B33" ca="1">INDIRECT("'"&amp;$F$1&amp;"'!B33")</f>
        <v>0</v>
      </c>
      <c r="C33" t="s">
        <v>164</v>
      </c>
    </row>
    <row r="34" spans="1:3" x14ac:dyDescent="0.25">
      <c r="A34" t="s">
        <v>172</v>
      </c>
      <c r="B34" s="10" cm="1">
        <f t="array" aca="1" ref="B34" ca="1">INDIRECT("'"&amp;$F$1&amp;"'!B34")</f>
        <v>4.0271184552531007</v>
      </c>
      <c r="C34" t="s">
        <v>167</v>
      </c>
    </row>
    <row r="35" spans="1:3" x14ac:dyDescent="0.25">
      <c r="A35" t="s">
        <v>173</v>
      </c>
      <c r="B35" s="10" cm="1">
        <f t="array" aca="1" ref="B35" ca="1">INDIRECT("'"&amp;$F$1&amp;"'!B35")</f>
        <v>3</v>
      </c>
      <c r="C35" t="s">
        <v>183</v>
      </c>
    </row>
    <row r="36" spans="1:3" x14ac:dyDescent="0.25">
      <c r="A36" t="s">
        <v>174</v>
      </c>
      <c r="B36" s="10" cm="1">
        <f t="array" aca="1" ref="B36" ca="1">INDIRECT("'"&amp;$F$1&amp;"'!B36")</f>
        <v>1.8410959830739128E-2</v>
      </c>
      <c r="C36" t="s">
        <v>184</v>
      </c>
    </row>
    <row r="37" spans="1:3" x14ac:dyDescent="0.25">
      <c r="A37" t="s">
        <v>175</v>
      </c>
      <c r="B37" s="10" cm="1">
        <f t="array" aca="1" ref="B37" ca="1">INDIRECT("'"&amp;$F$1&amp;"'!B37")</f>
        <v>4.135960814374922</v>
      </c>
      <c r="C37" t="s">
        <v>185</v>
      </c>
    </row>
    <row r="38" spans="1:3" x14ac:dyDescent="0.25">
      <c r="A38" t="s">
        <v>176</v>
      </c>
      <c r="B38" s="10" cm="1">
        <f t="array" aca="1" ref="B38" ca="1">INDIRECT("'"&amp;$F$1&amp;"'!B38")</f>
        <v>20</v>
      </c>
      <c r="C38" t="s">
        <v>142</v>
      </c>
    </row>
    <row r="39" spans="1:3" x14ac:dyDescent="0.25">
      <c r="A39" t="s">
        <v>177</v>
      </c>
      <c r="B39" s="10" cm="1">
        <f t="array" aca="1" ref="B39" ca="1">INDIRECT("'"&amp;$F$1&amp;"'!B39")</f>
        <v>0.14000000000000001</v>
      </c>
      <c r="C39" t="s">
        <v>186</v>
      </c>
    </row>
    <row r="40" spans="1:3" x14ac:dyDescent="0.25">
      <c r="A40" t="s">
        <v>178</v>
      </c>
      <c r="B40" s="10" cm="1">
        <f t="array" aca="1" ref="B40" ca="1">INDIRECT("'"&amp;$F$1&amp;"'!B40")</f>
        <v>24</v>
      </c>
      <c r="C40" t="s">
        <v>168</v>
      </c>
    </row>
    <row r="41" spans="1:3" x14ac:dyDescent="0.25">
      <c r="A41" t="s">
        <v>179</v>
      </c>
      <c r="B41" s="10" cm="1">
        <f t="array" aca="1" ref="B41" ca="1">INDIRECT("'"&amp;$F$1&amp;"'!B41")</f>
        <v>0</v>
      </c>
      <c r="C41" t="s">
        <v>187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errorTitle="Invalid Entry!" error="Please select a set of assumptions from the list." promptTitle="Model Assumptions" prompt="Please select the set of assumptions used to drive the model calculations." xr:uid="{BAF9B6BA-86A9-46E3-9D18-20938E2A164D}">
          <x14:formula1>
            <xm:f>Overview!$A$29:$A$32</xm:f>
          </x14:formula1>
          <xm:sqref>F1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1CD35-E3FB-4076-863C-CDE02BDE2C9B}">
  <dimension ref="A1:G44"/>
  <sheetViews>
    <sheetView tabSelected="1" workbookViewId="0">
      <selection activeCell="B41" sqref="B41"/>
    </sheetView>
  </sheetViews>
  <sheetFormatPr defaultRowHeight="15" x14ac:dyDescent="0.25"/>
  <cols>
    <col min="1" max="1" width="50.140625" customWidth="1"/>
    <col min="2" max="2" width="16.5703125" customWidth="1"/>
    <col min="7" max="7" width="12.7109375" customWidth="1"/>
  </cols>
  <sheetData>
    <row r="1" spans="1:7" ht="18.75" x14ac:dyDescent="0.3">
      <c r="A1" s="9" t="s">
        <v>209</v>
      </c>
      <c r="F1" s="9" t="s">
        <v>248</v>
      </c>
    </row>
    <row r="2" spans="1:7" x14ac:dyDescent="0.25">
      <c r="A2" s="2" t="s">
        <v>224</v>
      </c>
      <c r="F2" t="s">
        <v>249</v>
      </c>
      <c r="G2" t="s">
        <v>250</v>
      </c>
    </row>
    <row r="3" spans="1:7" x14ac:dyDescent="0.25">
      <c r="A3" t="s">
        <v>208</v>
      </c>
      <c r="B3">
        <f ca="1">_xlfn.CEILING.MATH(ModelInput!B16/ModelInput!B26)</f>
        <v>5</v>
      </c>
      <c r="C3" t="s">
        <v>210</v>
      </c>
      <c r="F3">
        <v>0</v>
      </c>
      <c r="G3" s="15">
        <f ca="1">B32</f>
        <v>-13000</v>
      </c>
    </row>
    <row r="4" spans="1:7" x14ac:dyDescent="0.25">
      <c r="A4" t="s">
        <v>211</v>
      </c>
      <c r="B4">
        <f ca="1">B3*ModelInput!B15</f>
        <v>10</v>
      </c>
      <c r="C4" t="s">
        <v>212</v>
      </c>
      <c r="F4">
        <v>1</v>
      </c>
      <c r="G4">
        <f ca="1">IF(F4=ModelInput!$B$8,$B$34+$B$33,IF(F4&lt;=ModelInput!$B$8-1,ModelOutput!$B$33,0))</f>
        <v>8785.7001816724569</v>
      </c>
    </row>
    <row r="5" spans="1:7" x14ac:dyDescent="0.25">
      <c r="A5" t="s">
        <v>213</v>
      </c>
      <c r="B5" s="14">
        <f ca="1">B4/ModelInput!B25</f>
        <v>0.83333333333333337</v>
      </c>
      <c r="C5" t="s">
        <v>199</v>
      </c>
      <c r="F5">
        <v>2</v>
      </c>
      <c r="G5">
        <f ca="1">IF(F5=ModelInput!$B$8,$B$34+$B$33,IF(F5&lt;=ModelInput!$B$8-1,ModelOutput!$B$33,0))</f>
        <v>8785.7001816724569</v>
      </c>
    </row>
    <row r="6" spans="1:7" x14ac:dyDescent="0.25">
      <c r="A6" t="s">
        <v>230</v>
      </c>
      <c r="B6" s="2">
        <f ca="1">_xlfn.CEILING.MATH(B5/ModelInput!B27)</f>
        <v>1</v>
      </c>
      <c r="C6" s="2" t="s">
        <v>214</v>
      </c>
      <c r="F6">
        <v>3</v>
      </c>
      <c r="G6">
        <f ca="1">IF(F6=ModelInput!$B$8,$B$34+$B$33,IF(F6&lt;=ModelInput!$B$8-1,ModelOutput!$B$33,0))</f>
        <v>0</v>
      </c>
    </row>
    <row r="7" spans="1:7" x14ac:dyDescent="0.25">
      <c r="A7" t="s">
        <v>222</v>
      </c>
      <c r="B7" s="15">
        <f ca="1">ModelInput!B20*ModelOutput!B6</f>
        <v>13000</v>
      </c>
      <c r="C7" t="s">
        <v>223</v>
      </c>
      <c r="F7">
        <v>4</v>
      </c>
      <c r="G7">
        <f ca="1">IF(F7=ModelInput!$B$8,$B$34+$B$33,IF(F7&lt;=ModelInput!$B$8-1,ModelOutput!$B$33,0))</f>
        <v>0</v>
      </c>
    </row>
    <row r="8" spans="1:7" x14ac:dyDescent="0.25">
      <c r="A8" t="s">
        <v>215</v>
      </c>
      <c r="B8" s="15">
        <f ca="1">ModelInput!B21/100*ModelInput!B5*ModelInput!B17*ModelOutput!B4</f>
        <v>246.66200000000003</v>
      </c>
      <c r="C8" t="s">
        <v>217</v>
      </c>
      <c r="F8">
        <v>5</v>
      </c>
      <c r="G8">
        <f ca="1">IF(F8=ModelInput!$B$8,$B$34+$B$33,IF(F8&lt;=ModelInput!$B$8-1,ModelOutput!$B$33,0))</f>
        <v>0</v>
      </c>
    </row>
    <row r="9" spans="1:7" x14ac:dyDescent="0.25">
      <c r="A9" t="s">
        <v>216</v>
      </c>
      <c r="B9" s="15">
        <f ca="1">B5*ModelInput!B22*ModelInput!B17</f>
        <v>9010</v>
      </c>
      <c r="C9" t="s">
        <v>217</v>
      </c>
      <c r="F9">
        <v>6</v>
      </c>
      <c r="G9">
        <f ca="1">IF(F9=ModelInput!$B$8,$B$34+$B$33,IF(F9&lt;=ModelInput!$B$8-1,ModelOutput!$B$33,0))</f>
        <v>0</v>
      </c>
    </row>
    <row r="10" spans="1:7" x14ac:dyDescent="0.25">
      <c r="A10" t="s">
        <v>218</v>
      </c>
      <c r="B10" s="15">
        <f ca="1">(B9+B8)</f>
        <v>9256.6620000000003</v>
      </c>
      <c r="C10" t="s">
        <v>217</v>
      </c>
      <c r="F10">
        <v>7</v>
      </c>
      <c r="G10">
        <f ca="1">IF(F10=ModelInput!$B$8,$B$34+$B$33,IF(F10&lt;=ModelInput!$B$8-1,ModelOutput!$B$33,0))</f>
        <v>0</v>
      </c>
    </row>
    <row r="11" spans="1:7" x14ac:dyDescent="0.25">
      <c r="A11" t="s">
        <v>219</v>
      </c>
      <c r="B11" s="15">
        <f ca="1">12*ModelInput!B23*B6</f>
        <v>1440</v>
      </c>
      <c r="C11" t="s">
        <v>217</v>
      </c>
      <c r="F11">
        <v>8</v>
      </c>
      <c r="G11">
        <f ca="1">IF(F11=ModelInput!$B$8,$B$34+$B$33,IF(F11&lt;=ModelInput!$B$8-1,ModelOutput!$B$33,0))</f>
        <v>0</v>
      </c>
    </row>
    <row r="12" spans="1:7" x14ac:dyDescent="0.25">
      <c r="A12" t="s">
        <v>220</v>
      </c>
      <c r="B12" s="15">
        <f ca="1">B11+B10</f>
        <v>10696.662</v>
      </c>
      <c r="C12" t="s">
        <v>217</v>
      </c>
      <c r="F12">
        <v>9</v>
      </c>
      <c r="G12">
        <f ca="1">IF(F12=ModelInput!$B$8,$B$34+$B$33,IF(F12&lt;=ModelInput!$B$8-1,ModelOutput!$B$33,0))</f>
        <v>0</v>
      </c>
    </row>
    <row r="13" spans="1:7" x14ac:dyDescent="0.25">
      <c r="A13" t="s">
        <v>256</v>
      </c>
      <c r="B13" s="15">
        <f ca="1">B12*ModelInput!B8</f>
        <v>21393.324000000001</v>
      </c>
      <c r="C13" t="s">
        <v>164</v>
      </c>
      <c r="F13">
        <v>10</v>
      </c>
      <c r="G13">
        <f ca="1">IF(F13=ModelInput!$B$8,$B$34+$B$33,IF(F13&lt;=ModelInput!$B$8-1,ModelOutput!$B$33,0))</f>
        <v>0</v>
      </c>
    </row>
    <row r="14" spans="1:7" x14ac:dyDescent="0.25">
      <c r="A14" t="s">
        <v>221</v>
      </c>
      <c r="B14" s="15">
        <f ca="1">B6*ModelInput!B24</f>
        <v>0</v>
      </c>
      <c r="C14" t="s">
        <v>164</v>
      </c>
      <c r="F14">
        <v>11</v>
      </c>
      <c r="G14">
        <f ca="1">IF(F14=ModelInput!$B$8,$B$34+$B$33,IF(F14&lt;=ModelInput!$B$8-1,ModelOutput!$B$33,0))</f>
        <v>0</v>
      </c>
    </row>
    <row r="15" spans="1:7" x14ac:dyDescent="0.25">
      <c r="F15">
        <v>12</v>
      </c>
      <c r="G15">
        <f ca="1">IF(F15=ModelInput!$B$8,$B$34+$B$33,IF(F15&lt;=ModelInput!$B$8-1,ModelOutput!$B$33,0))</f>
        <v>0</v>
      </c>
    </row>
    <row r="16" spans="1:7" x14ac:dyDescent="0.25">
      <c r="A16" s="2" t="s">
        <v>225</v>
      </c>
      <c r="F16">
        <v>13</v>
      </c>
      <c r="G16">
        <f ca="1">IF(F16=ModelInput!$B$8,$B$34+$B$33,IF(F16&lt;=ModelInput!$B$8-1,ModelOutput!$B$33,0))</f>
        <v>0</v>
      </c>
    </row>
    <row r="17" spans="1:7" x14ac:dyDescent="0.25">
      <c r="A17" t="s">
        <v>226</v>
      </c>
      <c r="B17">
        <f ca="1">ModelInput!B16/ModelInput!B38</f>
        <v>10</v>
      </c>
      <c r="C17" t="s">
        <v>210</v>
      </c>
      <c r="F17">
        <v>14</v>
      </c>
      <c r="G17">
        <f ca="1">IF(F17=ModelInput!$B$8,$B$34+$B$33,IF(F17&lt;=ModelInput!$B$8-1,ModelOutput!$B$33,0))</f>
        <v>0</v>
      </c>
    </row>
    <row r="18" spans="1:7" x14ac:dyDescent="0.25">
      <c r="A18" t="s">
        <v>227</v>
      </c>
      <c r="B18">
        <f ca="1">B17*ModelInput!B15</f>
        <v>20</v>
      </c>
      <c r="C18" t="s">
        <v>212</v>
      </c>
      <c r="F18">
        <v>15</v>
      </c>
      <c r="G18">
        <f ca="1">IF(F18=ModelInput!$B$8,$B$34+$B$33,IF(F18&lt;=ModelInput!$B$8-1,ModelOutput!$B$33,0))</f>
        <v>0</v>
      </c>
    </row>
    <row r="19" spans="1:7" x14ac:dyDescent="0.25">
      <c r="A19" t="s">
        <v>228</v>
      </c>
      <c r="B19" s="14">
        <f ca="1">B18/ModelInput!B34</f>
        <v>4.9663301991803515</v>
      </c>
      <c r="C19" t="s">
        <v>199</v>
      </c>
      <c r="F19">
        <v>16</v>
      </c>
      <c r="G19">
        <f ca="1">IF(F19=ModelInput!$B$8,$B$34+$B$33,IF(F19&lt;=ModelInput!$B$8-1,ModelOutput!$B$33,0))</f>
        <v>0</v>
      </c>
    </row>
    <row r="20" spans="1:7" x14ac:dyDescent="0.25">
      <c r="A20" t="s">
        <v>229</v>
      </c>
      <c r="B20">
        <f ca="1">_xlfn.CEILING.MATH(B19/ModelInput!B40)</f>
        <v>1</v>
      </c>
      <c r="C20" t="s">
        <v>214</v>
      </c>
      <c r="F20">
        <v>17</v>
      </c>
      <c r="G20">
        <f ca="1">IF(F20=ModelInput!$B$8,$B$34+$B$33,IF(F20&lt;=ModelInput!$B$8-1,ModelOutput!$B$33,0))</f>
        <v>0</v>
      </c>
    </row>
    <row r="21" spans="1:7" x14ac:dyDescent="0.25">
      <c r="A21" t="s">
        <v>233</v>
      </c>
      <c r="B21" s="15">
        <f ca="1">B20*ModelInput!B30</f>
        <v>26000</v>
      </c>
      <c r="C21" t="s">
        <v>223</v>
      </c>
      <c r="F21">
        <v>18</v>
      </c>
      <c r="G21">
        <f ca="1">IF(F21=ModelInput!$B$8,$B$34+$B$33,IF(F21&lt;=ModelInput!$B$8-1,ModelOutput!$B$33,0))</f>
        <v>0</v>
      </c>
    </row>
    <row r="22" spans="1:7" x14ac:dyDescent="0.25">
      <c r="A22" t="s">
        <v>232</v>
      </c>
      <c r="B22" s="15">
        <f ca="1">ModelInput!B4*ModelInput!B39*ModelInput!B17*ModelOutput!B18</f>
        <v>136.52800000000002</v>
      </c>
      <c r="C22" t="s">
        <v>217</v>
      </c>
      <c r="F22">
        <v>19</v>
      </c>
      <c r="G22">
        <f ca="1">IF(F22=ModelInput!$B$8,$B$34+$B$33,IF(F22&lt;=ModelInput!$B$8-1,ModelOutput!$B$33,0))</f>
        <v>0</v>
      </c>
    </row>
    <row r="23" spans="1:7" x14ac:dyDescent="0.25">
      <c r="A23" t="s">
        <v>237</v>
      </c>
      <c r="B23" s="15">
        <f ca="1">ModelInput!B41*ModelInput!B7*ModelInput!B17</f>
        <v>0</v>
      </c>
      <c r="C23" t="s">
        <v>217</v>
      </c>
      <c r="F23">
        <v>20</v>
      </c>
      <c r="G23">
        <f ca="1">IF(F23=ModelInput!$B$8,$B$34+$B$33,IF(F23&lt;=ModelInput!$B$8-1,ModelOutput!$B$33,0))</f>
        <v>0</v>
      </c>
    </row>
    <row r="24" spans="1:7" x14ac:dyDescent="0.25">
      <c r="A24" t="s">
        <v>238</v>
      </c>
      <c r="B24" s="15">
        <f ca="1">ModelInput!B37/60*ModelInput!B22</f>
        <v>3.5155666922186835</v>
      </c>
      <c r="C24" t="s">
        <v>240</v>
      </c>
      <c r="F24">
        <v>21</v>
      </c>
      <c r="G24">
        <f ca="1">IF(F24=ModelInput!$B$8,$B$34+$B$33,IF(F24&lt;=ModelInput!$B$8-1,ModelOutput!$B$33,0))</f>
        <v>0</v>
      </c>
    </row>
    <row r="25" spans="1:7" x14ac:dyDescent="0.25">
      <c r="A25" t="s">
        <v>239</v>
      </c>
      <c r="B25" s="15">
        <f ca="1">B24*ModelInput!B36*ModelInput!B17*ModelOutput!B18</f>
        <v>274.43381832754386</v>
      </c>
      <c r="C25" t="s">
        <v>217</v>
      </c>
      <c r="F25">
        <v>22</v>
      </c>
      <c r="G25">
        <f ca="1">IF(F25=ModelInput!$B$8,$B$34+$B$33,IF(F25&lt;=ModelInput!$B$8-1,ModelOutput!$B$33,0))</f>
        <v>0</v>
      </c>
    </row>
    <row r="26" spans="1:7" x14ac:dyDescent="0.25">
      <c r="A26" t="s">
        <v>231</v>
      </c>
      <c r="B26" s="15">
        <f ca="1">B22+B23+B25</f>
        <v>410.96181832754388</v>
      </c>
      <c r="C26" t="s">
        <v>217</v>
      </c>
      <c r="F26">
        <v>23</v>
      </c>
      <c r="G26">
        <f ca="1">IF(F26=ModelInput!$B$8,$B$34+$B$33,IF(F26&lt;=ModelInput!$B$8-1,ModelOutput!$B$33,0))</f>
        <v>0</v>
      </c>
    </row>
    <row r="27" spans="1:7" x14ac:dyDescent="0.25">
      <c r="A27" t="s">
        <v>234</v>
      </c>
      <c r="B27" s="15">
        <f ca="1">12*ModelInput!B32</f>
        <v>1500</v>
      </c>
      <c r="C27" t="s">
        <v>217</v>
      </c>
      <c r="F27">
        <v>24</v>
      </c>
      <c r="G27">
        <f ca="1">IF(F27=ModelInput!$B$8,$B$34+$B$33,IF(F27&lt;=ModelInput!$B$8-1,ModelOutput!$B$33,0))</f>
        <v>0</v>
      </c>
    </row>
    <row r="28" spans="1:7" x14ac:dyDescent="0.25">
      <c r="A28" t="s">
        <v>235</v>
      </c>
      <c r="B28" s="15">
        <f ca="1">B20*(B27+B26)</f>
        <v>1910.9618183275438</v>
      </c>
      <c r="C28" t="s">
        <v>217</v>
      </c>
      <c r="F28">
        <v>25</v>
      </c>
      <c r="G28">
        <f ca="1">IF(F28=ModelInput!$B$8,$B$34+$B$33,IF(F28&lt;=ModelInput!$B$8-1,ModelOutput!$B$33,0))</f>
        <v>0</v>
      </c>
    </row>
    <row r="29" spans="1:7" x14ac:dyDescent="0.25">
      <c r="A29" t="s">
        <v>257</v>
      </c>
      <c r="B29" s="15">
        <f ca="1">B28*ModelInput!B8</f>
        <v>3821.9236366550876</v>
      </c>
      <c r="C29" t="s">
        <v>164</v>
      </c>
      <c r="F29">
        <v>26</v>
      </c>
      <c r="G29">
        <f ca="1">IF(F29=ModelInput!$B$8,$B$34+$B$33,IF(F29&lt;=ModelInput!$B$8-1,ModelOutput!$B$33,0))</f>
        <v>0</v>
      </c>
    </row>
    <row r="30" spans="1:7" x14ac:dyDescent="0.25">
      <c r="A30" t="s">
        <v>236</v>
      </c>
      <c r="B30" s="15">
        <f ca="1">B20*ModelInput!B33</f>
        <v>0</v>
      </c>
      <c r="C30" t="s">
        <v>164</v>
      </c>
      <c r="F30">
        <v>27</v>
      </c>
      <c r="G30">
        <f ca="1">IF(F30=ModelInput!$B$8,$B$34+$B$33,IF(F30&lt;=ModelInput!$B$8-1,ModelOutput!$B$33,0))</f>
        <v>0</v>
      </c>
    </row>
    <row r="31" spans="1:7" x14ac:dyDescent="0.25">
      <c r="F31">
        <v>28</v>
      </c>
      <c r="G31">
        <f ca="1">IF(F31=ModelInput!$B$8,$B$34+$B$33,IF(F31&lt;=ModelInput!$B$8-1,ModelOutput!$B$33,0))</f>
        <v>0</v>
      </c>
    </row>
    <row r="32" spans="1:7" x14ac:dyDescent="0.25">
      <c r="A32" t="s">
        <v>241</v>
      </c>
      <c r="B32" s="15">
        <f ca="1">B7-B21</f>
        <v>-13000</v>
      </c>
      <c r="F32">
        <v>29</v>
      </c>
      <c r="G32">
        <f ca="1">IF(F32=ModelInput!$B$8,$B$34+$B$33,IF(F32&lt;=ModelInput!$B$8-1,ModelOutput!$B$33,0))</f>
        <v>0</v>
      </c>
    </row>
    <row r="33" spans="1:7" x14ac:dyDescent="0.25">
      <c r="A33" t="s">
        <v>242</v>
      </c>
      <c r="B33" s="15">
        <f ca="1">B12-B28</f>
        <v>8785.7001816724569</v>
      </c>
      <c r="F33">
        <v>30</v>
      </c>
      <c r="G33">
        <f ca="1">IF(F33=ModelInput!$B$8,$B$34+$B$33,IF(F33&lt;=ModelInput!$B$8-1,ModelOutput!$B$33,0))</f>
        <v>0</v>
      </c>
    </row>
    <row r="34" spans="1:7" x14ac:dyDescent="0.25">
      <c r="A34" t="s">
        <v>243</v>
      </c>
      <c r="B34" s="15">
        <f ca="1">B14-B30</f>
        <v>0</v>
      </c>
    </row>
    <row r="36" spans="1:7" x14ac:dyDescent="0.25">
      <c r="A36" s="2" t="s">
        <v>207</v>
      </c>
    </row>
    <row r="37" spans="1:7" x14ac:dyDescent="0.25">
      <c r="A37" t="s">
        <v>244</v>
      </c>
      <c r="B37" s="15">
        <f ca="1">B7+ModelInput!B8*ModelOutput!B12+ModelOutput!B14</f>
        <v>34393.324000000001</v>
      </c>
      <c r="C37" t="s">
        <v>164</v>
      </c>
      <c r="D37" t="s">
        <v>254</v>
      </c>
    </row>
    <row r="38" spans="1:7" x14ac:dyDescent="0.25">
      <c r="A38" t="s">
        <v>245</v>
      </c>
      <c r="B38" s="15">
        <f ca="1">B21+ModelInput!B8*ModelOutput!B28+ModelOutput!B30</f>
        <v>29821.923636655087</v>
      </c>
      <c r="C38" t="s">
        <v>164</v>
      </c>
      <c r="D38" t="s">
        <v>255</v>
      </c>
    </row>
    <row r="40" spans="1:7" x14ac:dyDescent="0.25">
      <c r="A40" s="2" t="s">
        <v>246</v>
      </c>
    </row>
    <row r="41" spans="1:7" x14ac:dyDescent="0.25">
      <c r="A41" t="s">
        <v>247</v>
      </c>
      <c r="B41" s="19">
        <f ca="1">NPV(ModelInput!B3,G3:G33)</f>
        <v>3177.354819072269</v>
      </c>
      <c r="C41" s="18" t="s">
        <v>164</v>
      </c>
    </row>
    <row r="43" spans="1:7" x14ac:dyDescent="0.25">
      <c r="A43" s="2" t="s">
        <v>251</v>
      </c>
    </row>
    <row r="44" spans="1:7" x14ac:dyDescent="0.25">
      <c r="A44" t="s">
        <v>252</v>
      </c>
      <c r="B44" s="16">
        <f ca="1">NPER(ModelInput!B3,ModelOutput!B33,ModelOutput!B32)</f>
        <v>1.5753915668430523</v>
      </c>
      <c r="C44" s="2" t="s">
        <v>253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E8B2-3823-4F4D-943E-C68B1F535EDC}">
  <dimension ref="A1:X43"/>
  <sheetViews>
    <sheetView workbookViewId="0">
      <selection activeCell="B12" sqref="B12:B21"/>
    </sheetView>
  </sheetViews>
  <sheetFormatPr defaultRowHeight="15" x14ac:dyDescent="0.25"/>
  <cols>
    <col min="1" max="1" width="10.85546875" customWidth="1"/>
    <col min="5" max="5" width="9.28515625" bestFit="1" customWidth="1"/>
    <col min="6" max="6" width="9.5703125" bestFit="1" customWidth="1"/>
    <col min="7" max="7" width="9.28515625" bestFit="1" customWidth="1"/>
  </cols>
  <sheetData>
    <row r="1" spans="1:8" x14ac:dyDescent="0.25">
      <c r="A1" t="s">
        <v>258</v>
      </c>
      <c r="B1" t="s">
        <v>143</v>
      </c>
      <c r="C1" t="s">
        <v>144</v>
      </c>
      <c r="D1" t="s">
        <v>259</v>
      </c>
      <c r="E1" t="s">
        <v>261</v>
      </c>
      <c r="F1" t="s">
        <v>260</v>
      </c>
      <c r="G1" t="s">
        <v>262</v>
      </c>
      <c r="H1" t="s">
        <v>263</v>
      </c>
    </row>
    <row r="2" spans="1:8" x14ac:dyDescent="0.25">
      <c r="A2">
        <v>1</v>
      </c>
      <c r="B2">
        <v>0.7</v>
      </c>
      <c r="C2">
        <v>0.8</v>
      </c>
      <c r="D2">
        <v>0.6</v>
      </c>
      <c r="E2" s="14">
        <f>0.5*0.7544*EXP(0.517*A2)*C2*D2</f>
        <v>0.30362894361543336</v>
      </c>
      <c r="F2" s="14">
        <f>243.16 * EXP(-0.679*A2)</f>
        <v>123.31223846651093</v>
      </c>
      <c r="G2" s="14">
        <f>5.133*EXP(-1.083 *A2)/B2/D2</f>
        <v>4.1379100903453514</v>
      </c>
      <c r="H2">
        <f>A2/10</f>
        <v>0.1</v>
      </c>
    </row>
    <row r="3" spans="1:8" x14ac:dyDescent="0.25">
      <c r="A3">
        <v>2</v>
      </c>
      <c r="B3">
        <v>0.7</v>
      </c>
      <c r="C3">
        <v>0.8</v>
      </c>
      <c r="D3">
        <v>0.6</v>
      </c>
      <c r="E3" s="14">
        <f t="shared" ref="E3:E10" si="0">0.5*0.7544*EXP(0.517*A3)*C3*D3</f>
        <v>0.50918243748356329</v>
      </c>
      <c r="F3" s="14">
        <f t="shared" ref="F3:F10" si="1">243.16 * EXP(-0.679*A3)</f>
        <v>62.534578695598213</v>
      </c>
      <c r="G3" s="14">
        <f t="shared" ref="G3:G10" si="2">5.133*EXP(-1.083 *A3)/B3/D3</f>
        <v>1.4010064220978744</v>
      </c>
      <c r="H3">
        <f t="shared" ref="H3:H10" si="3">A3/10</f>
        <v>0.2</v>
      </c>
    </row>
    <row r="4" spans="1:8" x14ac:dyDescent="0.25">
      <c r="A4">
        <v>3</v>
      </c>
      <c r="B4">
        <v>0.7</v>
      </c>
      <c r="C4">
        <v>0.8</v>
      </c>
      <c r="D4">
        <v>0.6</v>
      </c>
      <c r="E4" s="14">
        <f t="shared" si="0"/>
        <v>0.85389341198670998</v>
      </c>
      <c r="F4" s="14">
        <f t="shared" si="1"/>
        <v>31.712777103612453</v>
      </c>
      <c r="G4" s="14">
        <f t="shared" si="2"/>
        <v>0.47435032465765103</v>
      </c>
      <c r="H4">
        <f t="shared" si="3"/>
        <v>0.3</v>
      </c>
    </row>
    <row r="5" spans="1:8" x14ac:dyDescent="0.25">
      <c r="A5">
        <v>4</v>
      </c>
      <c r="B5">
        <v>0.7</v>
      </c>
      <c r="C5">
        <v>0.8</v>
      </c>
      <c r="D5">
        <v>0.6</v>
      </c>
      <c r="E5" s="14">
        <f t="shared" si="0"/>
        <v>1.4319699686378955</v>
      </c>
      <c r="F5" s="14">
        <f t="shared" si="1"/>
        <v>16.082306023342515</v>
      </c>
      <c r="G5" s="14">
        <f t="shared" si="2"/>
        <v>0.16060471026670267</v>
      </c>
      <c r="H5">
        <f t="shared" si="3"/>
        <v>0.4</v>
      </c>
    </row>
    <row r="6" spans="1:8" x14ac:dyDescent="0.25">
      <c r="A6">
        <v>5</v>
      </c>
      <c r="B6">
        <v>0.7</v>
      </c>
      <c r="C6">
        <v>0.8</v>
      </c>
      <c r="D6">
        <v>0.6</v>
      </c>
      <c r="E6" s="14">
        <f t="shared" si="0"/>
        <v>2.4013980694732537</v>
      </c>
      <c r="F6" s="14">
        <f t="shared" si="1"/>
        <v>8.1557211524996589</v>
      </c>
      <c r="G6" s="14">
        <f t="shared" si="2"/>
        <v>5.4377264268697406E-2</v>
      </c>
      <c r="H6">
        <f t="shared" si="3"/>
        <v>0.5</v>
      </c>
    </row>
    <row r="7" spans="1:8" x14ac:dyDescent="0.25">
      <c r="A7">
        <v>6</v>
      </c>
      <c r="B7">
        <v>0.7</v>
      </c>
      <c r="C7">
        <v>0.8</v>
      </c>
      <c r="D7">
        <v>0.6</v>
      </c>
      <c r="E7" s="14">
        <f t="shared" si="0"/>
        <v>4.0271184552531007</v>
      </c>
      <c r="F7" s="14">
        <f t="shared" si="1"/>
        <v>4.135960814374922</v>
      </c>
      <c r="G7" s="14">
        <f t="shared" si="2"/>
        <v>1.8410959830739128E-2</v>
      </c>
      <c r="H7">
        <f t="shared" si="3"/>
        <v>0.6</v>
      </c>
    </row>
    <row r="8" spans="1:8" x14ac:dyDescent="0.25">
      <c r="A8">
        <v>7</v>
      </c>
      <c r="B8">
        <v>0.7</v>
      </c>
      <c r="C8">
        <v>0.8</v>
      </c>
      <c r="D8">
        <v>0.6</v>
      </c>
      <c r="E8" s="14">
        <f t="shared" si="0"/>
        <v>6.75343386787908</v>
      </c>
      <c r="F8" s="14">
        <f t="shared" si="1"/>
        <v>2.0974444243722039</v>
      </c>
      <c r="G8" s="14">
        <f t="shared" si="2"/>
        <v>6.2335508497476152E-3</v>
      </c>
      <c r="H8">
        <f t="shared" si="3"/>
        <v>0.7</v>
      </c>
    </row>
    <row r="9" spans="1:8" x14ac:dyDescent="0.25">
      <c r="A9">
        <v>8</v>
      </c>
      <c r="B9">
        <v>0.7</v>
      </c>
      <c r="C9">
        <v>0.8</v>
      </c>
      <c r="D9">
        <v>0.6</v>
      </c>
      <c r="E9" s="14">
        <f t="shared" si="0"/>
        <v>11.325435175198921</v>
      </c>
      <c r="F9" s="14">
        <f t="shared" si="1"/>
        <v>1.0636641183929878</v>
      </c>
      <c r="G9" s="14">
        <f t="shared" si="2"/>
        <v>2.1105448359901866E-3</v>
      </c>
      <c r="H9">
        <f t="shared" si="3"/>
        <v>0.8</v>
      </c>
    </row>
    <row r="10" spans="1:8" x14ac:dyDescent="0.25">
      <c r="A10">
        <v>9</v>
      </c>
      <c r="B10">
        <v>0.7</v>
      </c>
      <c r="C10">
        <v>0.8</v>
      </c>
      <c r="D10">
        <v>0.6</v>
      </c>
      <c r="E10" s="14">
        <f t="shared" si="0"/>
        <v>18.992631662196889</v>
      </c>
      <c r="F10" s="14">
        <f t="shared" si="1"/>
        <v>0.53940945638899163</v>
      </c>
      <c r="G10" s="14">
        <f t="shared" si="2"/>
        <v>7.1458461029562219E-4</v>
      </c>
      <c r="H10">
        <f t="shared" si="3"/>
        <v>0.9</v>
      </c>
    </row>
    <row r="11" spans="1:8" x14ac:dyDescent="0.25">
      <c r="A11" t="s">
        <v>258</v>
      </c>
      <c r="B11" t="s">
        <v>143</v>
      </c>
      <c r="C11" t="s">
        <v>144</v>
      </c>
      <c r="D11" t="s">
        <v>259</v>
      </c>
      <c r="E11" s="14" t="s">
        <v>261</v>
      </c>
      <c r="F11" s="14" t="s">
        <v>260</v>
      </c>
      <c r="G11" s="14" t="s">
        <v>262</v>
      </c>
    </row>
    <row r="12" spans="1:8" x14ac:dyDescent="0.25">
      <c r="A12">
        <v>5</v>
      </c>
      <c r="B12">
        <v>0.1</v>
      </c>
      <c r="C12">
        <v>0.8</v>
      </c>
      <c r="D12">
        <v>0.6</v>
      </c>
      <c r="E12" s="14">
        <f>0.5*0.7544*EXP(0.517*A12)*C12*D12</f>
        <v>2.4013980694732537</v>
      </c>
      <c r="F12" s="14">
        <f>243.16 * EXP(-0.679*A12)</f>
        <v>8.1557211524996589</v>
      </c>
      <c r="G12" s="14">
        <f>5.133*EXP(-1.083 *A12)/B12/D12</f>
        <v>0.38064084988088182</v>
      </c>
    </row>
    <row r="13" spans="1:8" x14ac:dyDescent="0.25">
      <c r="A13">
        <v>5</v>
      </c>
      <c r="B13">
        <v>0.2</v>
      </c>
      <c r="C13">
        <v>0.8</v>
      </c>
      <c r="D13">
        <v>0.6</v>
      </c>
      <c r="E13" s="14">
        <f t="shared" ref="E13:E20" si="4">0.5*0.7544*EXP(0.517*A13)*C13*D13</f>
        <v>2.4013980694732537</v>
      </c>
      <c r="F13" s="14">
        <f t="shared" ref="F13:F20" si="5">243.16 * EXP(-0.679*A13)</f>
        <v>8.1557211524996589</v>
      </c>
      <c r="G13" s="14">
        <f t="shared" ref="G13:G20" si="6">5.133*EXP(-1.083 *A13)/B13/D13</f>
        <v>0.19032042494044091</v>
      </c>
    </row>
    <row r="14" spans="1:8" x14ac:dyDescent="0.25">
      <c r="A14">
        <v>5</v>
      </c>
      <c r="B14">
        <v>0.3</v>
      </c>
      <c r="C14">
        <v>0.8</v>
      </c>
      <c r="D14">
        <v>0.6</v>
      </c>
      <c r="E14" s="14">
        <f t="shared" si="4"/>
        <v>2.4013980694732537</v>
      </c>
      <c r="F14" s="14">
        <f t="shared" si="5"/>
        <v>8.1557211524996589</v>
      </c>
      <c r="G14" s="14">
        <f t="shared" si="6"/>
        <v>0.12688028329362727</v>
      </c>
    </row>
    <row r="15" spans="1:8" x14ac:dyDescent="0.25">
      <c r="A15">
        <v>5</v>
      </c>
      <c r="B15">
        <v>0.4</v>
      </c>
      <c r="C15">
        <v>0.8</v>
      </c>
      <c r="D15">
        <v>0.6</v>
      </c>
      <c r="E15" s="14">
        <f t="shared" si="4"/>
        <v>2.4013980694732537</v>
      </c>
      <c r="F15" s="14">
        <f t="shared" si="5"/>
        <v>8.1557211524996589</v>
      </c>
      <c r="G15" s="14">
        <f t="shared" si="6"/>
        <v>9.5160212470220454E-2</v>
      </c>
    </row>
    <row r="16" spans="1:8" x14ac:dyDescent="0.25">
      <c r="A16">
        <v>5</v>
      </c>
      <c r="B16">
        <v>0.5</v>
      </c>
      <c r="C16">
        <v>0.8</v>
      </c>
      <c r="D16">
        <v>0.6</v>
      </c>
      <c r="E16" s="14">
        <f t="shared" si="4"/>
        <v>2.4013980694732537</v>
      </c>
      <c r="F16" s="14">
        <f t="shared" si="5"/>
        <v>8.1557211524996589</v>
      </c>
      <c r="G16" s="14">
        <f t="shared" si="6"/>
        <v>7.6128169976176358E-2</v>
      </c>
    </row>
    <row r="17" spans="1:24" x14ac:dyDescent="0.25">
      <c r="A17">
        <v>5</v>
      </c>
      <c r="B17">
        <v>0.6</v>
      </c>
      <c r="C17">
        <v>0.8</v>
      </c>
      <c r="D17">
        <v>0.6</v>
      </c>
      <c r="E17" s="14">
        <f t="shared" si="4"/>
        <v>2.4013980694732537</v>
      </c>
      <c r="F17" s="14">
        <f t="shared" si="5"/>
        <v>8.1557211524996589</v>
      </c>
      <c r="G17" s="14">
        <f t="shared" si="6"/>
        <v>6.3440141646813636E-2</v>
      </c>
    </row>
    <row r="18" spans="1:24" x14ac:dyDescent="0.25">
      <c r="A18">
        <v>5</v>
      </c>
      <c r="B18">
        <v>0.7</v>
      </c>
      <c r="C18">
        <v>0.8</v>
      </c>
      <c r="D18">
        <v>0.6</v>
      </c>
      <c r="E18" s="14">
        <f t="shared" si="4"/>
        <v>2.4013980694732537</v>
      </c>
      <c r="F18" s="14">
        <f t="shared" si="5"/>
        <v>8.1557211524996589</v>
      </c>
      <c r="G18" s="14">
        <f t="shared" si="6"/>
        <v>5.4377264268697406E-2</v>
      </c>
    </row>
    <row r="19" spans="1:24" x14ac:dyDescent="0.25">
      <c r="A19">
        <v>5</v>
      </c>
      <c r="B19">
        <v>0.8</v>
      </c>
      <c r="C19">
        <v>0.8</v>
      </c>
      <c r="D19">
        <v>0.6</v>
      </c>
      <c r="E19" s="14">
        <f t="shared" si="4"/>
        <v>2.4013980694732537</v>
      </c>
      <c r="F19" s="14">
        <f t="shared" si="5"/>
        <v>8.1557211524996589</v>
      </c>
      <c r="G19" s="14">
        <f t="shared" si="6"/>
        <v>4.7580106235110227E-2</v>
      </c>
    </row>
    <row r="20" spans="1:24" x14ac:dyDescent="0.25">
      <c r="A20">
        <v>5</v>
      </c>
      <c r="B20">
        <v>0.9</v>
      </c>
      <c r="C20">
        <v>0.8</v>
      </c>
      <c r="D20">
        <v>0.6</v>
      </c>
      <c r="E20" s="14">
        <f t="shared" si="4"/>
        <v>2.4013980694732537</v>
      </c>
      <c r="F20" s="14">
        <f t="shared" si="5"/>
        <v>8.1557211524996589</v>
      </c>
      <c r="G20" s="14">
        <f t="shared" si="6"/>
        <v>4.2293427764542417E-2</v>
      </c>
    </row>
    <row r="21" spans="1:24" x14ac:dyDescent="0.25">
      <c r="A21">
        <v>5</v>
      </c>
      <c r="B21">
        <v>1</v>
      </c>
      <c r="C21">
        <v>0.8</v>
      </c>
      <c r="D21">
        <v>0.6</v>
      </c>
      <c r="E21" s="14">
        <f t="shared" ref="E21" si="7">0.5*0.7544*EXP(0.517*A21)*C21*D21</f>
        <v>2.4013980694732537</v>
      </c>
      <c r="F21" s="14">
        <f t="shared" ref="F21" si="8">243.16 * EXP(-0.679*A21)</f>
        <v>8.1557211524996589</v>
      </c>
      <c r="G21" s="14">
        <f t="shared" ref="G21" si="9">5.133*EXP(-1.083 *A21)/B21/D21</f>
        <v>3.8064084988088179E-2</v>
      </c>
    </row>
    <row r="22" spans="1:24" x14ac:dyDescent="0.25">
      <c r="A22" t="s">
        <v>258</v>
      </c>
      <c r="B22" t="s">
        <v>143</v>
      </c>
      <c r="C22" t="s">
        <v>144</v>
      </c>
      <c r="D22" t="s">
        <v>259</v>
      </c>
      <c r="E22" s="14" t="s">
        <v>261</v>
      </c>
      <c r="F22" s="14" t="s">
        <v>260</v>
      </c>
      <c r="G22" s="14" t="s">
        <v>262</v>
      </c>
    </row>
    <row r="23" spans="1:24" x14ac:dyDescent="0.25">
      <c r="A23">
        <v>5</v>
      </c>
      <c r="B23">
        <v>0.7</v>
      </c>
      <c r="C23">
        <v>0.1</v>
      </c>
      <c r="D23">
        <v>0.6</v>
      </c>
      <c r="E23" s="14">
        <f>0.5*0.7544*EXP(0.517*A23)*C23*D23</f>
        <v>0.30017475868415672</v>
      </c>
      <c r="F23" s="14">
        <f>243.16 * EXP(-0.679*A23)</f>
        <v>8.1557211524996589</v>
      </c>
      <c r="G23" s="14">
        <f>5.133*EXP(-1.083 *A23)/B23/D23</f>
        <v>5.4377264268697406E-2</v>
      </c>
    </row>
    <row r="24" spans="1:24" x14ac:dyDescent="0.25">
      <c r="A24">
        <v>5</v>
      </c>
      <c r="B24">
        <v>0.7</v>
      </c>
      <c r="C24">
        <v>0.2</v>
      </c>
      <c r="D24">
        <v>0.6</v>
      </c>
      <c r="E24" s="14">
        <f t="shared" ref="E24:E32" si="10">0.5*0.7544*EXP(0.517*A24)*C24*D24</f>
        <v>0.60034951736831343</v>
      </c>
      <c r="F24" s="14">
        <f t="shared" ref="F24:F32" si="11">243.16 * EXP(-0.679*A24)</f>
        <v>8.1557211524996589</v>
      </c>
      <c r="G24" s="14">
        <f t="shared" ref="G24:G32" si="12">5.133*EXP(-1.083 *A24)/B24/D24</f>
        <v>5.4377264268697406E-2</v>
      </c>
    </row>
    <row r="25" spans="1:24" x14ac:dyDescent="0.25">
      <c r="A25">
        <v>5</v>
      </c>
      <c r="B25">
        <v>0.7</v>
      </c>
      <c r="C25">
        <v>0.3</v>
      </c>
      <c r="D25">
        <v>0.6</v>
      </c>
      <c r="E25" s="14">
        <f t="shared" si="10"/>
        <v>0.90052427605246999</v>
      </c>
      <c r="F25" s="14">
        <f t="shared" si="11"/>
        <v>8.1557211524996589</v>
      </c>
      <c r="G25" s="14">
        <f t="shared" si="12"/>
        <v>5.4377264268697406E-2</v>
      </c>
      <c r="U25" t="s">
        <v>264</v>
      </c>
      <c r="W25" t="s">
        <v>269</v>
      </c>
    </row>
    <row r="26" spans="1:24" x14ac:dyDescent="0.25">
      <c r="A26">
        <v>5</v>
      </c>
      <c r="B26">
        <v>0.7</v>
      </c>
      <c r="C26">
        <v>0.4</v>
      </c>
      <c r="D26">
        <v>0.6</v>
      </c>
      <c r="E26" s="14">
        <f t="shared" si="10"/>
        <v>1.2006990347366269</v>
      </c>
      <c r="F26" s="14">
        <f t="shared" si="11"/>
        <v>8.1557211524996589</v>
      </c>
      <c r="G26" s="14">
        <f t="shared" si="12"/>
        <v>5.4377264268697406E-2</v>
      </c>
      <c r="U26" t="s">
        <v>265</v>
      </c>
      <c r="V26" t="s">
        <v>266</v>
      </c>
      <c r="W26" t="s">
        <v>267</v>
      </c>
      <c r="X26" t="s">
        <v>268</v>
      </c>
    </row>
    <row r="27" spans="1:24" x14ac:dyDescent="0.25">
      <c r="A27">
        <v>5</v>
      </c>
      <c r="B27">
        <v>0.7</v>
      </c>
      <c r="C27">
        <v>0.5</v>
      </c>
      <c r="D27">
        <v>0.6</v>
      </c>
      <c r="E27" s="14">
        <f t="shared" si="10"/>
        <v>1.5008737934207834</v>
      </c>
      <c r="F27" s="14">
        <f t="shared" si="11"/>
        <v>8.1557211524996589</v>
      </c>
      <c r="G27" s="14">
        <f t="shared" si="12"/>
        <v>5.4377264268697406E-2</v>
      </c>
      <c r="U27">
        <v>0.1</v>
      </c>
      <c r="V27">
        <v>3</v>
      </c>
      <c r="W27">
        <v>5</v>
      </c>
      <c r="X27">
        <v>0.01</v>
      </c>
    </row>
    <row r="28" spans="1:24" x14ac:dyDescent="0.25">
      <c r="A28">
        <v>5</v>
      </c>
      <c r="B28">
        <v>0.7</v>
      </c>
      <c r="C28">
        <v>0.6</v>
      </c>
      <c r="D28">
        <v>0.6</v>
      </c>
      <c r="E28" s="14">
        <f t="shared" si="10"/>
        <v>1.80104855210494</v>
      </c>
      <c r="F28" s="14">
        <f t="shared" si="11"/>
        <v>8.1557211524996589</v>
      </c>
      <c r="G28" s="14">
        <f t="shared" si="12"/>
        <v>5.4377264268697406E-2</v>
      </c>
      <c r="U28">
        <v>0.2</v>
      </c>
      <c r="V28">
        <v>3</v>
      </c>
      <c r="W28">
        <v>5</v>
      </c>
      <c r="X28">
        <v>0.01</v>
      </c>
    </row>
    <row r="29" spans="1:24" x14ac:dyDescent="0.25">
      <c r="A29">
        <v>5</v>
      </c>
      <c r="B29">
        <v>0.7</v>
      </c>
      <c r="C29">
        <v>0.7</v>
      </c>
      <c r="D29">
        <v>0.6</v>
      </c>
      <c r="E29" s="14">
        <f t="shared" si="10"/>
        <v>2.1012233107890967</v>
      </c>
      <c r="F29" s="14">
        <f t="shared" si="11"/>
        <v>8.1557211524996589</v>
      </c>
      <c r="G29" s="14">
        <f t="shared" si="12"/>
        <v>5.4377264268697406E-2</v>
      </c>
      <c r="U29">
        <v>0.3</v>
      </c>
      <c r="V29">
        <v>3</v>
      </c>
      <c r="W29">
        <v>5</v>
      </c>
      <c r="X29">
        <v>0.01</v>
      </c>
    </row>
    <row r="30" spans="1:24" x14ac:dyDescent="0.25">
      <c r="A30">
        <v>5</v>
      </c>
      <c r="B30">
        <v>0.7</v>
      </c>
      <c r="C30">
        <v>0.8</v>
      </c>
      <c r="D30">
        <v>0.6</v>
      </c>
      <c r="E30" s="14">
        <f t="shared" si="10"/>
        <v>2.4013980694732537</v>
      </c>
      <c r="F30" s="14">
        <f t="shared" si="11"/>
        <v>8.1557211524996589</v>
      </c>
      <c r="G30" s="14">
        <f t="shared" si="12"/>
        <v>5.4377264268697406E-2</v>
      </c>
      <c r="U30">
        <v>0.4</v>
      </c>
      <c r="V30">
        <v>3</v>
      </c>
      <c r="W30">
        <v>5</v>
      </c>
      <c r="X30">
        <v>0.01</v>
      </c>
    </row>
    <row r="31" spans="1:24" x14ac:dyDescent="0.25">
      <c r="A31">
        <v>5</v>
      </c>
      <c r="B31">
        <v>0.7</v>
      </c>
      <c r="C31">
        <v>0.9</v>
      </c>
      <c r="D31">
        <v>0.6</v>
      </c>
      <c r="E31" s="14">
        <f t="shared" si="10"/>
        <v>2.7015728281574103</v>
      </c>
      <c r="F31" s="14">
        <f t="shared" si="11"/>
        <v>8.1557211524996589</v>
      </c>
      <c r="G31" s="14">
        <f t="shared" si="12"/>
        <v>5.4377264268697406E-2</v>
      </c>
      <c r="U31">
        <v>0.5</v>
      </c>
      <c r="V31">
        <v>3</v>
      </c>
      <c r="W31">
        <v>5</v>
      </c>
      <c r="X31">
        <v>0.01</v>
      </c>
    </row>
    <row r="32" spans="1:24" x14ac:dyDescent="0.25">
      <c r="A32">
        <v>5</v>
      </c>
      <c r="B32">
        <v>0.7</v>
      </c>
      <c r="C32">
        <v>1</v>
      </c>
      <c r="D32">
        <v>0.6</v>
      </c>
      <c r="E32" s="14">
        <f t="shared" si="10"/>
        <v>3.0017475868415668</v>
      </c>
      <c r="F32" s="14">
        <f t="shared" si="11"/>
        <v>8.1557211524996589</v>
      </c>
      <c r="G32" s="14">
        <f t="shared" si="12"/>
        <v>5.4377264268697406E-2</v>
      </c>
      <c r="U32">
        <v>0.6</v>
      </c>
      <c r="V32">
        <v>3</v>
      </c>
      <c r="W32">
        <v>5</v>
      </c>
      <c r="X32">
        <v>0.01</v>
      </c>
    </row>
    <row r="33" spans="1:24" x14ac:dyDescent="0.25">
      <c r="A33" t="s">
        <v>258</v>
      </c>
      <c r="B33" t="s">
        <v>143</v>
      </c>
      <c r="C33" t="s">
        <v>144</v>
      </c>
      <c r="D33" t="s">
        <v>259</v>
      </c>
      <c r="E33" s="14" t="s">
        <v>261</v>
      </c>
      <c r="F33" s="14" t="s">
        <v>260</v>
      </c>
      <c r="G33" s="14" t="s">
        <v>262</v>
      </c>
      <c r="U33">
        <v>0.7</v>
      </c>
      <c r="V33">
        <v>3</v>
      </c>
      <c r="W33">
        <v>5</v>
      </c>
      <c r="X33">
        <v>0.01</v>
      </c>
    </row>
    <row r="34" spans="1:24" x14ac:dyDescent="0.25">
      <c r="A34">
        <v>5</v>
      </c>
      <c r="B34">
        <v>0.7</v>
      </c>
      <c r="C34">
        <v>0.8</v>
      </c>
      <c r="D34">
        <v>0.1</v>
      </c>
      <c r="E34" s="14">
        <f>0.5*0.7544*EXP(0.517*A34)*C34*D34</f>
        <v>0.40023301157887564</v>
      </c>
      <c r="F34" s="14">
        <f>243.16 * EXP(-0.679*A34)</f>
        <v>8.1557211524996589</v>
      </c>
      <c r="G34" s="14">
        <f>5.133*EXP(-1.083 *A34)/B34/D34</f>
        <v>0.32626358561218438</v>
      </c>
      <c r="U34">
        <v>0.8</v>
      </c>
      <c r="V34">
        <v>3</v>
      </c>
      <c r="W34">
        <v>5</v>
      </c>
      <c r="X34">
        <v>0.01</v>
      </c>
    </row>
    <row r="35" spans="1:24" x14ac:dyDescent="0.25">
      <c r="A35">
        <v>5</v>
      </c>
      <c r="B35">
        <v>0.7</v>
      </c>
      <c r="C35">
        <v>0.8</v>
      </c>
      <c r="D35">
        <v>0.2</v>
      </c>
      <c r="E35" s="14">
        <f t="shared" ref="E35:E43" si="13">0.5*0.7544*EXP(0.517*A35)*C35*D35</f>
        <v>0.80046602315775128</v>
      </c>
      <c r="F35" s="14">
        <f t="shared" ref="F35:F43" si="14">243.16 * EXP(-0.679*A35)</f>
        <v>8.1557211524996589</v>
      </c>
      <c r="G35" s="14">
        <f t="shared" ref="G35:G43" si="15">5.133*EXP(-1.083 *A35)/B35/D35</f>
        <v>0.16313179280609219</v>
      </c>
      <c r="U35">
        <v>0.9</v>
      </c>
      <c r="V35">
        <v>3</v>
      </c>
      <c r="W35">
        <v>5</v>
      </c>
      <c r="X35">
        <v>0.01</v>
      </c>
    </row>
    <row r="36" spans="1:24" x14ac:dyDescent="0.25">
      <c r="A36">
        <v>5</v>
      </c>
      <c r="B36">
        <v>0.7</v>
      </c>
      <c r="C36">
        <v>0.8</v>
      </c>
      <c r="D36">
        <v>0.3</v>
      </c>
      <c r="E36" s="14">
        <f t="shared" si="13"/>
        <v>1.2006990347366269</v>
      </c>
      <c r="F36" s="14">
        <f t="shared" si="14"/>
        <v>8.1557211524996589</v>
      </c>
      <c r="G36" s="14">
        <f t="shared" si="15"/>
        <v>0.10875452853739481</v>
      </c>
      <c r="U36">
        <v>1</v>
      </c>
      <c r="V36">
        <v>3</v>
      </c>
      <c r="W36">
        <v>5</v>
      </c>
      <c r="X36">
        <v>0.01</v>
      </c>
    </row>
    <row r="37" spans="1:24" x14ac:dyDescent="0.25">
      <c r="A37">
        <v>5</v>
      </c>
      <c r="B37">
        <v>0.7</v>
      </c>
      <c r="C37">
        <v>0.8</v>
      </c>
      <c r="D37">
        <v>0.4</v>
      </c>
      <c r="E37" s="14">
        <f t="shared" si="13"/>
        <v>1.6009320463155026</v>
      </c>
      <c r="F37" s="14">
        <f t="shared" si="14"/>
        <v>8.1557211524996589</v>
      </c>
      <c r="G37" s="14">
        <f t="shared" si="15"/>
        <v>8.1565896403046095E-2</v>
      </c>
    </row>
    <row r="38" spans="1:24" x14ac:dyDescent="0.25">
      <c r="A38">
        <v>5</v>
      </c>
      <c r="B38">
        <v>0.7</v>
      </c>
      <c r="C38">
        <v>0.8</v>
      </c>
      <c r="D38">
        <v>0.5</v>
      </c>
      <c r="E38" s="14">
        <f t="shared" si="13"/>
        <v>2.001165057894378</v>
      </c>
      <c r="F38" s="14">
        <f t="shared" si="14"/>
        <v>8.1557211524996589</v>
      </c>
      <c r="G38" s="14">
        <f t="shared" si="15"/>
        <v>6.5252717122436882E-2</v>
      </c>
    </row>
    <row r="39" spans="1:24" x14ac:dyDescent="0.25">
      <c r="A39">
        <v>5</v>
      </c>
      <c r="B39">
        <v>0.7</v>
      </c>
      <c r="C39">
        <v>0.8</v>
      </c>
      <c r="D39">
        <v>0.6</v>
      </c>
      <c r="E39" s="14">
        <f t="shared" si="13"/>
        <v>2.4013980694732537</v>
      </c>
      <c r="F39" s="14">
        <f t="shared" si="14"/>
        <v>8.1557211524996589</v>
      </c>
      <c r="G39" s="14">
        <f t="shared" si="15"/>
        <v>5.4377264268697406E-2</v>
      </c>
    </row>
    <row r="40" spans="1:24" x14ac:dyDescent="0.25">
      <c r="A40">
        <v>5</v>
      </c>
      <c r="B40">
        <v>0.7</v>
      </c>
      <c r="C40">
        <v>0.8</v>
      </c>
      <c r="D40">
        <v>0.7</v>
      </c>
      <c r="E40" s="14">
        <f t="shared" si="13"/>
        <v>2.801631081052129</v>
      </c>
      <c r="F40" s="14">
        <f t="shared" si="14"/>
        <v>8.1557211524996589</v>
      </c>
      <c r="G40" s="14">
        <f t="shared" si="15"/>
        <v>4.6609083658883492E-2</v>
      </c>
    </row>
    <row r="41" spans="1:24" x14ac:dyDescent="0.25">
      <c r="A41">
        <v>5</v>
      </c>
      <c r="B41">
        <v>0.7</v>
      </c>
      <c r="C41">
        <v>0.8</v>
      </c>
      <c r="D41">
        <v>0.8</v>
      </c>
      <c r="E41" s="14">
        <f t="shared" si="13"/>
        <v>3.2018640926310051</v>
      </c>
      <c r="F41" s="14">
        <f t="shared" si="14"/>
        <v>8.1557211524996589</v>
      </c>
      <c r="G41" s="14">
        <f t="shared" si="15"/>
        <v>4.0782948201523048E-2</v>
      </c>
    </row>
    <row r="42" spans="1:24" x14ac:dyDescent="0.25">
      <c r="A42">
        <v>5</v>
      </c>
      <c r="B42">
        <v>0.7</v>
      </c>
      <c r="C42">
        <v>0.8</v>
      </c>
      <c r="D42">
        <v>0.9</v>
      </c>
      <c r="E42" s="14">
        <f t="shared" si="13"/>
        <v>3.6020971042098804</v>
      </c>
      <c r="F42" s="14">
        <f t="shared" si="14"/>
        <v>8.1557211524996589</v>
      </c>
      <c r="G42" s="14">
        <f t="shared" si="15"/>
        <v>3.6251509512464933E-2</v>
      </c>
    </row>
    <row r="43" spans="1:24" x14ac:dyDescent="0.25">
      <c r="A43">
        <v>5</v>
      </c>
      <c r="B43">
        <v>0.7</v>
      </c>
      <c r="C43">
        <v>0.8</v>
      </c>
      <c r="D43">
        <v>1</v>
      </c>
      <c r="E43" s="14">
        <f t="shared" si="13"/>
        <v>4.0023301157887561</v>
      </c>
      <c r="F43" s="14">
        <f t="shared" si="14"/>
        <v>8.1557211524996589</v>
      </c>
      <c r="G43" s="14">
        <f t="shared" si="15"/>
        <v>3.2626358561218441E-2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AB303-4944-4AD2-9017-3CF64895E3F6}">
  <dimension ref="A1:C53"/>
  <sheetViews>
    <sheetView workbookViewId="0">
      <selection activeCell="C12" sqref="C12"/>
    </sheetView>
  </sheetViews>
  <sheetFormatPr defaultRowHeight="15" x14ac:dyDescent="0.25"/>
  <cols>
    <col min="1" max="1" width="21.140625" customWidth="1"/>
    <col min="2" max="2" width="18.28515625" bestFit="1" customWidth="1"/>
  </cols>
  <sheetData>
    <row r="1" spans="1:3" x14ac:dyDescent="0.25">
      <c r="A1" s="2" t="s">
        <v>270</v>
      </c>
    </row>
    <row r="2" spans="1:3" x14ac:dyDescent="0.25">
      <c r="A2" t="s">
        <v>272</v>
      </c>
    </row>
    <row r="3" spans="1:3" x14ac:dyDescent="0.25">
      <c r="A3" t="s">
        <v>141</v>
      </c>
      <c r="B3">
        <v>8</v>
      </c>
      <c r="C3" t="s">
        <v>142</v>
      </c>
    </row>
    <row r="4" spans="1:3" x14ac:dyDescent="0.25">
      <c r="A4" t="s">
        <v>143</v>
      </c>
      <c r="B4" s="8">
        <v>0.7</v>
      </c>
      <c r="C4" t="s">
        <v>127</v>
      </c>
    </row>
    <row r="5" spans="1:3" x14ac:dyDescent="0.25">
      <c r="A5" t="s">
        <v>144</v>
      </c>
      <c r="B5" s="8">
        <v>0.8</v>
      </c>
      <c r="C5" t="s">
        <v>127</v>
      </c>
    </row>
    <row r="6" spans="1:3" x14ac:dyDescent="0.25">
      <c r="A6" t="s">
        <v>145</v>
      </c>
      <c r="B6" s="8">
        <v>0.6</v>
      </c>
      <c r="C6" t="s">
        <v>127</v>
      </c>
    </row>
    <row r="7" spans="1:3" x14ac:dyDescent="0.25">
      <c r="B7" s="8"/>
    </row>
    <row r="8" spans="1:3" x14ac:dyDescent="0.25">
      <c r="A8" t="s">
        <v>141</v>
      </c>
      <c r="B8" t="s">
        <v>271</v>
      </c>
      <c r="C8" t="s">
        <v>275</v>
      </c>
    </row>
    <row r="9" spans="1:3" x14ac:dyDescent="0.25">
      <c r="A9">
        <v>1</v>
      </c>
      <c r="B9" s="17">
        <v>-30660379.26628283</v>
      </c>
      <c r="C9">
        <f>A9/10</f>
        <v>0.1</v>
      </c>
    </row>
    <row r="10" spans="1:3" x14ac:dyDescent="0.25">
      <c r="A10">
        <v>2</v>
      </c>
      <c r="B10" s="17">
        <v>-3608424.0743925855</v>
      </c>
      <c r="C10">
        <f t="shared" ref="C10:C17" si="0">A10/10</f>
        <v>0.2</v>
      </c>
    </row>
    <row r="11" spans="1:3" x14ac:dyDescent="0.25">
      <c r="A11">
        <v>3</v>
      </c>
      <c r="B11" s="17">
        <v>-297607.68853009638</v>
      </c>
      <c r="C11">
        <f t="shared" si="0"/>
        <v>0.3</v>
      </c>
    </row>
    <row r="12" spans="1:3" x14ac:dyDescent="0.25">
      <c r="A12">
        <v>4</v>
      </c>
      <c r="B12" s="17">
        <v>-50137.726831554013</v>
      </c>
      <c r="C12">
        <f t="shared" si="0"/>
        <v>0.4</v>
      </c>
    </row>
    <row r="13" spans="1:3" x14ac:dyDescent="0.25">
      <c r="A13">
        <v>5</v>
      </c>
      <c r="B13" s="17">
        <v>-7646.8577474220256</v>
      </c>
      <c r="C13">
        <f t="shared" si="0"/>
        <v>0.5</v>
      </c>
    </row>
    <row r="14" spans="1:3" x14ac:dyDescent="0.25">
      <c r="A14">
        <v>6</v>
      </c>
      <c r="B14" s="17">
        <v>-351.1280227607607</v>
      </c>
      <c r="C14">
        <f t="shared" si="0"/>
        <v>0.6</v>
      </c>
    </row>
    <row r="15" spans="1:3" x14ac:dyDescent="0.25">
      <c r="A15">
        <v>7</v>
      </c>
      <c r="B15" s="17">
        <v>901.55692726733912</v>
      </c>
      <c r="C15">
        <f t="shared" si="0"/>
        <v>0.7</v>
      </c>
    </row>
    <row r="16" spans="1:3" x14ac:dyDescent="0.25">
      <c r="A16">
        <v>8</v>
      </c>
      <c r="B16" s="17">
        <v>1116.6443336336306</v>
      </c>
      <c r="C16">
        <f t="shared" si="0"/>
        <v>0.8</v>
      </c>
    </row>
    <row r="17" spans="1:3" x14ac:dyDescent="0.25">
      <c r="A17">
        <v>9</v>
      </c>
      <c r="B17" s="17">
        <v>1153.5750817649459</v>
      </c>
      <c r="C17">
        <f t="shared" si="0"/>
        <v>0.9</v>
      </c>
    </row>
    <row r="19" spans="1:3" x14ac:dyDescent="0.25">
      <c r="A19" t="s">
        <v>72</v>
      </c>
    </row>
    <row r="20" spans="1:3" x14ac:dyDescent="0.25">
      <c r="A20">
        <v>0.1</v>
      </c>
      <c r="B20" s="17">
        <v>849.1267821900467</v>
      </c>
    </row>
    <row r="21" spans="1:3" x14ac:dyDescent="0.25">
      <c r="A21">
        <v>0.2</v>
      </c>
      <c r="B21" s="17">
        <v>1005.1786871988046</v>
      </c>
    </row>
    <row r="22" spans="1:3" x14ac:dyDescent="0.25">
      <c r="A22">
        <v>0.3</v>
      </c>
      <c r="B22" s="17">
        <v>1057.1959888683969</v>
      </c>
    </row>
    <row r="23" spans="1:3" x14ac:dyDescent="0.25">
      <c r="A23">
        <v>0.4</v>
      </c>
      <c r="B23" s="17">
        <v>1083.2046397031861</v>
      </c>
    </row>
    <row r="24" spans="1:3" x14ac:dyDescent="0.25">
      <c r="A24">
        <v>0.5</v>
      </c>
      <c r="B24" s="17">
        <v>1098.8098302040587</v>
      </c>
    </row>
    <row r="25" spans="1:3" x14ac:dyDescent="0.25">
      <c r="A25">
        <v>0.6</v>
      </c>
      <c r="B25" s="17">
        <v>1109.2132905379747</v>
      </c>
    </row>
    <row r="26" spans="1:3" x14ac:dyDescent="0.25">
      <c r="A26">
        <v>0.7</v>
      </c>
      <c r="B26" s="17">
        <v>1116.6443336336306</v>
      </c>
    </row>
    <row r="27" spans="1:3" x14ac:dyDescent="0.25">
      <c r="A27">
        <v>0.8</v>
      </c>
      <c r="B27" s="17">
        <v>1122.2176159553687</v>
      </c>
    </row>
    <row r="28" spans="1:3" x14ac:dyDescent="0.25">
      <c r="A28">
        <v>0.9</v>
      </c>
      <c r="B28" s="17">
        <v>1126.5523910945069</v>
      </c>
    </row>
    <row r="29" spans="1:3" x14ac:dyDescent="0.25">
      <c r="A29">
        <v>1</v>
      </c>
      <c r="B29" s="17">
        <v>1130.0202112058078</v>
      </c>
    </row>
    <row r="31" spans="1:3" x14ac:dyDescent="0.25">
      <c r="A31" t="s">
        <v>144</v>
      </c>
      <c r="B31" t="s">
        <v>273</v>
      </c>
    </row>
    <row r="32" spans="1:3" x14ac:dyDescent="0.25">
      <c r="A32">
        <v>0.1</v>
      </c>
      <c r="B32" s="17">
        <v>-130002.65604644013</v>
      </c>
      <c r="C32" t="s">
        <v>274</v>
      </c>
    </row>
    <row r="33" spans="1:2" x14ac:dyDescent="0.25">
      <c r="A33">
        <v>0.2</v>
      </c>
      <c r="B33" s="17">
        <v>319.67523010741735</v>
      </c>
    </row>
    <row r="34" spans="1:2" x14ac:dyDescent="0.25">
      <c r="A34">
        <v>0.3</v>
      </c>
      <c r="B34" s="17">
        <v>319.67523010741735</v>
      </c>
    </row>
    <row r="35" spans="1:2" x14ac:dyDescent="0.25">
      <c r="A35">
        <v>0.4</v>
      </c>
      <c r="B35" s="17">
        <v>319.67523010741735</v>
      </c>
    </row>
    <row r="36" spans="1:2" x14ac:dyDescent="0.25">
      <c r="A36">
        <v>0.5</v>
      </c>
      <c r="B36" s="17">
        <v>319.67523010741735</v>
      </c>
    </row>
    <row r="37" spans="1:2" x14ac:dyDescent="0.25">
      <c r="A37">
        <v>0.6</v>
      </c>
      <c r="B37" s="17">
        <v>319.67523010741735</v>
      </c>
    </row>
    <row r="38" spans="1:2" x14ac:dyDescent="0.25">
      <c r="A38">
        <v>0.7</v>
      </c>
      <c r="B38" s="17">
        <v>319.67523010741735</v>
      </c>
    </row>
    <row r="39" spans="1:2" x14ac:dyDescent="0.25">
      <c r="A39">
        <v>0.8</v>
      </c>
      <c r="B39" s="17">
        <v>319.67523010741735</v>
      </c>
    </row>
    <row r="40" spans="1:2" x14ac:dyDescent="0.25">
      <c r="A40">
        <v>0.9</v>
      </c>
      <c r="B40" s="17">
        <v>319.67523010741735</v>
      </c>
    </row>
    <row r="41" spans="1:2" x14ac:dyDescent="0.25">
      <c r="A41">
        <v>1</v>
      </c>
      <c r="B41" s="17">
        <v>319.67523010741735</v>
      </c>
    </row>
    <row r="43" spans="1:2" x14ac:dyDescent="0.25">
      <c r="A43" t="s">
        <v>145</v>
      </c>
    </row>
    <row r="44" spans="1:2" x14ac:dyDescent="0.25">
      <c r="A44">
        <v>0.1</v>
      </c>
      <c r="B44" s="17">
        <v>893.71304076397655</v>
      </c>
    </row>
    <row r="45" spans="1:2" x14ac:dyDescent="0.25">
      <c r="A45">
        <v>0.2</v>
      </c>
      <c r="B45" s="17">
        <v>1027.471816485772</v>
      </c>
    </row>
    <row r="46" spans="1:2" x14ac:dyDescent="0.25">
      <c r="A46">
        <v>0.3</v>
      </c>
      <c r="B46" s="17">
        <v>1072.0580750597019</v>
      </c>
    </row>
    <row r="47" spans="1:2" x14ac:dyDescent="0.25">
      <c r="A47">
        <v>0.4</v>
      </c>
      <c r="B47" s="17">
        <v>1094.351204346664</v>
      </c>
    </row>
    <row r="48" spans="1:2" x14ac:dyDescent="0.25">
      <c r="A48">
        <v>0.5</v>
      </c>
      <c r="B48" s="17">
        <v>1107.7270819188439</v>
      </c>
    </row>
    <row r="49" spans="1:2" x14ac:dyDescent="0.25">
      <c r="A49">
        <v>0.6</v>
      </c>
      <c r="B49" s="17">
        <v>1116.6443336336306</v>
      </c>
    </row>
    <row r="50" spans="1:2" x14ac:dyDescent="0.25">
      <c r="A50">
        <v>0.7</v>
      </c>
      <c r="B50" s="17">
        <v>1123.0137991441984</v>
      </c>
    </row>
    <row r="51" spans="1:2" x14ac:dyDescent="0.25">
      <c r="A51">
        <v>0.8</v>
      </c>
      <c r="B51" s="17">
        <v>1127.7908982771135</v>
      </c>
    </row>
    <row r="52" spans="1:2" x14ac:dyDescent="0.25">
      <c r="A52">
        <v>0.9</v>
      </c>
      <c r="B52" s="17">
        <v>1131.5064198249374</v>
      </c>
    </row>
    <row r="53" spans="1:2" x14ac:dyDescent="0.25">
      <c r="A53">
        <v>1</v>
      </c>
      <c r="B53" s="17">
        <v>1134.4788370632041</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F2B30-5546-4786-948F-2BC73EA35898}">
  <dimension ref="A1:C64"/>
  <sheetViews>
    <sheetView topLeftCell="A39" zoomScaleNormal="100" workbookViewId="0">
      <selection activeCell="C73" sqref="C73"/>
    </sheetView>
  </sheetViews>
  <sheetFormatPr defaultRowHeight="15" x14ac:dyDescent="0.25"/>
  <cols>
    <col min="1" max="1" width="15.5703125" bestFit="1" customWidth="1"/>
    <col min="2" max="2" width="14.5703125" bestFit="1" customWidth="1"/>
    <col min="3" max="3" width="16.85546875" customWidth="1"/>
  </cols>
  <sheetData>
    <row r="1" spans="1:1" x14ac:dyDescent="0.25">
      <c r="A1" s="2" t="s">
        <v>276</v>
      </c>
    </row>
    <row r="2" spans="1:1" x14ac:dyDescent="0.25">
      <c r="A2" s="2" t="s">
        <v>277</v>
      </c>
    </row>
    <row r="3" spans="1:1" x14ac:dyDescent="0.25">
      <c r="A3" s="2" t="s">
        <v>278</v>
      </c>
    </row>
    <row r="56" spans="1:3" x14ac:dyDescent="0.25">
      <c r="B56" t="s">
        <v>282</v>
      </c>
      <c r="C56">
        <v>115000</v>
      </c>
    </row>
    <row r="57" spans="1:3" x14ac:dyDescent="0.25">
      <c r="A57" t="s">
        <v>279</v>
      </c>
      <c r="B57" t="s">
        <v>281</v>
      </c>
      <c r="C57" t="s">
        <v>280</v>
      </c>
    </row>
    <row r="58" spans="1:3" x14ac:dyDescent="0.25">
      <c r="A58" s="17">
        <v>57500</v>
      </c>
      <c r="B58" s="8">
        <f>(A58-$C$56)/$C$56</f>
        <v>-0.5</v>
      </c>
      <c r="C58" s="17">
        <v>54410.776739144007</v>
      </c>
    </row>
    <row r="59" spans="1:3" x14ac:dyDescent="0.25">
      <c r="A59" s="17">
        <f>A58+20000</f>
        <v>77500</v>
      </c>
      <c r="B59" s="8">
        <f t="shared" ref="B59:B64" si="0">(A59-$C$56)/$C$56</f>
        <v>-0.32608695652173914</v>
      </c>
      <c r="C59" s="17">
        <v>35363.157691524953</v>
      </c>
    </row>
    <row r="60" spans="1:3" x14ac:dyDescent="0.25">
      <c r="A60" s="17">
        <f t="shared" ref="A60:A64" si="1">A59+20000</f>
        <v>97500</v>
      </c>
      <c r="B60" s="8">
        <f t="shared" si="0"/>
        <v>-0.15217391304347827</v>
      </c>
      <c r="C60" s="17">
        <v>16315.538643905906</v>
      </c>
    </row>
    <row r="61" spans="1:3" x14ac:dyDescent="0.25">
      <c r="A61" s="17">
        <f t="shared" si="1"/>
        <v>117500</v>
      </c>
      <c r="B61" s="8">
        <f t="shared" si="0"/>
        <v>2.1739130434782608E-2</v>
      </c>
      <c r="C61" s="17">
        <v>-2732.0804037131415</v>
      </c>
    </row>
    <row r="62" spans="1:3" x14ac:dyDescent="0.25">
      <c r="A62" s="17">
        <f t="shared" si="1"/>
        <v>137500</v>
      </c>
      <c r="B62" s="8">
        <f t="shared" si="0"/>
        <v>0.19565217391304349</v>
      </c>
      <c r="C62" s="17">
        <v>-21779.699451332181</v>
      </c>
    </row>
    <row r="63" spans="1:3" x14ac:dyDescent="0.25">
      <c r="A63" s="17">
        <f t="shared" si="1"/>
        <v>157500</v>
      </c>
      <c r="B63" s="8">
        <f t="shared" si="0"/>
        <v>0.36956521739130432</v>
      </c>
      <c r="C63" s="17">
        <v>-40827.318498951237</v>
      </c>
    </row>
    <row r="64" spans="1:3" x14ac:dyDescent="0.25">
      <c r="A64" s="17">
        <f t="shared" si="1"/>
        <v>177500</v>
      </c>
      <c r="B64" s="8">
        <f t="shared" si="0"/>
        <v>0.54347826086956519</v>
      </c>
      <c r="C64" s="17">
        <v>-59874.937546570283</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13A14-9B74-4A0A-A854-9B7F98F5B3B4}">
  <dimension ref="A1:K13"/>
  <sheetViews>
    <sheetView workbookViewId="0">
      <selection activeCell="D8" sqref="D8"/>
    </sheetView>
  </sheetViews>
  <sheetFormatPr defaultRowHeight="15" x14ac:dyDescent="0.25"/>
  <cols>
    <col min="2" max="2" width="29" customWidth="1"/>
    <col min="3" max="3" width="38.28515625" customWidth="1"/>
    <col min="4" max="4" width="14" customWidth="1"/>
    <col min="5" max="5" width="16" customWidth="1"/>
    <col min="6" max="6" width="12.7109375" customWidth="1"/>
    <col min="7" max="7" width="10.7109375" customWidth="1"/>
  </cols>
  <sheetData>
    <row r="1" spans="1:11" ht="60" x14ac:dyDescent="0.25">
      <c r="A1" s="5" t="s">
        <v>38</v>
      </c>
      <c r="B1" s="5" t="s">
        <v>57</v>
      </c>
      <c r="C1" s="5" t="s">
        <v>58</v>
      </c>
      <c r="D1" s="5" t="s">
        <v>61</v>
      </c>
      <c r="E1" s="5" t="s">
        <v>62</v>
      </c>
      <c r="F1" s="5" t="s">
        <v>63</v>
      </c>
      <c r="G1" s="5" t="s">
        <v>65</v>
      </c>
      <c r="H1" s="5" t="s">
        <v>67</v>
      </c>
      <c r="I1" s="5" t="s">
        <v>66</v>
      </c>
      <c r="J1" s="5" t="s">
        <v>68</v>
      </c>
      <c r="K1" s="5" t="s">
        <v>69</v>
      </c>
    </row>
    <row r="2" spans="1:11" ht="30" x14ac:dyDescent="0.25">
      <c r="A2">
        <v>1</v>
      </c>
      <c r="B2" s="3" t="s">
        <v>39</v>
      </c>
      <c r="C2" s="3" t="s">
        <v>40</v>
      </c>
      <c r="D2">
        <v>0</v>
      </c>
      <c r="E2">
        <f>D2*212*8.25*7</f>
        <v>0</v>
      </c>
      <c r="F2">
        <v>2</v>
      </c>
      <c r="G2">
        <v>3</v>
      </c>
      <c r="H2">
        <v>0.5</v>
      </c>
      <c r="I2" s="7">
        <f>1/H2</f>
        <v>2</v>
      </c>
      <c r="J2">
        <v>120</v>
      </c>
      <c r="K2">
        <v>1</v>
      </c>
    </row>
    <row r="3" spans="1:11" ht="30" x14ac:dyDescent="0.25">
      <c r="A3">
        <v>2</v>
      </c>
      <c r="B3" s="3" t="s">
        <v>41</v>
      </c>
      <c r="C3" s="3" t="s">
        <v>42</v>
      </c>
      <c r="D3">
        <v>0</v>
      </c>
      <c r="E3">
        <f t="shared" ref="E3:E10" si="0">D3*212*8.25*7</f>
        <v>0</v>
      </c>
      <c r="F3">
        <v>5</v>
      </c>
      <c r="G3">
        <v>7</v>
      </c>
      <c r="H3">
        <v>1</v>
      </c>
      <c r="I3" s="7">
        <f t="shared" ref="I3:I10" si="1">1/H3</f>
        <v>1</v>
      </c>
      <c r="J3">
        <v>60</v>
      </c>
      <c r="K3">
        <v>2</v>
      </c>
    </row>
    <row r="4" spans="1:11" ht="45" x14ac:dyDescent="0.25">
      <c r="A4">
        <v>3</v>
      </c>
      <c r="B4" s="3" t="s">
        <v>43</v>
      </c>
      <c r="C4" s="3" t="s">
        <v>44</v>
      </c>
      <c r="D4">
        <v>0</v>
      </c>
      <c r="E4">
        <f t="shared" si="0"/>
        <v>0</v>
      </c>
      <c r="F4">
        <v>15</v>
      </c>
      <c r="G4">
        <v>12</v>
      </c>
      <c r="H4">
        <v>4</v>
      </c>
      <c r="I4" s="7">
        <f t="shared" si="1"/>
        <v>0.25</v>
      </c>
      <c r="J4">
        <v>30</v>
      </c>
      <c r="K4">
        <v>4</v>
      </c>
    </row>
    <row r="5" spans="1:11" ht="45" x14ac:dyDescent="0.25">
      <c r="A5">
        <v>4</v>
      </c>
      <c r="B5" s="3" t="s">
        <v>45</v>
      </c>
      <c r="C5" s="3" t="s">
        <v>46</v>
      </c>
      <c r="D5">
        <v>0</v>
      </c>
      <c r="E5">
        <f t="shared" si="0"/>
        <v>0</v>
      </c>
      <c r="F5">
        <v>35</v>
      </c>
      <c r="G5">
        <v>18</v>
      </c>
      <c r="H5">
        <v>10</v>
      </c>
      <c r="I5" s="7">
        <f t="shared" si="1"/>
        <v>0.1</v>
      </c>
      <c r="J5">
        <v>15</v>
      </c>
      <c r="K5">
        <v>8</v>
      </c>
    </row>
    <row r="6" spans="1:11" ht="60" x14ac:dyDescent="0.25">
      <c r="A6">
        <v>5</v>
      </c>
      <c r="B6" s="3" t="s">
        <v>47</v>
      </c>
      <c r="C6" s="3" t="s">
        <v>48</v>
      </c>
      <c r="D6">
        <v>1</v>
      </c>
      <c r="E6">
        <f t="shared" si="0"/>
        <v>12243</v>
      </c>
      <c r="F6">
        <v>150</v>
      </c>
      <c r="G6">
        <v>30</v>
      </c>
      <c r="H6">
        <v>150</v>
      </c>
      <c r="I6" s="6">
        <f t="shared" si="1"/>
        <v>6.6666666666666671E-3</v>
      </c>
      <c r="J6">
        <v>10</v>
      </c>
      <c r="K6">
        <v>10</v>
      </c>
    </row>
    <row r="7" spans="1:11" ht="60" x14ac:dyDescent="0.25">
      <c r="A7">
        <v>6</v>
      </c>
      <c r="B7" s="3" t="s">
        <v>49</v>
      </c>
      <c r="C7" s="3" t="s">
        <v>50</v>
      </c>
      <c r="D7">
        <v>1</v>
      </c>
      <c r="E7">
        <f t="shared" si="0"/>
        <v>12243</v>
      </c>
      <c r="F7">
        <v>300</v>
      </c>
      <c r="G7">
        <v>35</v>
      </c>
      <c r="H7">
        <v>300</v>
      </c>
      <c r="I7" s="6">
        <f t="shared" si="1"/>
        <v>3.3333333333333335E-3</v>
      </c>
      <c r="J7">
        <v>5</v>
      </c>
      <c r="K7">
        <v>16</v>
      </c>
    </row>
    <row r="8" spans="1:11" ht="45" x14ac:dyDescent="0.25">
      <c r="A8">
        <v>7</v>
      </c>
      <c r="B8" s="3" t="s">
        <v>51</v>
      </c>
      <c r="C8" s="3" t="s">
        <v>52</v>
      </c>
      <c r="D8">
        <v>10</v>
      </c>
      <c r="E8">
        <f t="shared" si="0"/>
        <v>122430</v>
      </c>
      <c r="F8">
        <v>900</v>
      </c>
      <c r="G8">
        <v>40</v>
      </c>
      <c r="H8">
        <v>600</v>
      </c>
      <c r="I8" s="6">
        <f t="shared" si="1"/>
        <v>1.6666666666666668E-3</v>
      </c>
      <c r="J8">
        <v>2</v>
      </c>
      <c r="K8">
        <v>32</v>
      </c>
    </row>
    <row r="9" spans="1:11" ht="60" x14ac:dyDescent="0.25">
      <c r="A9">
        <v>8</v>
      </c>
      <c r="B9" s="3" t="s">
        <v>53</v>
      </c>
      <c r="C9" s="3" t="s">
        <v>54</v>
      </c>
      <c r="D9">
        <v>100</v>
      </c>
      <c r="E9">
        <f t="shared" si="0"/>
        <v>1224300</v>
      </c>
      <c r="F9">
        <v>1500</v>
      </c>
      <c r="G9">
        <v>45</v>
      </c>
      <c r="H9">
        <v>900</v>
      </c>
      <c r="I9" s="6">
        <f t="shared" si="1"/>
        <v>1.1111111111111111E-3</v>
      </c>
      <c r="J9">
        <v>1</v>
      </c>
      <c r="K9">
        <v>48</v>
      </c>
    </row>
    <row r="10" spans="1:11" ht="60" x14ac:dyDescent="0.25">
      <c r="A10">
        <v>9</v>
      </c>
      <c r="B10" s="3" t="s">
        <v>55</v>
      </c>
      <c r="C10" s="3" t="s">
        <v>56</v>
      </c>
      <c r="D10">
        <v>1000</v>
      </c>
      <c r="E10">
        <f t="shared" si="0"/>
        <v>12243000</v>
      </c>
      <c r="F10" t="s">
        <v>64</v>
      </c>
      <c r="G10">
        <v>50</v>
      </c>
      <c r="H10">
        <v>1200</v>
      </c>
      <c r="I10" s="6">
        <f t="shared" si="1"/>
        <v>8.3333333333333339E-4</v>
      </c>
      <c r="J10">
        <v>0.5</v>
      </c>
      <c r="K10">
        <v>64</v>
      </c>
    </row>
    <row r="12" spans="1:11" x14ac:dyDescent="0.25">
      <c r="A12" t="s">
        <v>59</v>
      </c>
      <c r="B12" s="4" t="s">
        <v>60</v>
      </c>
    </row>
    <row r="13" spans="1:11" ht="60" x14ac:dyDescent="0.25">
      <c r="A13" t="s">
        <v>70</v>
      </c>
      <c r="B13" s="3" t="s">
        <v>71</v>
      </c>
    </row>
  </sheetData>
  <hyperlinks>
    <hyperlink ref="B12" r:id="rId1" xr:uid="{4D0C079C-674A-4326-B620-BADC61C3A795}"/>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50377-D0B0-4FB7-AB26-7414C6CA7A19}">
  <dimension ref="B2:D36"/>
  <sheetViews>
    <sheetView workbookViewId="0">
      <selection activeCell="C3" sqref="C3:C12"/>
    </sheetView>
  </sheetViews>
  <sheetFormatPr defaultRowHeight="15" x14ac:dyDescent="0.25"/>
  <cols>
    <col min="2" max="2" width="35" customWidth="1"/>
    <col min="4" max="4" width="168" bestFit="1" customWidth="1"/>
  </cols>
  <sheetData>
    <row r="2" spans="2:4" x14ac:dyDescent="0.25">
      <c r="B2" s="2" t="s">
        <v>72</v>
      </c>
      <c r="C2" s="2" t="s">
        <v>73</v>
      </c>
      <c r="D2" s="2" t="s">
        <v>75</v>
      </c>
    </row>
    <row r="3" spans="2:4" x14ac:dyDescent="0.25">
      <c r="B3" t="s">
        <v>77</v>
      </c>
      <c r="C3">
        <v>0.1</v>
      </c>
      <c r="D3" t="s">
        <v>87</v>
      </c>
    </row>
    <row r="4" spans="2:4" x14ac:dyDescent="0.25">
      <c r="B4" t="s">
        <v>78</v>
      </c>
      <c r="C4">
        <v>0.2</v>
      </c>
      <c r="D4" t="s">
        <v>88</v>
      </c>
    </row>
    <row r="5" spans="2:4" x14ac:dyDescent="0.25">
      <c r="B5" t="s">
        <v>79</v>
      </c>
      <c r="C5">
        <v>0.3</v>
      </c>
      <c r="D5" t="s">
        <v>89</v>
      </c>
    </row>
    <row r="6" spans="2:4" x14ac:dyDescent="0.25">
      <c r="B6" t="s">
        <v>80</v>
      </c>
      <c r="C6">
        <v>0.4</v>
      </c>
      <c r="D6" t="s">
        <v>90</v>
      </c>
    </row>
    <row r="7" spans="2:4" x14ac:dyDescent="0.25">
      <c r="B7" t="s">
        <v>81</v>
      </c>
      <c r="C7">
        <v>0.5</v>
      </c>
      <c r="D7" t="s">
        <v>91</v>
      </c>
    </row>
    <row r="8" spans="2:4" x14ac:dyDescent="0.25">
      <c r="B8" t="s">
        <v>82</v>
      </c>
      <c r="C8">
        <v>0.6</v>
      </c>
      <c r="D8" t="s">
        <v>92</v>
      </c>
    </row>
    <row r="9" spans="2:4" x14ac:dyDescent="0.25">
      <c r="B9" t="s">
        <v>83</v>
      </c>
      <c r="C9">
        <v>0.7</v>
      </c>
      <c r="D9" t="s">
        <v>93</v>
      </c>
    </row>
    <row r="10" spans="2:4" x14ac:dyDescent="0.25">
      <c r="B10" t="s">
        <v>84</v>
      </c>
      <c r="C10">
        <v>0.8</v>
      </c>
      <c r="D10" t="s">
        <v>94</v>
      </c>
    </row>
    <row r="11" spans="2:4" x14ac:dyDescent="0.25">
      <c r="B11" t="s">
        <v>85</v>
      </c>
      <c r="C11">
        <v>0.9</v>
      </c>
      <c r="D11" t="s">
        <v>95</v>
      </c>
    </row>
    <row r="12" spans="2:4" x14ac:dyDescent="0.25">
      <c r="B12" t="s">
        <v>86</v>
      </c>
      <c r="C12">
        <v>1</v>
      </c>
      <c r="D12" t="s">
        <v>96</v>
      </c>
    </row>
    <row r="14" spans="2:4" x14ac:dyDescent="0.25">
      <c r="B14" s="2" t="s">
        <v>74</v>
      </c>
      <c r="C14" s="2" t="s">
        <v>73</v>
      </c>
    </row>
    <row r="15" spans="2:4" x14ac:dyDescent="0.25">
      <c r="B15" t="s">
        <v>77</v>
      </c>
      <c r="C15">
        <v>0.1</v>
      </c>
      <c r="D15" t="s">
        <v>97</v>
      </c>
    </row>
    <row r="16" spans="2:4" x14ac:dyDescent="0.25">
      <c r="B16" t="s">
        <v>78</v>
      </c>
      <c r="C16">
        <v>0.2</v>
      </c>
      <c r="D16" t="s">
        <v>98</v>
      </c>
    </row>
    <row r="17" spans="2:4" x14ac:dyDescent="0.25">
      <c r="B17" t="s">
        <v>79</v>
      </c>
      <c r="C17">
        <v>0.3</v>
      </c>
      <c r="D17" t="s">
        <v>99</v>
      </c>
    </row>
    <row r="18" spans="2:4" x14ac:dyDescent="0.25">
      <c r="B18" t="s">
        <v>80</v>
      </c>
      <c r="C18">
        <v>0.4</v>
      </c>
      <c r="D18" t="s">
        <v>100</v>
      </c>
    </row>
    <row r="19" spans="2:4" x14ac:dyDescent="0.25">
      <c r="B19" t="s">
        <v>81</v>
      </c>
      <c r="C19">
        <v>0.5</v>
      </c>
      <c r="D19" t="s">
        <v>102</v>
      </c>
    </row>
    <row r="20" spans="2:4" x14ac:dyDescent="0.25">
      <c r="B20" t="s">
        <v>82</v>
      </c>
      <c r="C20">
        <v>0.6</v>
      </c>
      <c r="D20" t="s">
        <v>101</v>
      </c>
    </row>
    <row r="21" spans="2:4" x14ac:dyDescent="0.25">
      <c r="B21" t="s">
        <v>83</v>
      </c>
      <c r="C21">
        <v>0.7</v>
      </c>
      <c r="D21" t="s">
        <v>103</v>
      </c>
    </row>
    <row r="22" spans="2:4" x14ac:dyDescent="0.25">
      <c r="B22" t="s">
        <v>84</v>
      </c>
      <c r="C22">
        <v>0.8</v>
      </c>
      <c r="D22" t="s">
        <v>104</v>
      </c>
    </row>
    <row r="23" spans="2:4" x14ac:dyDescent="0.25">
      <c r="B23" t="s">
        <v>85</v>
      </c>
      <c r="C23">
        <v>0.9</v>
      </c>
      <c r="D23" t="s">
        <v>105</v>
      </c>
    </row>
    <row r="24" spans="2:4" x14ac:dyDescent="0.25">
      <c r="B24" t="s">
        <v>86</v>
      </c>
      <c r="C24">
        <v>1</v>
      </c>
      <c r="D24" t="s">
        <v>106</v>
      </c>
    </row>
    <row r="26" spans="2:4" x14ac:dyDescent="0.25">
      <c r="B26" s="2" t="s">
        <v>76</v>
      </c>
      <c r="C26" s="2" t="s">
        <v>73</v>
      </c>
    </row>
    <row r="27" spans="2:4" x14ac:dyDescent="0.25">
      <c r="B27" t="s">
        <v>77</v>
      </c>
      <c r="C27">
        <v>0.1</v>
      </c>
      <c r="D27" t="s">
        <v>108</v>
      </c>
    </row>
    <row r="28" spans="2:4" x14ac:dyDescent="0.25">
      <c r="B28" t="s">
        <v>78</v>
      </c>
      <c r="C28">
        <v>0.2</v>
      </c>
      <c r="D28" t="s">
        <v>107</v>
      </c>
    </row>
    <row r="29" spans="2:4" x14ac:dyDescent="0.25">
      <c r="B29" t="s">
        <v>79</v>
      </c>
      <c r="C29">
        <v>0.3</v>
      </c>
      <c r="D29" t="s">
        <v>109</v>
      </c>
    </row>
    <row r="30" spans="2:4" x14ac:dyDescent="0.25">
      <c r="B30" t="s">
        <v>80</v>
      </c>
      <c r="C30">
        <v>0.4</v>
      </c>
      <c r="D30" t="s">
        <v>110</v>
      </c>
    </row>
    <row r="31" spans="2:4" x14ac:dyDescent="0.25">
      <c r="B31" t="s">
        <v>81</v>
      </c>
      <c r="C31">
        <v>0.5</v>
      </c>
      <c r="D31" t="s">
        <v>111</v>
      </c>
    </row>
    <row r="32" spans="2:4" x14ac:dyDescent="0.25">
      <c r="B32" t="s">
        <v>82</v>
      </c>
      <c r="C32">
        <v>0.6</v>
      </c>
      <c r="D32" t="s">
        <v>113</v>
      </c>
    </row>
    <row r="33" spans="2:4" x14ac:dyDescent="0.25">
      <c r="B33" t="s">
        <v>83</v>
      </c>
      <c r="C33">
        <v>0.7</v>
      </c>
      <c r="D33" t="s">
        <v>112</v>
      </c>
    </row>
    <row r="34" spans="2:4" x14ac:dyDescent="0.25">
      <c r="B34" t="s">
        <v>84</v>
      </c>
      <c r="C34">
        <v>0.8</v>
      </c>
      <c r="D34" t="s">
        <v>114</v>
      </c>
    </row>
    <row r="35" spans="2:4" x14ac:dyDescent="0.25">
      <c r="B35" t="s">
        <v>85</v>
      </c>
      <c r="C35">
        <v>0.9</v>
      </c>
      <c r="D35" t="s">
        <v>115</v>
      </c>
    </row>
    <row r="36" spans="2:4" x14ac:dyDescent="0.25">
      <c r="B36" t="s">
        <v>86</v>
      </c>
      <c r="C36">
        <v>1</v>
      </c>
      <c r="D3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Overview</vt:lpstr>
      <vt:lpstr>License</vt:lpstr>
      <vt:lpstr>Revisions</vt:lpstr>
      <vt:lpstr>Inp_Baseline</vt:lpstr>
      <vt:lpstr>Inp_CheapAGV</vt:lpstr>
      <vt:lpstr>Inp_SlowVehicle</vt:lpstr>
      <vt:lpstr>Inp_Custom</vt:lpstr>
      <vt:lpstr>ModelInput</vt:lpstr>
      <vt:lpstr>ModelOutput</vt:lpstr>
      <vt:lpstr>ModelInputSensitivity</vt:lpstr>
      <vt:lpstr>ModelOutputSensitivity</vt:lpstr>
      <vt:lpstr>AssumptionSensitivity</vt:lpstr>
      <vt:lpstr>TechMaturity</vt:lpstr>
      <vt:lpstr>MissionModel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dc:creator>
  <cp:lastModifiedBy>Erik Wilhelm</cp:lastModifiedBy>
  <dcterms:created xsi:type="dcterms:W3CDTF">2023-08-11T08:23:07Z</dcterms:created>
  <dcterms:modified xsi:type="dcterms:W3CDTF">2024-04-25T06:07:35Z</dcterms:modified>
</cp:coreProperties>
</file>