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1b5\AC\Temp\"/>
    </mc:Choice>
  </mc:AlternateContent>
  <xr:revisionPtr revIDLastSave="0" documentId="8_{0163DB4F-A3D0-1D41-9498-C7F85A089F95}" xr6:coauthVersionLast="47" xr6:coauthVersionMax="47" xr10:uidLastSave="{00000000-0000-0000-0000-000000000000}"/>
  <bookViews>
    <workbookView xWindow="-60" yWindow="-60" windowWidth="15480" windowHeight="11640" tabRatio="908" xr2:uid="{00000000-000D-0000-FFFF-FFFF00000000}"/>
  </bookViews>
  <sheets>
    <sheet name="Certificate" sheetId="43" r:id="rId1"/>
    <sheet name="summary" sheetId="5" r:id="rId2"/>
    <sheet name="Material on site" sheetId="47" r:id="rId3"/>
    <sheet name="SUMERY OF EACH" sheetId="7" r:id="rId4"/>
    <sheet name="WORK MESUREMENT OPD" sheetId="8" r:id="rId5"/>
    <sheet name="waiting" sheetId="31" r:id="rId6"/>
    <sheet name="WORK MES IPD" sheetId="9" r:id="rId7"/>
    <sheet name="WORK MES OR" sheetId="10" r:id="rId8"/>
    <sheet name="EMERGENCY" sheetId="26" r:id="rId9"/>
    <sheet name="Adminstration" sheetId="27" r:id="rId10"/>
    <sheet name="DIAGONSTIC" sheetId="11" r:id="rId11"/>
    <sheet name="Staff" sheetId="33" r:id="rId12"/>
    <sheet name="service q" sheetId="44" r:id="rId13"/>
    <sheet name="Gener" sheetId="36" r:id="rId14"/>
    <sheet name="Transformer" sheetId="42" r:id="rId15"/>
    <sheet name="Kitchen" sheetId="35" r:id="rId16"/>
    <sheet name="store" sheetId="39" r:id="rId17"/>
    <sheet name="Guard" sheetId="45" r:id="rId18"/>
    <sheet name="civil" sheetId="41" r:id="rId19"/>
    <sheet name="Sheet1" sheetId="46" r:id="rId20"/>
  </sheets>
  <externalReferences>
    <externalReference r:id="rId21"/>
  </externalReferences>
  <definedNames>
    <definedName name="_xlnm.Print_Area" localSheetId="9">Adminstration!$A$1:$L$101</definedName>
    <definedName name="_xlnm.Print_Area" localSheetId="0">Certificate!$A$1:$J$50</definedName>
    <definedName name="_xlnm.Print_Area" localSheetId="18">civil!$A$1:$L$51</definedName>
    <definedName name="_xlnm.Print_Area" localSheetId="10">DIAGONSTIC!$A$1:$L$111</definedName>
    <definedName name="_xlnm.Print_Area" localSheetId="8">EMERGENCY!$A$1:$L$102</definedName>
    <definedName name="_xlnm.Print_Area" localSheetId="13">Gener!$A$1:$L$89</definedName>
    <definedName name="_xlnm.Print_Area" localSheetId="17">Guard!$A$1:$L$82</definedName>
    <definedName name="_xlnm.Print_Area" localSheetId="15">Kitchen!$A$1:$L$118</definedName>
    <definedName name="_xlnm.Print_Area" localSheetId="12">'service q'!$A$1:$L$90</definedName>
    <definedName name="_xlnm.Print_Area" localSheetId="11">Staff!$A$1:$L$87</definedName>
    <definedName name="_xlnm.Print_Area" localSheetId="16">store!$A$1:$L$94</definedName>
    <definedName name="_xlnm.Print_Area" localSheetId="3">'SUMERY OF EACH'!$A$1:$F$326</definedName>
    <definedName name="_xlnm.Print_Area" localSheetId="1">summary!$A$1:$F$30</definedName>
    <definedName name="_xlnm.Print_Area" localSheetId="14">Transformer!$A$1:$L$64</definedName>
    <definedName name="_xlnm.Print_Area" localSheetId="5">waiting!$A$1:$L$93</definedName>
    <definedName name="_xlnm.Print_Area" localSheetId="6">'WORK MES IPD'!$A$1:$L$108</definedName>
    <definedName name="_xlnm.Print_Area" localSheetId="7">'WORK MES OR'!$A$1:$L$115</definedName>
    <definedName name="_xlnm.Print_Area" localSheetId="4">'WORK MESUREMENT OPD'!$A$1:$L$105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8" i="8" l="1"/>
  <c r="K49" i="8"/>
  <c r="K50" i="8"/>
  <c r="K51" i="8"/>
  <c r="K52" i="8"/>
  <c r="K53" i="8"/>
  <c r="K54" i="8"/>
  <c r="K55" i="8"/>
  <c r="K56" i="8"/>
  <c r="K57" i="8"/>
  <c r="K58" i="8"/>
  <c r="K59" i="8"/>
  <c r="K60" i="8"/>
  <c r="E12" i="7"/>
  <c r="K62" i="8"/>
  <c r="K63" i="8"/>
  <c r="K64" i="8"/>
  <c r="K65" i="8"/>
  <c r="E13" i="7"/>
  <c r="K67" i="8"/>
  <c r="K68" i="8"/>
  <c r="K69" i="8"/>
  <c r="E14" i="7"/>
  <c r="K73" i="8"/>
  <c r="K74" i="8"/>
  <c r="K75" i="8"/>
  <c r="K76" i="8"/>
  <c r="K78" i="8"/>
  <c r="K79" i="8"/>
  <c r="K80" i="8"/>
  <c r="K81" i="8"/>
  <c r="K82" i="8"/>
  <c r="E15" i="7"/>
  <c r="K85" i="8"/>
  <c r="K86" i="8"/>
  <c r="K87" i="8"/>
  <c r="K88" i="8"/>
  <c r="K89" i="8"/>
  <c r="K90" i="8"/>
  <c r="K91" i="8"/>
  <c r="K92" i="8"/>
  <c r="K93" i="8"/>
  <c r="K94" i="8"/>
  <c r="E16" i="7"/>
  <c r="K97" i="8"/>
  <c r="K98" i="8"/>
  <c r="K99" i="8"/>
  <c r="K100" i="8"/>
  <c r="K101" i="8"/>
  <c r="K102" i="8"/>
  <c r="K103" i="8"/>
  <c r="K104" i="8"/>
  <c r="K105" i="8"/>
  <c r="E17" i="7"/>
  <c r="E18" i="7"/>
  <c r="K8" i="8"/>
  <c r="K9" i="8"/>
  <c r="K10" i="8"/>
  <c r="K11" i="8"/>
  <c r="K12" i="8"/>
  <c r="K13" i="8"/>
  <c r="K14" i="8"/>
  <c r="E7" i="7"/>
  <c r="E17" i="8"/>
  <c r="F17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E8" i="7"/>
  <c r="K36" i="8"/>
  <c r="K37" i="8"/>
  <c r="K38" i="8"/>
  <c r="E9" i="7"/>
  <c r="E10" i="7"/>
  <c r="E19" i="7"/>
  <c r="E5" i="5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D12" i="7"/>
  <c r="E62" i="8"/>
  <c r="J62" i="8"/>
  <c r="J63" i="8"/>
  <c r="J64" i="8"/>
  <c r="J65" i="8"/>
  <c r="D13" i="7"/>
  <c r="J67" i="8"/>
  <c r="J68" i="8"/>
  <c r="J69" i="8"/>
  <c r="D14" i="7"/>
  <c r="J73" i="8"/>
  <c r="J74" i="8"/>
  <c r="J75" i="8"/>
  <c r="J76" i="8"/>
  <c r="J78" i="8"/>
  <c r="J79" i="8"/>
  <c r="J80" i="8"/>
  <c r="J81" i="8"/>
  <c r="J82" i="8"/>
  <c r="D15" i="7"/>
  <c r="J85" i="8"/>
  <c r="J86" i="8"/>
  <c r="J87" i="8"/>
  <c r="J88" i="8"/>
  <c r="J89" i="8"/>
  <c r="J90" i="8"/>
  <c r="J91" i="8"/>
  <c r="J92" i="8"/>
  <c r="J93" i="8"/>
  <c r="J94" i="8"/>
  <c r="D16" i="7"/>
  <c r="J97" i="8"/>
  <c r="J98" i="8"/>
  <c r="J99" i="8"/>
  <c r="J100" i="8"/>
  <c r="J101" i="8"/>
  <c r="J102" i="8"/>
  <c r="J103" i="8"/>
  <c r="J104" i="8"/>
  <c r="J105" i="8"/>
  <c r="D17" i="7"/>
  <c r="D18" i="7"/>
  <c r="J8" i="8"/>
  <c r="J9" i="8"/>
  <c r="J10" i="8"/>
  <c r="E11" i="8"/>
  <c r="J11" i="8"/>
  <c r="J12" i="8"/>
  <c r="J13" i="8"/>
  <c r="J14" i="8"/>
  <c r="D7" i="7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E30" i="8"/>
  <c r="J30" i="8"/>
  <c r="E31" i="8"/>
  <c r="J31" i="8"/>
  <c r="E32" i="8"/>
  <c r="J32" i="8"/>
  <c r="J33" i="8"/>
  <c r="J34" i="8"/>
  <c r="D8" i="7"/>
  <c r="J36" i="8"/>
  <c r="J37" i="8"/>
  <c r="J38" i="8"/>
  <c r="D9" i="7"/>
  <c r="D10" i="7"/>
  <c r="D19" i="7"/>
  <c r="D5" i="5"/>
  <c r="F5" i="5"/>
  <c r="H8" i="31"/>
  <c r="K8" i="31"/>
  <c r="H9" i="31"/>
  <c r="K9" i="31"/>
  <c r="H10" i="31"/>
  <c r="K10" i="31"/>
  <c r="H11" i="31"/>
  <c r="K11" i="31"/>
  <c r="H12" i="31"/>
  <c r="K12" i="31"/>
  <c r="H13" i="31"/>
  <c r="K13" i="31"/>
  <c r="K14" i="31"/>
  <c r="E30" i="7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E31" i="7"/>
  <c r="K35" i="31"/>
  <c r="K36" i="31"/>
  <c r="K37" i="31"/>
  <c r="E32" i="7"/>
  <c r="E33" i="7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E35" i="7"/>
  <c r="K62" i="31"/>
  <c r="K63" i="31"/>
  <c r="K64" i="31"/>
  <c r="E36" i="7"/>
  <c r="K66" i="31"/>
  <c r="K67" i="31"/>
  <c r="K68" i="31"/>
  <c r="E37" i="7"/>
  <c r="K72" i="31"/>
  <c r="K73" i="31"/>
  <c r="K74" i="31"/>
  <c r="K75" i="31"/>
  <c r="K76" i="31"/>
  <c r="E38" i="7"/>
  <c r="K79" i="31"/>
  <c r="K80" i="31"/>
  <c r="K81" i="31"/>
  <c r="K82" i="31"/>
  <c r="K83" i="31"/>
  <c r="K84" i="31"/>
  <c r="E39" i="7"/>
  <c r="K86" i="31"/>
  <c r="K87" i="31"/>
  <c r="K88" i="31"/>
  <c r="K89" i="31"/>
  <c r="K90" i="31"/>
  <c r="K91" i="31"/>
  <c r="K92" i="31"/>
  <c r="K93" i="31"/>
  <c r="E40" i="7"/>
  <c r="E41" i="7"/>
  <c r="E42" i="7"/>
  <c r="E6" i="5"/>
  <c r="J8" i="31"/>
  <c r="J9" i="31"/>
  <c r="J10" i="31"/>
  <c r="J11" i="31"/>
  <c r="J12" i="31"/>
  <c r="J13" i="31"/>
  <c r="J14" i="31"/>
  <c r="D30" i="7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E30" i="31"/>
  <c r="J30" i="31"/>
  <c r="E31" i="31"/>
  <c r="J31" i="31"/>
  <c r="J32" i="31"/>
  <c r="J33" i="31"/>
  <c r="D31" i="7"/>
  <c r="J35" i="31"/>
  <c r="J36" i="31"/>
  <c r="J37" i="31"/>
  <c r="D32" i="7"/>
  <c r="D33" i="7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D35" i="7"/>
  <c r="E62" i="31"/>
  <c r="J62" i="31"/>
  <c r="J63" i="31"/>
  <c r="J64" i="31"/>
  <c r="D36" i="7"/>
  <c r="J66" i="31"/>
  <c r="J67" i="31"/>
  <c r="J68" i="31"/>
  <c r="D37" i="7"/>
  <c r="J72" i="31"/>
  <c r="J73" i="31"/>
  <c r="J74" i="31"/>
  <c r="J75" i="31"/>
  <c r="J76" i="31"/>
  <c r="D38" i="7"/>
  <c r="J79" i="31"/>
  <c r="J80" i="31"/>
  <c r="J81" i="31"/>
  <c r="J82" i="31"/>
  <c r="J83" i="31"/>
  <c r="J84" i="31"/>
  <c r="D39" i="7"/>
  <c r="J86" i="31"/>
  <c r="J87" i="31"/>
  <c r="J88" i="31"/>
  <c r="J89" i="31"/>
  <c r="J90" i="31"/>
  <c r="J91" i="31"/>
  <c r="J92" i="31"/>
  <c r="J93" i="31"/>
  <c r="D40" i="7"/>
  <c r="D41" i="7"/>
  <c r="D42" i="7"/>
  <c r="D6" i="5"/>
  <c r="F6" i="5"/>
  <c r="K49" i="9"/>
  <c r="K50" i="9"/>
  <c r="K51" i="9"/>
  <c r="K52" i="9"/>
  <c r="K53" i="9"/>
  <c r="K54" i="9"/>
  <c r="K55" i="9"/>
  <c r="K56" i="9"/>
  <c r="K57" i="9"/>
  <c r="K58" i="9"/>
  <c r="K59" i="9"/>
  <c r="K60" i="9"/>
  <c r="E82" i="7"/>
  <c r="K63" i="9"/>
  <c r="K64" i="9"/>
  <c r="K65" i="9"/>
  <c r="K66" i="9"/>
  <c r="E83" i="7"/>
  <c r="K68" i="9"/>
  <c r="K69" i="9"/>
  <c r="K70" i="9"/>
  <c r="E84" i="7"/>
  <c r="K74" i="9"/>
  <c r="K75" i="9"/>
  <c r="K76" i="9"/>
  <c r="K77" i="9"/>
  <c r="K78" i="9"/>
  <c r="E85" i="7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E86" i="7"/>
  <c r="K100" i="9"/>
  <c r="K101" i="9"/>
  <c r="K102" i="9"/>
  <c r="K103" i="9"/>
  <c r="K104" i="9"/>
  <c r="K105" i="9"/>
  <c r="K106" i="9"/>
  <c r="K107" i="9"/>
  <c r="E87" i="7"/>
  <c r="E88" i="7"/>
  <c r="K8" i="9"/>
  <c r="K9" i="9"/>
  <c r="K10" i="9"/>
  <c r="K11" i="9"/>
  <c r="K12" i="9"/>
  <c r="K13" i="9"/>
  <c r="K14" i="9"/>
  <c r="E77" i="7"/>
  <c r="K17" i="9"/>
  <c r="K18" i="9"/>
  <c r="F19" i="9"/>
  <c r="K19" i="9"/>
  <c r="K20" i="9"/>
  <c r="K21" i="9"/>
  <c r="K22" i="9"/>
  <c r="F23" i="9"/>
  <c r="K23" i="9"/>
  <c r="K24" i="9"/>
  <c r="F25" i="9"/>
  <c r="K25" i="9"/>
  <c r="K26" i="9"/>
  <c r="K27" i="9"/>
  <c r="E28" i="9"/>
  <c r="F28" i="9"/>
  <c r="K28" i="9"/>
  <c r="K29" i="9"/>
  <c r="K30" i="9"/>
  <c r="K31" i="9"/>
  <c r="K32" i="9"/>
  <c r="K33" i="9"/>
  <c r="K34" i="9"/>
  <c r="E78" i="7"/>
  <c r="K36" i="9"/>
  <c r="K37" i="9"/>
  <c r="K38" i="9"/>
  <c r="E79" i="7"/>
  <c r="E80" i="7"/>
  <c r="E89" i="7"/>
  <c r="E7" i="5"/>
  <c r="J49" i="9"/>
  <c r="J50" i="9"/>
  <c r="J51" i="9"/>
  <c r="J52" i="9"/>
  <c r="J53" i="9"/>
  <c r="J54" i="9"/>
  <c r="J55" i="9"/>
  <c r="J56" i="9"/>
  <c r="J57" i="9"/>
  <c r="J58" i="9"/>
  <c r="J59" i="9"/>
  <c r="J60" i="9"/>
  <c r="D82" i="7"/>
  <c r="J63" i="9"/>
  <c r="J64" i="9"/>
  <c r="J65" i="9"/>
  <c r="J66" i="9"/>
  <c r="D83" i="7"/>
  <c r="J68" i="9"/>
  <c r="J69" i="9"/>
  <c r="J70" i="9"/>
  <c r="D84" i="7"/>
  <c r="J74" i="9"/>
  <c r="J75" i="9"/>
  <c r="J76" i="9"/>
  <c r="J77" i="9"/>
  <c r="J78" i="9"/>
  <c r="D85" i="7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D86" i="7"/>
  <c r="J100" i="9"/>
  <c r="J101" i="9"/>
  <c r="J102" i="9"/>
  <c r="J103" i="9"/>
  <c r="J104" i="9"/>
  <c r="J105" i="9"/>
  <c r="J106" i="9"/>
  <c r="J107" i="9"/>
  <c r="D87" i="7"/>
  <c r="D88" i="7"/>
  <c r="J8" i="9"/>
  <c r="J9" i="9"/>
  <c r="J10" i="9"/>
  <c r="E11" i="9"/>
  <c r="J11" i="9"/>
  <c r="J12" i="9"/>
  <c r="J13" i="9"/>
  <c r="J14" i="9"/>
  <c r="D77" i="7"/>
  <c r="J17" i="9"/>
  <c r="J18" i="9"/>
  <c r="J19" i="9"/>
  <c r="J20" i="9"/>
  <c r="J21" i="9"/>
  <c r="J22" i="9"/>
  <c r="J23" i="9"/>
  <c r="E24" i="9"/>
  <c r="J24" i="9"/>
  <c r="J25" i="9"/>
  <c r="J26" i="9"/>
  <c r="J27" i="9"/>
  <c r="J28" i="9"/>
  <c r="J29" i="9"/>
  <c r="E30" i="9"/>
  <c r="J30" i="9"/>
  <c r="E31" i="9"/>
  <c r="J31" i="9"/>
  <c r="E32" i="9"/>
  <c r="J32" i="9"/>
  <c r="J33" i="9"/>
  <c r="J34" i="9"/>
  <c r="D78" i="7"/>
  <c r="E36" i="9"/>
  <c r="J36" i="9"/>
  <c r="J37" i="9"/>
  <c r="J38" i="9"/>
  <c r="D79" i="7"/>
  <c r="D80" i="7"/>
  <c r="D89" i="7"/>
  <c r="D7" i="5"/>
  <c r="F7" i="5"/>
  <c r="K49" i="10"/>
  <c r="K50" i="10"/>
  <c r="K51" i="10"/>
  <c r="K52" i="10"/>
  <c r="K53" i="10"/>
  <c r="K54" i="10"/>
  <c r="K55" i="10"/>
  <c r="K57" i="10"/>
  <c r="K58" i="10"/>
  <c r="K59" i="10"/>
  <c r="K60" i="10"/>
  <c r="E59" i="7"/>
  <c r="K63" i="10"/>
  <c r="K64" i="10"/>
  <c r="K65" i="10"/>
  <c r="E60" i="7"/>
  <c r="K67" i="10"/>
  <c r="K68" i="10"/>
  <c r="K69" i="10"/>
  <c r="E61" i="7"/>
  <c r="K73" i="10"/>
  <c r="K74" i="10"/>
  <c r="K75" i="10"/>
  <c r="K76" i="10"/>
  <c r="K77" i="10"/>
  <c r="E62" i="7"/>
  <c r="K84" i="10"/>
  <c r="K85" i="10"/>
  <c r="K86" i="10"/>
  <c r="K87" i="10"/>
  <c r="K88" i="10"/>
  <c r="K89" i="10"/>
  <c r="K90" i="10"/>
  <c r="K91" i="10"/>
  <c r="K92" i="10"/>
  <c r="E63" i="7"/>
  <c r="K95" i="10"/>
  <c r="K96" i="10"/>
  <c r="K97" i="10"/>
  <c r="K98" i="10"/>
  <c r="K99" i="10"/>
  <c r="K100" i="10"/>
  <c r="K101" i="10"/>
  <c r="K102" i="10"/>
  <c r="K103" i="10"/>
  <c r="E64" i="7"/>
  <c r="E65" i="7"/>
  <c r="K8" i="10"/>
  <c r="K9" i="10"/>
  <c r="K10" i="10"/>
  <c r="K11" i="10"/>
  <c r="K12" i="10"/>
  <c r="K13" i="10"/>
  <c r="K14" i="10"/>
  <c r="E54" i="7"/>
  <c r="E18" i="10"/>
  <c r="F18" i="10"/>
  <c r="K18" i="10"/>
  <c r="K19" i="10"/>
  <c r="E20" i="10"/>
  <c r="F20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E55" i="7"/>
  <c r="E37" i="10"/>
  <c r="F37" i="10"/>
  <c r="K37" i="10"/>
  <c r="E38" i="10"/>
  <c r="F38" i="10"/>
  <c r="K38" i="10"/>
  <c r="K39" i="10"/>
  <c r="E56" i="7"/>
  <c r="E57" i="7"/>
  <c r="E66" i="7"/>
  <c r="E8" i="5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D59" i="7"/>
  <c r="J63" i="10"/>
  <c r="J64" i="10"/>
  <c r="J65" i="10"/>
  <c r="D60" i="7"/>
  <c r="J67" i="10"/>
  <c r="J68" i="10"/>
  <c r="J69" i="10"/>
  <c r="D61" i="7"/>
  <c r="J73" i="10"/>
  <c r="J74" i="10"/>
  <c r="J75" i="10"/>
  <c r="J76" i="10"/>
  <c r="J77" i="10"/>
  <c r="D62" i="7"/>
  <c r="J84" i="10"/>
  <c r="J85" i="10"/>
  <c r="J86" i="10"/>
  <c r="J87" i="10"/>
  <c r="J88" i="10"/>
  <c r="J89" i="10"/>
  <c r="J90" i="10"/>
  <c r="J91" i="10"/>
  <c r="J92" i="10"/>
  <c r="D63" i="7"/>
  <c r="J95" i="10"/>
  <c r="J96" i="10"/>
  <c r="J97" i="10"/>
  <c r="J98" i="10"/>
  <c r="J99" i="10"/>
  <c r="J100" i="10"/>
  <c r="J101" i="10"/>
  <c r="J102" i="10"/>
  <c r="J103" i="10"/>
  <c r="D64" i="7"/>
  <c r="D65" i="7"/>
  <c r="J8" i="10"/>
  <c r="J9" i="10"/>
  <c r="J10" i="10"/>
  <c r="E11" i="10"/>
  <c r="J11" i="10"/>
  <c r="J12" i="10"/>
  <c r="J13" i="10"/>
  <c r="J14" i="10"/>
  <c r="D54" i="7"/>
  <c r="J18" i="10"/>
  <c r="J19" i="10"/>
  <c r="J20" i="10"/>
  <c r="J21" i="10"/>
  <c r="J22" i="10"/>
  <c r="J23" i="10"/>
  <c r="E24" i="10"/>
  <c r="J24" i="10"/>
  <c r="E25" i="10"/>
  <c r="J25" i="10"/>
  <c r="J26" i="10"/>
  <c r="J27" i="10"/>
  <c r="E28" i="10"/>
  <c r="J28" i="10"/>
  <c r="E29" i="10"/>
  <c r="J29" i="10"/>
  <c r="J30" i="10"/>
  <c r="J31" i="10"/>
  <c r="E32" i="10"/>
  <c r="J32" i="10"/>
  <c r="J33" i="10"/>
  <c r="J34" i="10"/>
  <c r="J35" i="10"/>
  <c r="D55" i="7"/>
  <c r="J37" i="10"/>
  <c r="J38" i="10"/>
  <c r="J39" i="10"/>
  <c r="D56" i="7"/>
  <c r="D57" i="7"/>
  <c r="D66" i="7"/>
  <c r="D8" i="5"/>
  <c r="F8" i="5"/>
  <c r="K47" i="26"/>
  <c r="K48" i="26"/>
  <c r="K49" i="26"/>
  <c r="K50" i="26"/>
  <c r="K51" i="26"/>
  <c r="K52" i="26"/>
  <c r="K53" i="26"/>
  <c r="K54" i="26"/>
  <c r="K55" i="26"/>
  <c r="K56" i="26"/>
  <c r="K57" i="26"/>
  <c r="K58" i="26"/>
  <c r="E105" i="7"/>
  <c r="K61" i="26"/>
  <c r="K62" i="26"/>
  <c r="K63" i="26"/>
  <c r="E106" i="7"/>
  <c r="K65" i="26"/>
  <c r="K66" i="26"/>
  <c r="K67" i="26"/>
  <c r="E107" i="7"/>
  <c r="K71" i="26"/>
  <c r="K72" i="26"/>
  <c r="K73" i="26"/>
  <c r="K74" i="26"/>
  <c r="K75" i="26"/>
  <c r="E108" i="7"/>
  <c r="K83" i="26"/>
  <c r="K84" i="26"/>
  <c r="K85" i="26"/>
  <c r="K86" i="26"/>
  <c r="K87" i="26"/>
  <c r="K88" i="26"/>
  <c r="K89" i="26"/>
  <c r="K90" i="26"/>
  <c r="K91" i="26"/>
  <c r="K92" i="26"/>
  <c r="E109" i="7"/>
  <c r="K95" i="26"/>
  <c r="K96" i="26"/>
  <c r="K97" i="26"/>
  <c r="K98" i="26"/>
  <c r="K99" i="26"/>
  <c r="K100" i="26"/>
  <c r="K101" i="26"/>
  <c r="K102" i="26"/>
  <c r="E110" i="7"/>
  <c r="E111" i="7"/>
  <c r="H8" i="26"/>
  <c r="K8" i="26"/>
  <c r="H9" i="26"/>
  <c r="K9" i="26"/>
  <c r="H10" i="26"/>
  <c r="K10" i="26"/>
  <c r="H11" i="26"/>
  <c r="K11" i="26"/>
  <c r="H12" i="26"/>
  <c r="K12" i="26"/>
  <c r="H13" i="26"/>
  <c r="K13" i="26"/>
  <c r="K14" i="26"/>
  <c r="E100" i="7"/>
  <c r="H18" i="26"/>
  <c r="K18" i="26"/>
  <c r="K19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E101" i="7"/>
  <c r="K35" i="26"/>
  <c r="K36" i="26"/>
  <c r="K37" i="26"/>
  <c r="E102" i="7"/>
  <c r="E103" i="7"/>
  <c r="E112" i="7"/>
  <c r="E9" i="5"/>
  <c r="J47" i="26"/>
  <c r="J48" i="26"/>
  <c r="J49" i="26"/>
  <c r="J50" i="26"/>
  <c r="J51" i="26"/>
  <c r="J52" i="26"/>
  <c r="J53" i="26"/>
  <c r="J54" i="26"/>
  <c r="J55" i="26"/>
  <c r="E56" i="26"/>
  <c r="J56" i="26"/>
  <c r="E57" i="26"/>
  <c r="J57" i="26"/>
  <c r="J58" i="26"/>
  <c r="D105" i="7"/>
  <c r="J61" i="26"/>
  <c r="J62" i="26"/>
  <c r="J63" i="26"/>
  <c r="D106" i="7"/>
  <c r="J65" i="26"/>
  <c r="J66" i="26"/>
  <c r="J67" i="26"/>
  <c r="D107" i="7"/>
  <c r="J71" i="26"/>
  <c r="J72" i="26"/>
  <c r="J73" i="26"/>
  <c r="J74" i="26"/>
  <c r="J75" i="26"/>
  <c r="D108" i="7"/>
  <c r="J83" i="26"/>
  <c r="J84" i="26"/>
  <c r="J85" i="26"/>
  <c r="J86" i="26"/>
  <c r="J87" i="26"/>
  <c r="J88" i="26"/>
  <c r="J89" i="26"/>
  <c r="J90" i="26"/>
  <c r="J91" i="26"/>
  <c r="J92" i="26"/>
  <c r="D109" i="7"/>
  <c r="J95" i="26"/>
  <c r="J96" i="26"/>
  <c r="J97" i="26"/>
  <c r="J98" i="26"/>
  <c r="J99" i="26"/>
  <c r="J100" i="26"/>
  <c r="J101" i="26"/>
  <c r="J102" i="26"/>
  <c r="D110" i="7"/>
  <c r="D111" i="7"/>
  <c r="J8" i="26"/>
  <c r="J9" i="26"/>
  <c r="J10" i="26"/>
  <c r="E11" i="26"/>
  <c r="J11" i="26"/>
  <c r="J12" i="26"/>
  <c r="J13" i="26"/>
  <c r="J14" i="26"/>
  <c r="D100" i="7"/>
  <c r="H17" i="26"/>
  <c r="E17" i="26"/>
  <c r="J17" i="26"/>
  <c r="J18" i="26"/>
  <c r="J19" i="26"/>
  <c r="J21" i="26"/>
  <c r="J22" i="26"/>
  <c r="J23" i="26"/>
  <c r="J24" i="26"/>
  <c r="E25" i="26"/>
  <c r="J25" i="26"/>
  <c r="J26" i="26"/>
  <c r="J27" i="26"/>
  <c r="J28" i="26"/>
  <c r="J29" i="26"/>
  <c r="E30" i="26"/>
  <c r="J30" i="26"/>
  <c r="E31" i="26"/>
  <c r="J31" i="26"/>
  <c r="J32" i="26"/>
  <c r="J33" i="26"/>
  <c r="D101" i="7"/>
  <c r="E35" i="26"/>
  <c r="J35" i="26"/>
  <c r="E36" i="26"/>
  <c r="J36" i="26"/>
  <c r="J37" i="26"/>
  <c r="D102" i="7"/>
  <c r="D103" i="7"/>
  <c r="D112" i="7"/>
  <c r="D9" i="5"/>
  <c r="F9" i="5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E130" i="7"/>
  <c r="K63" i="11"/>
  <c r="K64" i="11"/>
  <c r="K65" i="11"/>
  <c r="K66" i="11"/>
  <c r="K67" i="11"/>
  <c r="E131" i="7"/>
  <c r="K69" i="11"/>
  <c r="K70" i="11"/>
  <c r="K71" i="11"/>
  <c r="E132" i="7"/>
  <c r="K75" i="11"/>
  <c r="K76" i="11"/>
  <c r="K77" i="11"/>
  <c r="K78" i="11"/>
  <c r="K79" i="11"/>
  <c r="E133" i="7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E134" i="7"/>
  <c r="K104" i="11"/>
  <c r="K105" i="11"/>
  <c r="K106" i="11"/>
  <c r="K107" i="11"/>
  <c r="K108" i="11"/>
  <c r="K109" i="11"/>
  <c r="K111" i="11"/>
  <c r="E135" i="7"/>
  <c r="E136" i="7"/>
  <c r="H8" i="27"/>
  <c r="H8" i="11"/>
  <c r="K8" i="11"/>
  <c r="H9" i="27"/>
  <c r="H9" i="11"/>
  <c r="K9" i="11"/>
  <c r="H10" i="27"/>
  <c r="H10" i="11"/>
  <c r="K10" i="11"/>
  <c r="H11" i="27"/>
  <c r="H11" i="11"/>
  <c r="K11" i="11"/>
  <c r="H12" i="27"/>
  <c r="H12" i="11"/>
  <c r="K12" i="11"/>
  <c r="H13" i="27"/>
  <c r="H13" i="11"/>
  <c r="K13" i="11"/>
  <c r="K14" i="11"/>
  <c r="E125" i="7"/>
  <c r="E17" i="11"/>
  <c r="F17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E126" i="7"/>
  <c r="K36" i="11"/>
  <c r="K37" i="11"/>
  <c r="K38" i="11"/>
  <c r="E127" i="7"/>
  <c r="E128" i="7"/>
  <c r="E137" i="7"/>
  <c r="E10" i="5"/>
  <c r="J47" i="11"/>
  <c r="J48" i="11"/>
  <c r="J49" i="11"/>
  <c r="J50" i="11"/>
  <c r="J51" i="11"/>
  <c r="J52" i="11"/>
  <c r="J53" i="11"/>
  <c r="J54" i="11"/>
  <c r="J55" i="11"/>
  <c r="J56" i="11"/>
  <c r="E57" i="11"/>
  <c r="J57" i="11"/>
  <c r="E58" i="11"/>
  <c r="J58" i="11"/>
  <c r="J59" i="11"/>
  <c r="J60" i="11"/>
  <c r="D130" i="7"/>
  <c r="J63" i="11"/>
  <c r="J64" i="11"/>
  <c r="J65" i="11"/>
  <c r="J66" i="11"/>
  <c r="J67" i="11"/>
  <c r="D131" i="7"/>
  <c r="J69" i="11"/>
  <c r="J70" i="11"/>
  <c r="J71" i="11"/>
  <c r="D132" i="7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D134" i="7"/>
  <c r="J104" i="11"/>
  <c r="J105" i="11"/>
  <c r="J106" i="11"/>
  <c r="J107" i="11"/>
  <c r="J108" i="11"/>
  <c r="J109" i="11"/>
  <c r="J111" i="11"/>
  <c r="D135" i="7"/>
  <c r="D136" i="7"/>
  <c r="J8" i="11"/>
  <c r="J9" i="11"/>
  <c r="J10" i="11"/>
  <c r="E11" i="11"/>
  <c r="J11" i="11"/>
  <c r="J12" i="11"/>
  <c r="J13" i="11"/>
  <c r="J14" i="11"/>
  <c r="D125" i="7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E31" i="11"/>
  <c r="J31" i="11"/>
  <c r="E32" i="11"/>
  <c r="J32" i="11"/>
  <c r="J33" i="11"/>
  <c r="J34" i="11"/>
  <c r="D126" i="7"/>
  <c r="E36" i="11"/>
  <c r="J36" i="11"/>
  <c r="E37" i="11"/>
  <c r="J37" i="11"/>
  <c r="J38" i="11"/>
  <c r="D127" i="7"/>
  <c r="D128" i="7"/>
  <c r="D137" i="7"/>
  <c r="D10" i="5"/>
  <c r="F10" i="5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E153" i="7"/>
  <c r="K62" i="27"/>
  <c r="K63" i="27"/>
  <c r="K64" i="27"/>
  <c r="E154" i="7"/>
  <c r="K66" i="27"/>
  <c r="K67" i="27"/>
  <c r="K68" i="27"/>
  <c r="E155" i="7"/>
  <c r="K72" i="27"/>
  <c r="K73" i="27"/>
  <c r="K74" i="27"/>
  <c r="K75" i="27"/>
  <c r="K76" i="27"/>
  <c r="E156" i="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E157" i="7"/>
  <c r="E158" i="7"/>
  <c r="K8" i="27"/>
  <c r="K9" i="27"/>
  <c r="K10" i="27"/>
  <c r="K11" i="27"/>
  <c r="K12" i="27"/>
  <c r="K13" i="27"/>
  <c r="K14" i="27"/>
  <c r="E148" i="7"/>
  <c r="E17" i="27"/>
  <c r="F17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E149" i="7"/>
  <c r="K35" i="27"/>
  <c r="K36" i="27"/>
  <c r="K37" i="27"/>
  <c r="E150" i="7"/>
  <c r="E151" i="7"/>
  <c r="E159" i="7"/>
  <c r="E11" i="5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D153" i="7"/>
  <c r="J62" i="27"/>
  <c r="J63" i="27"/>
  <c r="J64" i="27"/>
  <c r="D154" i="7"/>
  <c r="J66" i="27"/>
  <c r="J67" i="27"/>
  <c r="J68" i="27"/>
  <c r="D155" i="7"/>
  <c r="J72" i="27"/>
  <c r="J73" i="27"/>
  <c r="J74" i="27"/>
  <c r="J75" i="27"/>
  <c r="J76" i="27"/>
  <c r="D156" i="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D157" i="7"/>
  <c r="D158" i="7"/>
  <c r="J8" i="27"/>
  <c r="J9" i="27"/>
  <c r="J10" i="27"/>
  <c r="E11" i="27"/>
  <c r="J11" i="27"/>
  <c r="J12" i="27"/>
  <c r="J13" i="27"/>
  <c r="J14" i="27"/>
  <c r="D148" i="7"/>
  <c r="J17" i="27"/>
  <c r="J18" i="27"/>
  <c r="J19" i="27"/>
  <c r="J20" i="27"/>
  <c r="J21" i="27"/>
  <c r="J22" i="27"/>
  <c r="J23" i="27"/>
  <c r="J24" i="27"/>
  <c r="J25" i="27"/>
  <c r="J26" i="27"/>
  <c r="J27" i="27"/>
  <c r="J28" i="27"/>
  <c r="E29" i="27"/>
  <c r="J29" i="27"/>
  <c r="E30" i="27"/>
  <c r="J30" i="27"/>
  <c r="E31" i="27"/>
  <c r="J31" i="27"/>
  <c r="J32" i="27"/>
  <c r="J33" i="27"/>
  <c r="D149" i="7"/>
  <c r="E35" i="27"/>
  <c r="J35" i="27"/>
  <c r="E36" i="27"/>
  <c r="J36" i="27"/>
  <c r="J37" i="27"/>
  <c r="D150" i="7"/>
  <c r="D151" i="7"/>
  <c r="D159" i="7"/>
  <c r="D11" i="5"/>
  <c r="F11" i="5"/>
  <c r="K49" i="33"/>
  <c r="K50" i="33"/>
  <c r="K51" i="33"/>
  <c r="K52" i="33"/>
  <c r="K53" i="33"/>
  <c r="K54" i="33"/>
  <c r="K55" i="33"/>
  <c r="K56" i="33"/>
  <c r="K57" i="33"/>
  <c r="K58" i="33"/>
  <c r="K59" i="33"/>
  <c r="K60" i="33"/>
  <c r="E175" i="7"/>
  <c r="H62" i="33"/>
  <c r="K62" i="33"/>
  <c r="K63" i="33"/>
  <c r="K64" i="33"/>
  <c r="E176" i="7"/>
  <c r="K66" i="33"/>
  <c r="K68" i="33"/>
  <c r="E177" i="7"/>
  <c r="H71" i="33"/>
  <c r="K71" i="33"/>
  <c r="H72" i="33"/>
  <c r="K72" i="33"/>
  <c r="H73" i="33"/>
  <c r="K73" i="33"/>
  <c r="K74" i="33"/>
  <c r="K75" i="33"/>
  <c r="K76" i="33"/>
  <c r="E178" i="7"/>
  <c r="K78" i="33"/>
  <c r="K79" i="33"/>
  <c r="K80" i="33"/>
  <c r="K81" i="33"/>
  <c r="K82" i="33"/>
  <c r="E179" i="7"/>
  <c r="E180" i="7"/>
  <c r="H8" i="36"/>
  <c r="H8" i="39"/>
  <c r="H8" i="33"/>
  <c r="K8" i="33"/>
  <c r="H9" i="36"/>
  <c r="H9" i="39"/>
  <c r="H9" i="33"/>
  <c r="K9" i="33"/>
  <c r="K10" i="33"/>
  <c r="K11" i="33"/>
  <c r="H12" i="36"/>
  <c r="H12" i="39"/>
  <c r="H12" i="33"/>
  <c r="K12" i="33"/>
  <c r="K13" i="33"/>
  <c r="K14" i="33"/>
  <c r="K15" i="33"/>
  <c r="K16" i="33"/>
  <c r="E170" i="7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E171" i="7"/>
  <c r="K18" i="33"/>
  <c r="K19" i="33"/>
  <c r="K20" i="33"/>
  <c r="E172" i="7"/>
  <c r="E173" i="7"/>
  <c r="E181" i="7"/>
  <c r="E12" i="5"/>
  <c r="J49" i="33"/>
  <c r="J50" i="33"/>
  <c r="J51" i="33"/>
  <c r="J52" i="33"/>
  <c r="J53" i="33"/>
  <c r="J54" i="33"/>
  <c r="J55" i="33"/>
  <c r="J56" i="33"/>
  <c r="J57" i="33"/>
  <c r="J58" i="33"/>
  <c r="J59" i="33"/>
  <c r="J60" i="33"/>
  <c r="D175" i="7"/>
  <c r="J62" i="33"/>
  <c r="J63" i="33"/>
  <c r="J64" i="33"/>
  <c r="D176" i="7"/>
  <c r="J66" i="33"/>
  <c r="J68" i="33"/>
  <c r="D177" i="7"/>
  <c r="J71" i="33"/>
  <c r="J72" i="33"/>
  <c r="J73" i="33"/>
  <c r="J74" i="33"/>
  <c r="J75" i="33"/>
  <c r="J76" i="33"/>
  <c r="D178" i="7"/>
  <c r="D179" i="7"/>
  <c r="D180" i="7"/>
  <c r="J8" i="33"/>
  <c r="J9" i="33"/>
  <c r="J10" i="33"/>
  <c r="J11" i="33"/>
  <c r="J12" i="33"/>
  <c r="J13" i="33"/>
  <c r="J14" i="33"/>
  <c r="J15" i="33"/>
  <c r="J16" i="33"/>
  <c r="D170" i="7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D171" i="7"/>
  <c r="J18" i="33"/>
  <c r="J19" i="33"/>
  <c r="J20" i="33"/>
  <c r="D172" i="7"/>
  <c r="D173" i="7"/>
  <c r="D181" i="7"/>
  <c r="D12" i="5"/>
  <c r="F12" i="5"/>
  <c r="K48" i="44"/>
  <c r="K49" i="44"/>
  <c r="K50" i="44"/>
  <c r="K51" i="44"/>
  <c r="K52" i="44"/>
  <c r="K53" i="44"/>
  <c r="K54" i="44"/>
  <c r="K55" i="44"/>
  <c r="K56" i="44"/>
  <c r="K57" i="44"/>
  <c r="K58" i="44"/>
  <c r="E197" i="7"/>
  <c r="K60" i="44"/>
  <c r="K61" i="44"/>
  <c r="K62" i="44"/>
  <c r="E198" i="7"/>
  <c r="K64" i="44"/>
  <c r="K65" i="44"/>
  <c r="K66" i="44"/>
  <c r="K67" i="44"/>
  <c r="K68" i="44"/>
  <c r="E199" i="7"/>
  <c r="K71" i="44"/>
  <c r="K72" i="44"/>
  <c r="K73" i="44"/>
  <c r="K74" i="44"/>
  <c r="K75" i="44"/>
  <c r="E200" i="7"/>
  <c r="K84" i="44"/>
  <c r="K85" i="44"/>
  <c r="K86" i="44"/>
  <c r="K88" i="44"/>
  <c r="E201" i="7"/>
  <c r="E202" i="7"/>
  <c r="H8" i="44"/>
  <c r="K8" i="44"/>
  <c r="H9" i="44"/>
  <c r="K9" i="44"/>
  <c r="H10" i="44"/>
  <c r="K10" i="44"/>
  <c r="H11" i="44"/>
  <c r="K11" i="44"/>
  <c r="K12" i="44"/>
  <c r="H13" i="44"/>
  <c r="K13" i="44"/>
  <c r="H14" i="44"/>
  <c r="K14" i="44"/>
  <c r="H15" i="44"/>
  <c r="K15" i="44"/>
  <c r="K16" i="44"/>
  <c r="E192" i="7"/>
  <c r="K23" i="44"/>
  <c r="K24" i="44"/>
  <c r="K25" i="44"/>
  <c r="K26" i="44"/>
  <c r="K27" i="44"/>
  <c r="K28" i="44"/>
  <c r="K29" i="44"/>
  <c r="K30" i="44"/>
  <c r="K31" i="44"/>
  <c r="K32" i="44"/>
  <c r="K33" i="44"/>
  <c r="K34" i="44"/>
  <c r="K35" i="44"/>
  <c r="K36" i="44"/>
  <c r="K37" i="44"/>
  <c r="K38" i="44"/>
  <c r="K39" i="44"/>
  <c r="E193" i="7"/>
  <c r="K18" i="44"/>
  <c r="K19" i="44"/>
  <c r="K20" i="44"/>
  <c r="E194" i="7"/>
  <c r="E195" i="7"/>
  <c r="E203" i="7"/>
  <c r="E13" i="5"/>
  <c r="J47" i="44"/>
  <c r="J48" i="44"/>
  <c r="J49" i="44"/>
  <c r="J50" i="44"/>
  <c r="J51" i="44"/>
  <c r="J52" i="44"/>
  <c r="J53" i="44"/>
  <c r="J54" i="44"/>
  <c r="J55" i="44"/>
  <c r="J56" i="44"/>
  <c r="J57" i="44"/>
  <c r="J58" i="44"/>
  <c r="D197" i="7"/>
  <c r="J60" i="44"/>
  <c r="J61" i="44"/>
  <c r="J62" i="44"/>
  <c r="D198" i="7"/>
  <c r="J64" i="44"/>
  <c r="J65" i="44"/>
  <c r="J66" i="44"/>
  <c r="J67" i="44"/>
  <c r="J68" i="44"/>
  <c r="D199" i="7"/>
  <c r="J71" i="44"/>
  <c r="J72" i="44"/>
  <c r="J73" i="44"/>
  <c r="J74" i="44"/>
  <c r="J75" i="44"/>
  <c r="D200" i="7"/>
  <c r="J84" i="44"/>
  <c r="J85" i="44"/>
  <c r="J86" i="44"/>
  <c r="J88" i="44"/>
  <c r="D201" i="7"/>
  <c r="D202" i="7"/>
  <c r="J8" i="44"/>
  <c r="J9" i="44"/>
  <c r="J10" i="44"/>
  <c r="J11" i="44"/>
  <c r="J12" i="44"/>
  <c r="J13" i="44"/>
  <c r="J14" i="44"/>
  <c r="J15" i="44"/>
  <c r="J16" i="44"/>
  <c r="D192" i="7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D193" i="7"/>
  <c r="J18" i="44"/>
  <c r="J19" i="44"/>
  <c r="J20" i="44"/>
  <c r="D194" i="7"/>
  <c r="D195" i="7"/>
  <c r="D203" i="7"/>
  <c r="D13" i="5"/>
  <c r="F13" i="5"/>
  <c r="K51" i="36"/>
  <c r="K52" i="36"/>
  <c r="K53" i="36"/>
  <c r="K54" i="36"/>
  <c r="K55" i="36"/>
  <c r="K56" i="36"/>
  <c r="K57" i="36"/>
  <c r="K58" i="36"/>
  <c r="K59" i="36"/>
  <c r="E219" i="7"/>
  <c r="K61" i="36"/>
  <c r="K62" i="36"/>
  <c r="E220" i="7"/>
  <c r="K64" i="36"/>
  <c r="K65" i="36"/>
  <c r="K66" i="36"/>
  <c r="E221" i="7"/>
  <c r="K70" i="36"/>
  <c r="K71" i="36"/>
  <c r="K72" i="36"/>
  <c r="K73" i="36"/>
  <c r="K74" i="36"/>
  <c r="E222" i="7"/>
  <c r="K77" i="36"/>
  <c r="K78" i="36"/>
  <c r="K79" i="36"/>
  <c r="K80" i="36"/>
  <c r="K81" i="36"/>
  <c r="K82" i="36"/>
  <c r="K83" i="36"/>
  <c r="K84" i="36"/>
  <c r="K85" i="36"/>
  <c r="K86" i="36"/>
  <c r="E223" i="7"/>
  <c r="E224" i="7"/>
  <c r="K17" i="36"/>
  <c r="E214" i="7"/>
  <c r="K23" i="36"/>
  <c r="K24" i="36"/>
  <c r="H25" i="36"/>
  <c r="K25" i="36"/>
  <c r="H26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38" i="36"/>
  <c r="E215" i="7"/>
  <c r="K42" i="36"/>
  <c r="E216" i="7"/>
  <c r="E217" i="7"/>
  <c r="E225" i="7"/>
  <c r="E14" i="5"/>
  <c r="J51" i="36"/>
  <c r="J52" i="36"/>
  <c r="J53" i="36"/>
  <c r="J54" i="36"/>
  <c r="J55" i="36"/>
  <c r="J56" i="36"/>
  <c r="J57" i="36"/>
  <c r="J58" i="36"/>
  <c r="J59" i="36"/>
  <c r="D219" i="7"/>
  <c r="J61" i="36"/>
  <c r="J62" i="36"/>
  <c r="D220" i="7"/>
  <c r="J64" i="36"/>
  <c r="J65" i="36"/>
  <c r="J66" i="36"/>
  <c r="D221" i="7"/>
  <c r="J70" i="36"/>
  <c r="J71" i="36"/>
  <c r="J72" i="36"/>
  <c r="J73" i="36"/>
  <c r="J74" i="36"/>
  <c r="D222" i="7"/>
  <c r="J77" i="36"/>
  <c r="J78" i="36"/>
  <c r="J79" i="36"/>
  <c r="J80" i="36"/>
  <c r="J81" i="36"/>
  <c r="J82" i="36"/>
  <c r="J83" i="36"/>
  <c r="J84" i="36"/>
  <c r="J85" i="36"/>
  <c r="J86" i="36"/>
  <c r="D223" i="7"/>
  <c r="D224" i="7"/>
  <c r="J8" i="36"/>
  <c r="J9" i="36"/>
  <c r="H13" i="36"/>
  <c r="J13" i="36"/>
  <c r="H14" i="36"/>
  <c r="J14" i="36"/>
  <c r="H15" i="36"/>
  <c r="J15" i="36"/>
  <c r="H16" i="36"/>
  <c r="J16" i="36"/>
  <c r="J17" i="36"/>
  <c r="D214" i="7"/>
  <c r="H20" i="36"/>
  <c r="J20" i="36"/>
  <c r="H21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E36" i="36"/>
  <c r="J36" i="36"/>
  <c r="J37" i="36"/>
  <c r="J38" i="36"/>
  <c r="D215" i="7"/>
  <c r="J40" i="36"/>
  <c r="J41" i="36"/>
  <c r="J42" i="36"/>
  <c r="D216" i="7"/>
  <c r="D217" i="7"/>
  <c r="D225" i="7"/>
  <c r="D14" i="5"/>
  <c r="F14" i="5"/>
  <c r="K50" i="42"/>
  <c r="K51" i="42"/>
  <c r="K52" i="42"/>
  <c r="K54" i="42"/>
  <c r="K55" i="42"/>
  <c r="K56" i="42"/>
  <c r="K58" i="42"/>
  <c r="K59" i="42"/>
  <c r="K60" i="42"/>
  <c r="K61" i="42"/>
  <c r="E241" i="7"/>
  <c r="E242" i="7"/>
  <c r="K8" i="42"/>
  <c r="K9" i="42"/>
  <c r="K10" i="42"/>
  <c r="K11" i="42"/>
  <c r="K12" i="42"/>
  <c r="K13" i="42"/>
  <c r="K14" i="42"/>
  <c r="K15" i="42"/>
  <c r="K16" i="42"/>
  <c r="K17" i="42"/>
  <c r="E236" i="7"/>
  <c r="K20" i="42"/>
  <c r="K21" i="42"/>
  <c r="K22" i="42"/>
  <c r="K23" i="42"/>
  <c r="K24" i="42"/>
  <c r="K25" i="42"/>
  <c r="K26" i="42"/>
  <c r="K27" i="42"/>
  <c r="K28" i="42"/>
  <c r="K29" i="42"/>
  <c r="K30" i="42"/>
  <c r="K31" i="42"/>
  <c r="K32" i="42"/>
  <c r="K33" i="42"/>
  <c r="K34" i="42"/>
  <c r="K35" i="42"/>
  <c r="E237" i="7"/>
  <c r="K39" i="42"/>
  <c r="E238" i="7"/>
  <c r="E239" i="7"/>
  <c r="E243" i="7"/>
  <c r="E15" i="5"/>
  <c r="J50" i="42"/>
  <c r="J51" i="42"/>
  <c r="J52" i="42"/>
  <c r="J54" i="42"/>
  <c r="J55" i="42"/>
  <c r="J56" i="42"/>
  <c r="J58" i="42"/>
  <c r="J59" i="42"/>
  <c r="J60" i="42"/>
  <c r="J61" i="42"/>
  <c r="D241" i="7"/>
  <c r="D242" i="7"/>
  <c r="J8" i="42"/>
  <c r="J9" i="42"/>
  <c r="J10" i="42"/>
  <c r="J11" i="42"/>
  <c r="J12" i="42"/>
  <c r="J13" i="42"/>
  <c r="J14" i="42"/>
  <c r="J15" i="42"/>
  <c r="J16" i="42"/>
  <c r="J17" i="42"/>
  <c r="D236" i="7"/>
  <c r="J20" i="42"/>
  <c r="J21" i="42"/>
  <c r="J22" i="42"/>
  <c r="J23" i="42"/>
  <c r="J24" i="42"/>
  <c r="J25" i="42"/>
  <c r="J26" i="42"/>
  <c r="J27" i="42"/>
  <c r="J28" i="42"/>
  <c r="J29" i="42"/>
  <c r="J30" i="42"/>
  <c r="J31" i="42"/>
  <c r="J32" i="42"/>
  <c r="J33" i="42"/>
  <c r="J34" i="42"/>
  <c r="J35" i="42"/>
  <c r="D237" i="7"/>
  <c r="J37" i="42"/>
  <c r="J38" i="42"/>
  <c r="J39" i="42"/>
  <c r="D238" i="7"/>
  <c r="D239" i="7"/>
  <c r="D243" i="7"/>
  <c r="D15" i="5"/>
  <c r="F15" i="5"/>
  <c r="H42" i="35"/>
  <c r="K42" i="35"/>
  <c r="H43" i="35"/>
  <c r="K43" i="35"/>
  <c r="H44" i="35"/>
  <c r="K44" i="35"/>
  <c r="K45" i="35"/>
  <c r="H46" i="35"/>
  <c r="K46" i="35"/>
  <c r="H47" i="35"/>
  <c r="K47" i="35"/>
  <c r="H48" i="35"/>
  <c r="K48" i="35"/>
  <c r="K49" i="35"/>
  <c r="K50" i="35"/>
  <c r="H51" i="35"/>
  <c r="K51" i="35"/>
  <c r="K52" i="35"/>
  <c r="K53" i="35"/>
  <c r="E259" i="7"/>
  <c r="K71" i="35"/>
  <c r="K72" i="35"/>
  <c r="K73" i="35"/>
  <c r="E260" i="7"/>
  <c r="K75" i="35"/>
  <c r="K76" i="35"/>
  <c r="K77" i="35"/>
  <c r="E261" i="7"/>
  <c r="K81" i="35"/>
  <c r="K82" i="35"/>
  <c r="K83" i="35"/>
  <c r="K84" i="35"/>
  <c r="K85" i="35"/>
  <c r="E262" i="7"/>
  <c r="K103" i="35"/>
  <c r="K104" i="35"/>
  <c r="K105" i="35"/>
  <c r="K106" i="35"/>
  <c r="K107" i="35"/>
  <c r="K108" i="35"/>
  <c r="K109" i="35"/>
  <c r="K110" i="35"/>
  <c r="K111" i="35"/>
  <c r="K112" i="35"/>
  <c r="K113" i="35"/>
  <c r="K114" i="35"/>
  <c r="K115" i="35"/>
  <c r="E263" i="7"/>
  <c r="E264" i="7"/>
  <c r="H13" i="35"/>
  <c r="K13" i="35"/>
  <c r="K14" i="35"/>
  <c r="E254" i="7"/>
  <c r="H17" i="35"/>
  <c r="K17" i="35"/>
  <c r="H18" i="35"/>
  <c r="K18" i="35"/>
  <c r="H19" i="35"/>
  <c r="K19" i="35"/>
  <c r="H20" i="35"/>
  <c r="K20" i="35"/>
  <c r="K21" i="35"/>
  <c r="H22" i="35"/>
  <c r="K22" i="35"/>
  <c r="H23" i="35"/>
  <c r="K23" i="35"/>
  <c r="H24" i="35"/>
  <c r="K24" i="35"/>
  <c r="H25" i="35"/>
  <c r="K25" i="35"/>
  <c r="H26" i="35"/>
  <c r="K26" i="35"/>
  <c r="H27" i="35"/>
  <c r="K27" i="35"/>
  <c r="H28" i="35"/>
  <c r="K28" i="35"/>
  <c r="H29" i="35"/>
  <c r="K29" i="35"/>
  <c r="H30" i="35"/>
  <c r="K30" i="35"/>
  <c r="H31" i="35"/>
  <c r="K31" i="35"/>
  <c r="K32" i="35"/>
  <c r="K33" i="35"/>
  <c r="E255" i="7"/>
  <c r="K37" i="35"/>
  <c r="E256" i="7"/>
  <c r="E257" i="7"/>
  <c r="E265" i="7"/>
  <c r="E16" i="5"/>
  <c r="J42" i="35"/>
  <c r="J43" i="35"/>
  <c r="J44" i="35"/>
  <c r="J45" i="35"/>
  <c r="J46" i="35"/>
  <c r="J47" i="35"/>
  <c r="J48" i="35"/>
  <c r="J49" i="35"/>
  <c r="J50" i="35"/>
  <c r="J51" i="35"/>
  <c r="J52" i="35"/>
  <c r="J53" i="35"/>
  <c r="D259" i="7"/>
  <c r="J71" i="35"/>
  <c r="J72" i="35"/>
  <c r="J73" i="35"/>
  <c r="D260" i="7"/>
  <c r="J75" i="35"/>
  <c r="J76" i="35"/>
  <c r="J77" i="35"/>
  <c r="D261" i="7"/>
  <c r="J81" i="35"/>
  <c r="J82" i="35"/>
  <c r="J83" i="35"/>
  <c r="J84" i="35"/>
  <c r="J85" i="35"/>
  <c r="D262" i="7"/>
  <c r="J103" i="35"/>
  <c r="J104" i="35"/>
  <c r="J105" i="35"/>
  <c r="J106" i="35"/>
  <c r="J107" i="35"/>
  <c r="J108" i="35"/>
  <c r="J109" i="35"/>
  <c r="J110" i="35"/>
  <c r="J111" i="35"/>
  <c r="J112" i="35"/>
  <c r="J113" i="35"/>
  <c r="J114" i="35"/>
  <c r="J115" i="35"/>
  <c r="D263" i="7"/>
  <c r="D264" i="7"/>
  <c r="H8" i="35"/>
  <c r="J8" i="35"/>
  <c r="H9" i="35"/>
  <c r="J9" i="35"/>
  <c r="H10" i="35"/>
  <c r="J10" i="35"/>
  <c r="H11" i="35"/>
  <c r="J11" i="35"/>
  <c r="H12" i="35"/>
  <c r="J12" i="35"/>
  <c r="J13" i="35"/>
  <c r="J14" i="35"/>
  <c r="D254" i="7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D255" i="7"/>
  <c r="J35" i="35"/>
  <c r="J36" i="35"/>
  <c r="J37" i="35"/>
  <c r="D256" i="7"/>
  <c r="D257" i="7"/>
  <c r="D265" i="7"/>
  <c r="D16" i="5"/>
  <c r="F16" i="5"/>
  <c r="K51" i="39"/>
  <c r="K52" i="39"/>
  <c r="K53" i="39"/>
  <c r="K54" i="39"/>
  <c r="K55" i="39"/>
  <c r="K56" i="39"/>
  <c r="K57" i="39"/>
  <c r="K58" i="39"/>
  <c r="K59" i="39"/>
  <c r="K60" i="39"/>
  <c r="K61" i="39"/>
  <c r="K62" i="39"/>
  <c r="E281" i="7"/>
  <c r="K65" i="39"/>
  <c r="K66" i="39"/>
  <c r="K67" i="39"/>
  <c r="E282" i="7"/>
  <c r="K69" i="39"/>
  <c r="K70" i="39"/>
  <c r="K71" i="39"/>
  <c r="E283" i="7"/>
  <c r="K74" i="39"/>
  <c r="K75" i="39"/>
  <c r="K76" i="39"/>
  <c r="K77" i="39"/>
  <c r="K78" i="39"/>
  <c r="E284" i="7"/>
  <c r="K80" i="39"/>
  <c r="K81" i="39"/>
  <c r="K82" i="39"/>
  <c r="K83" i="39"/>
  <c r="K84" i="39"/>
  <c r="K85" i="39"/>
  <c r="K86" i="39"/>
  <c r="K87" i="39"/>
  <c r="K88" i="39"/>
  <c r="K89" i="39"/>
  <c r="K90" i="39"/>
  <c r="E285" i="7"/>
  <c r="E286" i="7"/>
  <c r="H16" i="39"/>
  <c r="K16" i="39"/>
  <c r="K17" i="39"/>
  <c r="E276" i="7"/>
  <c r="K23" i="39"/>
  <c r="K29" i="39"/>
  <c r="K34" i="39"/>
  <c r="K35" i="39"/>
  <c r="K36" i="39"/>
  <c r="K37" i="39"/>
  <c r="K38" i="39"/>
  <c r="E277" i="7"/>
  <c r="K42" i="39"/>
  <c r="E278" i="7"/>
  <c r="E279" i="7"/>
  <c r="E287" i="7"/>
  <c r="E17" i="5"/>
  <c r="E51" i="39"/>
  <c r="J51" i="39"/>
  <c r="J52" i="39"/>
  <c r="J53" i="39"/>
  <c r="J54" i="39"/>
  <c r="E55" i="39"/>
  <c r="J55" i="39"/>
  <c r="J56" i="39"/>
  <c r="J57" i="39"/>
  <c r="J58" i="39"/>
  <c r="J59" i="39"/>
  <c r="J60" i="39"/>
  <c r="J61" i="39"/>
  <c r="J62" i="39"/>
  <c r="D281" i="7"/>
  <c r="J65" i="39"/>
  <c r="J66" i="39"/>
  <c r="J67" i="39"/>
  <c r="D282" i="7"/>
  <c r="J69" i="39"/>
  <c r="J70" i="39"/>
  <c r="J71" i="39"/>
  <c r="D283" i="7"/>
  <c r="J74" i="39"/>
  <c r="J75" i="39"/>
  <c r="J76" i="39"/>
  <c r="J77" i="39"/>
  <c r="J78" i="39"/>
  <c r="D284" i="7"/>
  <c r="J80" i="39"/>
  <c r="J81" i="39"/>
  <c r="J82" i="39"/>
  <c r="J83" i="39"/>
  <c r="J84" i="39"/>
  <c r="J85" i="39"/>
  <c r="J86" i="39"/>
  <c r="J87" i="39"/>
  <c r="J88" i="39"/>
  <c r="J89" i="39"/>
  <c r="J90" i="39"/>
  <c r="D285" i="7"/>
  <c r="D286" i="7"/>
  <c r="J8" i="39"/>
  <c r="J9" i="39"/>
  <c r="H10" i="36"/>
  <c r="H10" i="39"/>
  <c r="J10" i="39"/>
  <c r="H11" i="36"/>
  <c r="H11" i="39"/>
  <c r="J11" i="39"/>
  <c r="J12" i="39"/>
  <c r="H13" i="39"/>
  <c r="J13" i="39"/>
  <c r="H14" i="39"/>
  <c r="J14" i="39"/>
  <c r="H15" i="39"/>
  <c r="J15" i="39"/>
  <c r="J16" i="39"/>
  <c r="J17" i="39"/>
  <c r="D276" i="7"/>
  <c r="J20" i="39"/>
  <c r="J21" i="39"/>
  <c r="J22" i="39"/>
  <c r="J23" i="39"/>
  <c r="J24" i="39"/>
  <c r="J25" i="39"/>
  <c r="J26" i="39"/>
  <c r="J27" i="39"/>
  <c r="J28" i="39"/>
  <c r="J29" i="39"/>
  <c r="J30" i="39"/>
  <c r="J31" i="39"/>
  <c r="J32" i="39"/>
  <c r="J33" i="39"/>
  <c r="J34" i="39"/>
  <c r="J35" i="39"/>
  <c r="J36" i="39"/>
  <c r="J37" i="39"/>
  <c r="J38" i="39"/>
  <c r="D277" i="7"/>
  <c r="J40" i="39"/>
  <c r="J41" i="39"/>
  <c r="J42" i="39"/>
  <c r="D278" i="7"/>
  <c r="D279" i="7"/>
  <c r="D287" i="7"/>
  <c r="D17" i="5"/>
  <c r="F17" i="5"/>
  <c r="K72" i="45"/>
  <c r="K73" i="45"/>
  <c r="K74" i="45"/>
  <c r="K75" i="45"/>
  <c r="E306" i="7"/>
  <c r="K77" i="45"/>
  <c r="K78" i="45"/>
  <c r="K79" i="45"/>
  <c r="K80" i="45"/>
  <c r="E307" i="7"/>
  <c r="E308" i="7"/>
  <c r="K14" i="45"/>
  <c r="E298" i="7"/>
  <c r="K37" i="45"/>
  <c r="E299" i="7"/>
  <c r="K18" i="45"/>
  <c r="E300" i="7"/>
  <c r="E301" i="7"/>
  <c r="E309" i="7"/>
  <c r="E18" i="5"/>
  <c r="J47" i="45"/>
  <c r="J48" i="45"/>
  <c r="J49" i="45"/>
  <c r="J50" i="45"/>
  <c r="J51" i="45"/>
  <c r="J52" i="45"/>
  <c r="J53" i="45"/>
  <c r="J54" i="45"/>
  <c r="J55" i="45"/>
  <c r="J56" i="45"/>
  <c r="J57" i="45"/>
  <c r="J58" i="45"/>
  <c r="J59" i="45"/>
  <c r="J60" i="45"/>
  <c r="J61" i="45"/>
  <c r="D303" i="7"/>
  <c r="J67" i="45"/>
  <c r="J69" i="45"/>
  <c r="D305" i="7"/>
  <c r="J72" i="45"/>
  <c r="J73" i="45"/>
  <c r="J74" i="45"/>
  <c r="J75" i="45"/>
  <c r="D306" i="7"/>
  <c r="D308" i="7"/>
  <c r="J6" i="45"/>
  <c r="J7" i="45"/>
  <c r="J8" i="45"/>
  <c r="J9" i="45"/>
  <c r="J10" i="45"/>
  <c r="J11" i="45"/>
  <c r="J12" i="45"/>
  <c r="J13" i="45"/>
  <c r="J14" i="45"/>
  <c r="D298" i="7"/>
  <c r="J22" i="45"/>
  <c r="J23" i="45"/>
  <c r="J24" i="45"/>
  <c r="J25" i="45"/>
  <c r="J26" i="45"/>
  <c r="J27" i="45"/>
  <c r="J28" i="45"/>
  <c r="J29" i="45"/>
  <c r="J30" i="45"/>
  <c r="J31" i="45"/>
  <c r="J32" i="45"/>
  <c r="J33" i="45"/>
  <c r="J34" i="45"/>
  <c r="J35" i="45"/>
  <c r="J36" i="45"/>
  <c r="J37" i="45"/>
  <c r="D299" i="7"/>
  <c r="J16" i="45"/>
  <c r="J17" i="45"/>
  <c r="J18" i="45"/>
  <c r="D300" i="7"/>
  <c r="D301" i="7"/>
  <c r="D309" i="7"/>
  <c r="D18" i="5"/>
  <c r="F18" i="5"/>
  <c r="K7" i="41"/>
  <c r="K8" i="41"/>
  <c r="K9" i="41"/>
  <c r="K10" i="41"/>
  <c r="K11" i="41"/>
  <c r="K12" i="41"/>
  <c r="E320" i="7"/>
  <c r="E322" i="7"/>
  <c r="E19" i="5"/>
  <c r="F19" i="5"/>
  <c r="F20" i="5"/>
  <c r="F21" i="5"/>
  <c r="F22" i="5"/>
  <c r="F24" i="5"/>
  <c r="J21" i="43"/>
  <c r="C40" i="43"/>
  <c r="D20" i="5"/>
  <c r="D21" i="5"/>
  <c r="D22" i="5"/>
  <c r="F16" i="41"/>
  <c r="K16" i="41"/>
  <c r="F17" i="41"/>
  <c r="K17" i="41"/>
  <c r="F18" i="41"/>
  <c r="K18" i="41"/>
  <c r="F19" i="41"/>
  <c r="K19" i="41"/>
  <c r="K20" i="41"/>
  <c r="F21" i="41"/>
  <c r="K21" i="41"/>
  <c r="K22" i="41"/>
  <c r="F24" i="41"/>
  <c r="K24" i="41"/>
  <c r="F25" i="41"/>
  <c r="K25" i="41"/>
  <c r="F26" i="41"/>
  <c r="K26" i="41"/>
  <c r="F27" i="41"/>
  <c r="K27" i="41"/>
  <c r="K28" i="41"/>
  <c r="F29" i="41"/>
  <c r="K29" i="41"/>
  <c r="F30" i="41"/>
  <c r="K30" i="41"/>
  <c r="F31" i="41"/>
  <c r="K31" i="41"/>
  <c r="K32" i="41"/>
  <c r="K33" i="41"/>
  <c r="K35" i="41"/>
  <c r="K36" i="41"/>
  <c r="K37" i="41"/>
  <c r="K38" i="41"/>
  <c r="K39" i="41"/>
  <c r="K40" i="41"/>
  <c r="K41" i="41"/>
  <c r="K42" i="41"/>
  <c r="K43" i="41"/>
  <c r="K44" i="41"/>
  <c r="K45" i="41"/>
  <c r="K46" i="41"/>
  <c r="K47" i="41"/>
  <c r="K48" i="41"/>
  <c r="J16" i="41"/>
  <c r="L16" i="41"/>
  <c r="J17" i="41"/>
  <c r="L17" i="41"/>
  <c r="J18" i="41"/>
  <c r="L18" i="41"/>
  <c r="J19" i="41"/>
  <c r="L19" i="41"/>
  <c r="J20" i="41"/>
  <c r="L20" i="41"/>
  <c r="J21" i="41"/>
  <c r="L21" i="41"/>
  <c r="L22" i="41"/>
  <c r="J24" i="41"/>
  <c r="L24" i="41"/>
  <c r="L25" i="41"/>
  <c r="J26" i="41"/>
  <c r="L26" i="41"/>
  <c r="J27" i="41"/>
  <c r="L27" i="41"/>
  <c r="J28" i="41"/>
  <c r="L28" i="41"/>
  <c r="J29" i="41"/>
  <c r="L29" i="41"/>
  <c r="J31" i="41"/>
  <c r="L31" i="41"/>
  <c r="J32" i="41"/>
  <c r="L32" i="41"/>
  <c r="L33" i="41"/>
  <c r="J35" i="41"/>
  <c r="L35" i="41"/>
  <c r="G36" i="41"/>
  <c r="L36" i="41"/>
  <c r="J37" i="41"/>
  <c r="L37" i="41"/>
  <c r="J38" i="41"/>
  <c r="L38" i="41"/>
  <c r="J39" i="41"/>
  <c r="L39" i="41"/>
  <c r="J40" i="41"/>
  <c r="L40" i="41"/>
  <c r="J41" i="41"/>
  <c r="L41" i="41"/>
  <c r="J42" i="41"/>
  <c r="L42" i="41"/>
  <c r="L43" i="41"/>
  <c r="L44" i="41"/>
  <c r="L45" i="41"/>
  <c r="J46" i="41"/>
  <c r="L46" i="41"/>
  <c r="L47" i="41"/>
  <c r="L48" i="41"/>
  <c r="I77" i="45"/>
  <c r="I78" i="45"/>
  <c r="I79" i="45"/>
  <c r="I80" i="45"/>
  <c r="L72" i="45"/>
  <c r="L73" i="45"/>
  <c r="L74" i="45"/>
  <c r="L75" i="45"/>
  <c r="I72" i="45"/>
  <c r="I73" i="45"/>
  <c r="I74" i="45"/>
  <c r="I75" i="45"/>
  <c r="K63" i="45"/>
  <c r="J63" i="45"/>
  <c r="L63" i="45"/>
  <c r="K64" i="45"/>
  <c r="J64" i="45"/>
  <c r="L64" i="45"/>
  <c r="L65" i="45"/>
  <c r="K65" i="45"/>
  <c r="J65" i="45"/>
  <c r="I63" i="45"/>
  <c r="I64" i="45"/>
  <c r="I65" i="45"/>
  <c r="K47" i="45"/>
  <c r="L47" i="45"/>
  <c r="L48" i="45"/>
  <c r="K49" i="45"/>
  <c r="L49" i="45"/>
  <c r="L50" i="45"/>
  <c r="K51" i="45"/>
  <c r="L51" i="45"/>
  <c r="K52" i="45"/>
  <c r="L52" i="45"/>
  <c r="K53" i="45"/>
  <c r="L53" i="45"/>
  <c r="K54" i="45"/>
  <c r="L54" i="45"/>
  <c r="K55" i="45"/>
  <c r="L55" i="45"/>
  <c r="K56" i="45"/>
  <c r="L56" i="45"/>
  <c r="K57" i="45"/>
  <c r="L57" i="45"/>
  <c r="K58" i="45"/>
  <c r="L58" i="45"/>
  <c r="K59" i="45"/>
  <c r="L59" i="45"/>
  <c r="K60" i="45"/>
  <c r="L60" i="45"/>
  <c r="L61" i="45"/>
  <c r="I47" i="45"/>
  <c r="I48" i="45"/>
  <c r="I49" i="45"/>
  <c r="I50" i="45"/>
  <c r="I51" i="45"/>
  <c r="I52" i="45"/>
  <c r="I53" i="45"/>
  <c r="I54" i="45"/>
  <c r="I55" i="45"/>
  <c r="I56" i="45"/>
  <c r="I57" i="45"/>
  <c r="I58" i="45"/>
  <c r="I59" i="45"/>
  <c r="I60" i="45"/>
  <c r="I61" i="45"/>
  <c r="I6" i="45"/>
  <c r="I7" i="45"/>
  <c r="I8" i="45"/>
  <c r="I9" i="45"/>
  <c r="I10" i="45"/>
  <c r="I11" i="45"/>
  <c r="I12" i="45"/>
  <c r="I13" i="45"/>
  <c r="I14" i="45"/>
  <c r="K106" i="10"/>
  <c r="K107" i="10"/>
  <c r="K108" i="10"/>
  <c r="K109" i="10"/>
  <c r="K110" i="10"/>
  <c r="K111" i="10"/>
  <c r="K113" i="10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7" i="8"/>
  <c r="L68" i="8"/>
  <c r="L69" i="8"/>
  <c r="L62" i="8"/>
  <c r="L63" i="8"/>
  <c r="L64" i="8"/>
  <c r="L65" i="8"/>
  <c r="L64" i="36"/>
  <c r="L65" i="36"/>
  <c r="L66" i="36"/>
  <c r="L71" i="44"/>
  <c r="L72" i="44"/>
  <c r="L73" i="44"/>
  <c r="L74" i="44"/>
  <c r="L75" i="44"/>
  <c r="L104" i="11"/>
  <c r="L105" i="11"/>
  <c r="L106" i="11"/>
  <c r="L107" i="11"/>
  <c r="L108" i="11"/>
  <c r="L109" i="11"/>
  <c r="L111" i="11"/>
  <c r="I77" i="9"/>
  <c r="L49" i="10"/>
  <c r="L50" i="10"/>
  <c r="L51" i="10"/>
  <c r="L52" i="10"/>
  <c r="L53" i="10"/>
  <c r="L54" i="10"/>
  <c r="L55" i="10"/>
  <c r="L56" i="10"/>
  <c r="L57" i="10"/>
  <c r="L58" i="10"/>
  <c r="L59" i="10"/>
  <c r="L60" i="10"/>
  <c r="B35" i="43"/>
  <c r="C25" i="43"/>
  <c r="C27" i="43"/>
  <c r="C28" i="43"/>
  <c r="C29" i="43"/>
  <c r="C35" i="43"/>
  <c r="B36" i="43"/>
  <c r="G24" i="43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C130" i="7"/>
  <c r="I63" i="11"/>
  <c r="I64" i="11"/>
  <c r="I65" i="11"/>
  <c r="I66" i="11"/>
  <c r="I67" i="11"/>
  <c r="C131" i="7"/>
  <c r="I69" i="11"/>
  <c r="I70" i="11"/>
  <c r="I71" i="11"/>
  <c r="C132" i="7"/>
  <c r="I75" i="11"/>
  <c r="I76" i="11"/>
  <c r="I77" i="11"/>
  <c r="I78" i="11"/>
  <c r="I79" i="11"/>
  <c r="C133" i="7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1" i="11"/>
  <c r="C134" i="7"/>
  <c r="I104" i="11"/>
  <c r="I105" i="11"/>
  <c r="I106" i="11"/>
  <c r="I107" i="11"/>
  <c r="I108" i="11"/>
  <c r="I109" i="11"/>
  <c r="I111" i="11"/>
  <c r="C135" i="7"/>
  <c r="C136" i="7"/>
  <c r="I8" i="11"/>
  <c r="I9" i="11"/>
  <c r="I10" i="11"/>
  <c r="I11" i="11"/>
  <c r="I12" i="11"/>
  <c r="I13" i="11"/>
  <c r="I14" i="11"/>
  <c r="C125" i="7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C126" i="7"/>
  <c r="I36" i="11"/>
  <c r="I37" i="11"/>
  <c r="I38" i="11"/>
  <c r="C127" i="7"/>
  <c r="C128" i="7"/>
  <c r="C137" i="7"/>
  <c r="C10" i="5"/>
  <c r="I50" i="42"/>
  <c r="I51" i="42"/>
  <c r="I52" i="42"/>
  <c r="I54" i="42"/>
  <c r="I55" i="42"/>
  <c r="I56" i="42"/>
  <c r="I58" i="42"/>
  <c r="I59" i="42"/>
  <c r="I60" i="42"/>
  <c r="I61" i="42"/>
  <c r="C241" i="7"/>
  <c r="C242" i="7"/>
  <c r="I8" i="42"/>
  <c r="I9" i="42"/>
  <c r="I10" i="42"/>
  <c r="I11" i="42"/>
  <c r="I12" i="42"/>
  <c r="I13" i="42"/>
  <c r="I14" i="42"/>
  <c r="I15" i="42"/>
  <c r="I16" i="42"/>
  <c r="I17" i="42"/>
  <c r="C236" i="7"/>
  <c r="I20" i="42"/>
  <c r="I21" i="42"/>
  <c r="I22" i="42"/>
  <c r="I23" i="42"/>
  <c r="I24" i="42"/>
  <c r="I25" i="42"/>
  <c r="I26" i="42"/>
  <c r="I27" i="42"/>
  <c r="I28" i="42"/>
  <c r="I29" i="42"/>
  <c r="I30" i="42"/>
  <c r="I31" i="42"/>
  <c r="I32" i="42"/>
  <c r="I33" i="42"/>
  <c r="I34" i="42"/>
  <c r="I35" i="42"/>
  <c r="C237" i="7"/>
  <c r="I37" i="42"/>
  <c r="I38" i="42"/>
  <c r="I39" i="42"/>
  <c r="C238" i="7"/>
  <c r="C239" i="7"/>
  <c r="C243" i="7"/>
  <c r="C15" i="5"/>
  <c r="I7" i="41"/>
  <c r="I8" i="41"/>
  <c r="I9" i="41"/>
  <c r="I10" i="41"/>
  <c r="I11" i="41"/>
  <c r="I12" i="41"/>
  <c r="C320" i="7"/>
  <c r="I16" i="41"/>
  <c r="I17" i="41"/>
  <c r="I18" i="41"/>
  <c r="I19" i="41"/>
  <c r="I20" i="41"/>
  <c r="I21" i="41"/>
  <c r="I22" i="41"/>
  <c r="I24" i="41"/>
  <c r="I25" i="41"/>
  <c r="I26" i="41"/>
  <c r="I27" i="41"/>
  <c r="I28" i="41"/>
  <c r="I29" i="41"/>
  <c r="I30" i="41"/>
  <c r="I31" i="41"/>
  <c r="I32" i="41"/>
  <c r="I33" i="41"/>
  <c r="C321" i="7"/>
  <c r="C322" i="7"/>
  <c r="C19" i="5"/>
  <c r="C20" i="5"/>
  <c r="C21" i="5"/>
  <c r="C22" i="5"/>
  <c r="C24" i="5"/>
  <c r="I43" i="41"/>
  <c r="I44" i="41"/>
  <c r="I45" i="41"/>
  <c r="G37" i="41"/>
  <c r="G38" i="41"/>
  <c r="G39" i="41"/>
  <c r="G40" i="41"/>
  <c r="G41" i="41"/>
  <c r="G42" i="41"/>
  <c r="G43" i="41"/>
  <c r="G44" i="41"/>
  <c r="G45" i="41"/>
  <c r="G46" i="41"/>
  <c r="G32" i="41"/>
  <c r="G8" i="41"/>
  <c r="G7" i="41"/>
  <c r="G99" i="8"/>
  <c r="G98" i="8"/>
  <c r="G100" i="8"/>
  <c r="G101" i="8"/>
  <c r="G102" i="8"/>
  <c r="G103" i="8"/>
  <c r="G104" i="8"/>
  <c r="G97" i="8"/>
  <c r="I46" i="41"/>
  <c r="G35" i="41"/>
  <c r="I42" i="41"/>
  <c r="I41" i="41"/>
  <c r="I40" i="41"/>
  <c r="I39" i="41"/>
  <c r="I38" i="41"/>
  <c r="I37" i="41"/>
  <c r="J36" i="41"/>
  <c r="I36" i="41"/>
  <c r="J47" i="41"/>
  <c r="I35" i="41"/>
  <c r="I47" i="41"/>
  <c r="G31" i="41"/>
  <c r="G24" i="41"/>
  <c r="G16" i="41"/>
  <c r="I41" i="43"/>
  <c r="I43" i="43"/>
  <c r="I79" i="27"/>
  <c r="J79" i="27"/>
  <c r="J80" i="27"/>
  <c r="J81" i="27"/>
  <c r="J82" i="27"/>
  <c r="J83" i="27"/>
  <c r="J84" i="27"/>
  <c r="G80" i="27"/>
  <c r="G81" i="27"/>
  <c r="G82" i="27"/>
  <c r="G83" i="27"/>
  <c r="G84" i="27"/>
  <c r="G79" i="27"/>
  <c r="G72" i="27"/>
  <c r="I14" i="43"/>
  <c r="G70" i="39"/>
  <c r="I70" i="39"/>
  <c r="G23" i="39"/>
  <c r="K99" i="35"/>
  <c r="J99" i="35"/>
  <c r="L99" i="35"/>
  <c r="I99" i="35"/>
  <c r="K98" i="35"/>
  <c r="J98" i="35"/>
  <c r="I98" i="35"/>
  <c r="K97" i="35"/>
  <c r="J97" i="35"/>
  <c r="I97" i="35"/>
  <c r="G97" i="35"/>
  <c r="K96" i="35"/>
  <c r="J96" i="35"/>
  <c r="I96" i="35"/>
  <c r="G96" i="35"/>
  <c r="K95" i="35"/>
  <c r="J95" i="35"/>
  <c r="I95" i="35"/>
  <c r="G95" i="35"/>
  <c r="K94" i="35"/>
  <c r="J94" i="35"/>
  <c r="I94" i="35"/>
  <c r="G94" i="35"/>
  <c r="K93" i="35"/>
  <c r="J93" i="35"/>
  <c r="L93" i="35"/>
  <c r="I93" i="35"/>
  <c r="G93" i="35"/>
  <c r="K92" i="35"/>
  <c r="J92" i="35"/>
  <c r="I92" i="35"/>
  <c r="G92" i="35"/>
  <c r="K91" i="35"/>
  <c r="J91" i="35"/>
  <c r="I91" i="35"/>
  <c r="G91" i="35"/>
  <c r="K90" i="35"/>
  <c r="J90" i="35"/>
  <c r="I90" i="35"/>
  <c r="G90" i="35"/>
  <c r="K89" i="35"/>
  <c r="J89" i="35"/>
  <c r="I89" i="35"/>
  <c r="G89" i="35"/>
  <c r="K88" i="35"/>
  <c r="K100" i="35"/>
  <c r="J88" i="35"/>
  <c r="I88" i="35"/>
  <c r="I100" i="35"/>
  <c r="G88" i="35"/>
  <c r="G84" i="35"/>
  <c r="L84" i="35"/>
  <c r="I84" i="35"/>
  <c r="I76" i="35"/>
  <c r="G51" i="35"/>
  <c r="G29" i="42"/>
  <c r="G28" i="42"/>
  <c r="G77" i="36"/>
  <c r="G51" i="36"/>
  <c r="K80" i="44"/>
  <c r="J80" i="44"/>
  <c r="L80" i="44"/>
  <c r="G78" i="44"/>
  <c r="I80" i="44"/>
  <c r="G80" i="44"/>
  <c r="K79" i="44"/>
  <c r="J79" i="44"/>
  <c r="L79" i="44"/>
  <c r="I79" i="44"/>
  <c r="G79" i="44"/>
  <c r="K78" i="44"/>
  <c r="K81" i="44"/>
  <c r="J78" i="44"/>
  <c r="J81" i="44"/>
  <c r="I78" i="44"/>
  <c r="I81" i="44"/>
  <c r="G77" i="44"/>
  <c r="G76" i="44"/>
  <c r="I74" i="44"/>
  <c r="G80" i="33"/>
  <c r="L81" i="33"/>
  <c r="L80" i="33"/>
  <c r="I80" i="33"/>
  <c r="I81" i="33"/>
  <c r="I78" i="33"/>
  <c r="I79" i="33"/>
  <c r="I82" i="33"/>
  <c r="G81" i="33"/>
  <c r="J79" i="33"/>
  <c r="L79" i="33"/>
  <c r="G79" i="33"/>
  <c r="F179" i="7"/>
  <c r="J78" i="33"/>
  <c r="J82" i="33"/>
  <c r="G78" i="33"/>
  <c r="I74" i="33"/>
  <c r="I75" i="33"/>
  <c r="L74" i="33"/>
  <c r="G63" i="27"/>
  <c r="G106" i="11"/>
  <c r="G107" i="11"/>
  <c r="G108" i="11"/>
  <c r="G109" i="11"/>
  <c r="G110" i="11"/>
  <c r="L65" i="11"/>
  <c r="G20" i="11"/>
  <c r="L101" i="26"/>
  <c r="I101" i="26"/>
  <c r="L99" i="26"/>
  <c r="L100" i="26"/>
  <c r="I99" i="26"/>
  <c r="I100" i="26"/>
  <c r="G100" i="26"/>
  <c r="G98" i="26"/>
  <c r="G101" i="10"/>
  <c r="G102" i="10"/>
  <c r="L101" i="10"/>
  <c r="L102" i="10"/>
  <c r="I102" i="10"/>
  <c r="I101" i="10"/>
  <c r="L89" i="10"/>
  <c r="L90" i="10"/>
  <c r="L91" i="10"/>
  <c r="I89" i="10"/>
  <c r="I90" i="10"/>
  <c r="I91" i="10"/>
  <c r="G104" i="9"/>
  <c r="L104" i="9"/>
  <c r="G105" i="9"/>
  <c r="G106" i="9"/>
  <c r="L105" i="9"/>
  <c r="L106" i="9"/>
  <c r="I106" i="9"/>
  <c r="I105" i="9"/>
  <c r="I104" i="9"/>
  <c r="G94" i="9"/>
  <c r="G92" i="31"/>
  <c r="G91" i="31"/>
  <c r="I92" i="31"/>
  <c r="L92" i="31"/>
  <c r="G90" i="31"/>
  <c r="L90" i="31"/>
  <c r="G89" i="31"/>
  <c r="G88" i="31"/>
  <c r="L91" i="31"/>
  <c r="I89" i="31"/>
  <c r="I90" i="31"/>
  <c r="I102" i="8"/>
  <c r="L102" i="8"/>
  <c r="I101" i="8"/>
  <c r="L101" i="8"/>
  <c r="G76" i="8"/>
  <c r="I81" i="39"/>
  <c r="G53" i="10"/>
  <c r="O14" i="31"/>
  <c r="P37" i="31"/>
  <c r="G71" i="35"/>
  <c r="G86" i="44"/>
  <c r="G74" i="9"/>
  <c r="G77" i="9"/>
  <c r="G54" i="9"/>
  <c r="G77" i="39"/>
  <c r="G65" i="39"/>
  <c r="G85" i="44"/>
  <c r="K84" i="27"/>
  <c r="L84" i="27"/>
  <c r="K80" i="27"/>
  <c r="K81" i="27"/>
  <c r="L81" i="27"/>
  <c r="K79" i="27"/>
  <c r="L79" i="27"/>
  <c r="G103" i="9"/>
  <c r="L103" i="9"/>
  <c r="I100" i="8"/>
  <c r="L81" i="39"/>
  <c r="L84" i="39"/>
  <c r="L88" i="39"/>
  <c r="L85" i="39"/>
  <c r="L86" i="39"/>
  <c r="L87" i="39"/>
  <c r="L89" i="39"/>
  <c r="I82" i="39"/>
  <c r="I83" i="39"/>
  <c r="I84" i="39"/>
  <c r="I85" i="39"/>
  <c r="I86" i="39"/>
  <c r="I87" i="39"/>
  <c r="I88" i="39"/>
  <c r="I89" i="39"/>
  <c r="G82" i="39"/>
  <c r="G83" i="39"/>
  <c r="G84" i="39"/>
  <c r="G85" i="39"/>
  <c r="G86" i="39"/>
  <c r="G87" i="39"/>
  <c r="G88" i="39"/>
  <c r="G89" i="39"/>
  <c r="L106" i="35"/>
  <c r="L107" i="35"/>
  <c r="L110" i="35"/>
  <c r="L113" i="35"/>
  <c r="L108" i="35"/>
  <c r="L109" i="35"/>
  <c r="L111" i="35"/>
  <c r="L114" i="35"/>
  <c r="I106" i="35"/>
  <c r="I107" i="35"/>
  <c r="I108" i="35"/>
  <c r="I109" i="35"/>
  <c r="I110" i="35"/>
  <c r="I111" i="35"/>
  <c r="I112" i="35"/>
  <c r="I113" i="35"/>
  <c r="I114" i="35"/>
  <c r="G104" i="35"/>
  <c r="G105" i="35"/>
  <c r="G106" i="35"/>
  <c r="G107" i="35"/>
  <c r="G108" i="35"/>
  <c r="G109" i="35"/>
  <c r="G110" i="35"/>
  <c r="G111" i="35"/>
  <c r="G112" i="35"/>
  <c r="G113" i="35"/>
  <c r="G114" i="35"/>
  <c r="L81" i="36"/>
  <c r="L83" i="36"/>
  <c r="L85" i="36"/>
  <c r="L80" i="36"/>
  <c r="L82" i="36"/>
  <c r="L84" i="36"/>
  <c r="I80" i="36"/>
  <c r="I81" i="36"/>
  <c r="I82" i="36"/>
  <c r="I83" i="36"/>
  <c r="I84" i="36"/>
  <c r="I85" i="36"/>
  <c r="G80" i="36"/>
  <c r="G81" i="36"/>
  <c r="G82" i="36"/>
  <c r="G83" i="36"/>
  <c r="G84" i="36"/>
  <c r="G85" i="36"/>
  <c r="L66" i="44"/>
  <c r="L67" i="44"/>
  <c r="I66" i="44"/>
  <c r="I67" i="44"/>
  <c r="G66" i="44"/>
  <c r="G67" i="44"/>
  <c r="L65" i="44"/>
  <c r="I65" i="44"/>
  <c r="G65" i="44"/>
  <c r="L94" i="27"/>
  <c r="L93" i="27"/>
  <c r="L95" i="27"/>
  <c r="L98" i="27"/>
  <c r="L99" i="27"/>
  <c r="L100" i="27"/>
  <c r="I92" i="27"/>
  <c r="I93" i="27"/>
  <c r="I94" i="27"/>
  <c r="I95" i="27"/>
  <c r="I96" i="27"/>
  <c r="I97" i="27"/>
  <c r="I98" i="27"/>
  <c r="I99" i="27"/>
  <c r="I100" i="27"/>
  <c r="G91" i="27"/>
  <c r="G92" i="27"/>
  <c r="G93" i="27"/>
  <c r="G94" i="27"/>
  <c r="G95" i="27"/>
  <c r="G96" i="27"/>
  <c r="G97" i="27"/>
  <c r="G98" i="27"/>
  <c r="G99" i="27"/>
  <c r="G100" i="27"/>
  <c r="I84" i="27"/>
  <c r="I80" i="27"/>
  <c r="I81" i="27"/>
  <c r="K85" i="27"/>
  <c r="J85" i="27"/>
  <c r="L85" i="27"/>
  <c r="I85" i="27"/>
  <c r="K83" i="27"/>
  <c r="I83" i="27"/>
  <c r="K82" i="27"/>
  <c r="I82" i="27"/>
  <c r="I86" i="27"/>
  <c r="L75" i="27"/>
  <c r="I75" i="27"/>
  <c r="I67" i="27"/>
  <c r="G67" i="27"/>
  <c r="L98" i="26"/>
  <c r="I98" i="26"/>
  <c r="L66" i="26"/>
  <c r="I66" i="26"/>
  <c r="J111" i="10"/>
  <c r="L111" i="10"/>
  <c r="I111" i="10"/>
  <c r="G111" i="10"/>
  <c r="J110" i="10"/>
  <c r="L110" i="10"/>
  <c r="I110" i="10"/>
  <c r="G110" i="10"/>
  <c r="J109" i="10"/>
  <c r="L109" i="10"/>
  <c r="I109" i="10"/>
  <c r="G109" i="10"/>
  <c r="J108" i="10"/>
  <c r="L108" i="10"/>
  <c r="I108" i="10"/>
  <c r="G108" i="10"/>
  <c r="J107" i="10"/>
  <c r="L107" i="10"/>
  <c r="J106" i="10"/>
  <c r="J113" i="10"/>
  <c r="I106" i="10"/>
  <c r="I113" i="10"/>
  <c r="G106" i="10"/>
  <c r="G99" i="10"/>
  <c r="G100" i="10"/>
  <c r="I100" i="10"/>
  <c r="L100" i="10"/>
  <c r="I99" i="10"/>
  <c r="L99" i="10"/>
  <c r="I68" i="10"/>
  <c r="I103" i="9"/>
  <c r="L93" i="9"/>
  <c r="I91" i="9"/>
  <c r="I92" i="9"/>
  <c r="I93" i="9"/>
  <c r="I94" i="9"/>
  <c r="G91" i="9"/>
  <c r="G93" i="9"/>
  <c r="I69" i="9"/>
  <c r="I91" i="31"/>
  <c r="I88" i="31"/>
  <c r="I67" i="31"/>
  <c r="L104" i="8"/>
  <c r="I103" i="8"/>
  <c r="I104" i="8"/>
  <c r="G78" i="8"/>
  <c r="G79" i="8"/>
  <c r="G80" i="8"/>
  <c r="G81" i="8"/>
  <c r="I79" i="8"/>
  <c r="I80" i="8"/>
  <c r="I81" i="8"/>
  <c r="I78" i="8"/>
  <c r="I68" i="8"/>
  <c r="G68" i="8"/>
  <c r="L67" i="27"/>
  <c r="L82" i="27"/>
  <c r="L81" i="8"/>
  <c r="L78" i="8"/>
  <c r="G96" i="10"/>
  <c r="G97" i="10"/>
  <c r="G95" i="10"/>
  <c r="G63" i="45"/>
  <c r="G81" i="39"/>
  <c r="G80" i="39"/>
  <c r="G62" i="26"/>
  <c r="G61" i="26"/>
  <c r="G64" i="10"/>
  <c r="G102" i="9"/>
  <c r="L102" i="9"/>
  <c r="N102" i="9"/>
  <c r="G101" i="9"/>
  <c r="G100" i="9"/>
  <c r="L63" i="11"/>
  <c r="G83" i="26"/>
  <c r="L64" i="10"/>
  <c r="G21" i="41"/>
  <c r="J25" i="41"/>
  <c r="J30" i="41"/>
  <c r="G30" i="41"/>
  <c r="G29" i="41"/>
  <c r="G28" i="41"/>
  <c r="K67" i="45"/>
  <c r="I66" i="33"/>
  <c r="I68" i="33"/>
  <c r="C177" i="7"/>
  <c r="I63" i="33"/>
  <c r="G72" i="33"/>
  <c r="G73" i="33"/>
  <c r="G71" i="33"/>
  <c r="G66" i="33"/>
  <c r="L88" i="11"/>
  <c r="L89" i="11"/>
  <c r="L90" i="11"/>
  <c r="L98" i="11"/>
  <c r="F133" i="7"/>
  <c r="L64" i="11"/>
  <c r="I97" i="26"/>
  <c r="I95" i="26"/>
  <c r="I102" i="26"/>
  <c r="C110" i="7"/>
  <c r="L96" i="26"/>
  <c r="L84" i="26"/>
  <c r="L85" i="26"/>
  <c r="L87" i="26"/>
  <c r="L89" i="26"/>
  <c r="L90" i="26"/>
  <c r="L86" i="26"/>
  <c r="L72" i="26"/>
  <c r="L96" i="10"/>
  <c r="L98" i="10"/>
  <c r="I96" i="10"/>
  <c r="I97" i="10"/>
  <c r="I98" i="10"/>
  <c r="I95" i="10"/>
  <c r="L66" i="31"/>
  <c r="I66" i="31"/>
  <c r="I63" i="31"/>
  <c r="I62" i="31"/>
  <c r="L63" i="31"/>
  <c r="F36" i="7"/>
  <c r="L98" i="8"/>
  <c r="I67" i="8"/>
  <c r="I69" i="8"/>
  <c r="C14" i="7"/>
  <c r="I63" i="8"/>
  <c r="I64" i="8"/>
  <c r="I62" i="8"/>
  <c r="I65" i="8"/>
  <c r="C13" i="7"/>
  <c r="I58" i="8"/>
  <c r="I66" i="27"/>
  <c r="I68" i="27"/>
  <c r="C155" i="7"/>
  <c r="N65" i="9"/>
  <c r="N67" i="9"/>
  <c r="G32" i="27"/>
  <c r="L91" i="11"/>
  <c r="L92" i="11"/>
  <c r="L93" i="11"/>
  <c r="L96" i="11"/>
  <c r="I84" i="26"/>
  <c r="I85" i="26"/>
  <c r="I86" i="26"/>
  <c r="I87" i="26"/>
  <c r="I88" i="26"/>
  <c r="I89" i="26"/>
  <c r="I90" i="26"/>
  <c r="I91" i="26"/>
  <c r="I83" i="26"/>
  <c r="I80" i="31"/>
  <c r="I81" i="31"/>
  <c r="L81" i="31"/>
  <c r="I82" i="31"/>
  <c r="L82" i="31"/>
  <c r="I83" i="31"/>
  <c r="L83" i="31"/>
  <c r="I87" i="31"/>
  <c r="L87" i="31"/>
  <c r="I86" i="31"/>
  <c r="I93" i="31"/>
  <c r="C40" i="7"/>
  <c r="I79" i="31"/>
  <c r="I84" i="31"/>
  <c r="C39" i="7"/>
  <c r="I72" i="31"/>
  <c r="I86" i="8"/>
  <c r="L86" i="8"/>
  <c r="I87" i="8"/>
  <c r="I88" i="8"/>
  <c r="I89" i="8"/>
  <c r="I90" i="8"/>
  <c r="I91" i="8"/>
  <c r="L91" i="8"/>
  <c r="I92" i="8"/>
  <c r="L92" i="8"/>
  <c r="I93" i="8"/>
  <c r="L85" i="8"/>
  <c r="I85" i="8"/>
  <c r="I94" i="8"/>
  <c r="C16" i="7"/>
  <c r="G26" i="41"/>
  <c r="J78" i="45"/>
  <c r="J79" i="45"/>
  <c r="L79" i="45"/>
  <c r="J77" i="45"/>
  <c r="J80" i="45"/>
  <c r="L67" i="45"/>
  <c r="L69" i="45"/>
  <c r="I67" i="45"/>
  <c r="I69" i="45"/>
  <c r="C304" i="7"/>
  <c r="G77" i="45"/>
  <c r="G64" i="45"/>
  <c r="G60" i="45"/>
  <c r="G52" i="45"/>
  <c r="G50" i="45"/>
  <c r="G47" i="45"/>
  <c r="G79" i="45"/>
  <c r="G78" i="45"/>
  <c r="G57" i="45"/>
  <c r="G56" i="45"/>
  <c r="G54" i="45"/>
  <c r="G51" i="45"/>
  <c r="G49" i="45"/>
  <c r="I80" i="39"/>
  <c r="I90" i="39"/>
  <c r="I75" i="39"/>
  <c r="I76" i="39"/>
  <c r="L76" i="39"/>
  <c r="I77" i="39"/>
  <c r="I74" i="39"/>
  <c r="L77" i="39"/>
  <c r="G76" i="39"/>
  <c r="G75" i="39"/>
  <c r="G74" i="39"/>
  <c r="G52" i="42"/>
  <c r="I73" i="33"/>
  <c r="I71" i="33"/>
  <c r="I62" i="33"/>
  <c r="G63" i="33"/>
  <c r="G99" i="11"/>
  <c r="G98" i="11"/>
  <c r="G95" i="11"/>
  <c r="G94" i="11"/>
  <c r="G93" i="11"/>
  <c r="G91" i="11"/>
  <c r="G90" i="11"/>
  <c r="G87" i="11"/>
  <c r="G86" i="11"/>
  <c r="G87" i="26"/>
  <c r="I74" i="26"/>
  <c r="L87" i="9"/>
  <c r="L89" i="9"/>
  <c r="L90" i="9"/>
  <c r="L95" i="9"/>
  <c r="L85" i="9"/>
  <c r="G79" i="31"/>
  <c r="G82" i="31"/>
  <c r="G83" i="31"/>
  <c r="G81" i="31"/>
  <c r="G66" i="31"/>
  <c r="G92" i="11"/>
  <c r="G97" i="11"/>
  <c r="G86" i="26"/>
  <c r="G88" i="26"/>
  <c r="G80" i="31"/>
  <c r="G93" i="8"/>
  <c r="G91" i="8"/>
  <c r="G90" i="8"/>
  <c r="G88" i="8"/>
  <c r="G86" i="8"/>
  <c r="G63" i="8"/>
  <c r="G85" i="8"/>
  <c r="G87" i="8"/>
  <c r="G89" i="8"/>
  <c r="G92" i="8"/>
  <c r="G64" i="8"/>
  <c r="M63" i="11"/>
  <c r="M64" i="10"/>
  <c r="B24" i="43"/>
  <c r="G40" i="43"/>
  <c r="G84" i="44"/>
  <c r="G13" i="27"/>
  <c r="I74" i="27"/>
  <c r="G48" i="27"/>
  <c r="I100" i="9"/>
  <c r="I102" i="9"/>
  <c r="M21" i="10"/>
  <c r="G59" i="8"/>
  <c r="G94" i="26"/>
  <c r="G88" i="27"/>
  <c r="I69" i="39"/>
  <c r="I71" i="39"/>
  <c r="C283" i="7"/>
  <c r="J22" i="41"/>
  <c r="G18" i="41"/>
  <c r="G95" i="9"/>
  <c r="G96" i="9"/>
  <c r="I86" i="9"/>
  <c r="I87" i="9"/>
  <c r="I88" i="9"/>
  <c r="I89" i="9"/>
  <c r="I90" i="9"/>
  <c r="I95" i="9"/>
  <c r="I96" i="9"/>
  <c r="I85" i="9"/>
  <c r="I97" i="9"/>
  <c r="C86" i="7"/>
  <c r="I85" i="10"/>
  <c r="I86" i="10"/>
  <c r="I87" i="10"/>
  <c r="I88" i="10"/>
  <c r="I84" i="10"/>
  <c r="I92" i="10"/>
  <c r="I66" i="39"/>
  <c r="I65" i="39"/>
  <c r="I67" i="39"/>
  <c r="C282" i="7"/>
  <c r="I105" i="35"/>
  <c r="L104" i="35"/>
  <c r="I104" i="35"/>
  <c r="I103" i="35"/>
  <c r="I115" i="35"/>
  <c r="C263" i="7"/>
  <c r="L83" i="35"/>
  <c r="I83" i="35"/>
  <c r="G83" i="35"/>
  <c r="I82" i="35"/>
  <c r="G82" i="35"/>
  <c r="I81" i="35"/>
  <c r="I85" i="35"/>
  <c r="C262" i="7"/>
  <c r="G81" i="35"/>
  <c r="I75" i="35"/>
  <c r="I77" i="35"/>
  <c r="C261" i="7"/>
  <c r="I72" i="35"/>
  <c r="I71" i="35"/>
  <c r="I73" i="35"/>
  <c r="C260" i="7"/>
  <c r="L25" i="42"/>
  <c r="L29" i="42"/>
  <c r="I91" i="27"/>
  <c r="I90" i="27"/>
  <c r="G90" i="27"/>
  <c r="I89" i="27"/>
  <c r="I101" i="27"/>
  <c r="G89" i="27"/>
  <c r="G74" i="27"/>
  <c r="L73" i="27"/>
  <c r="I73" i="27"/>
  <c r="G73" i="27"/>
  <c r="I72" i="27"/>
  <c r="F155" i="7"/>
  <c r="G66" i="27"/>
  <c r="L63" i="27"/>
  <c r="I63" i="27"/>
  <c r="I62" i="27"/>
  <c r="I64" i="27"/>
  <c r="C154" i="7"/>
  <c r="J77" i="11"/>
  <c r="G77" i="11"/>
  <c r="J76" i="11"/>
  <c r="G76" i="11"/>
  <c r="J75" i="11"/>
  <c r="G75" i="11"/>
  <c r="I62" i="26"/>
  <c r="I61" i="26"/>
  <c r="I63" i="26"/>
  <c r="C106" i="7"/>
  <c r="G88" i="10"/>
  <c r="L88" i="10"/>
  <c r="G87" i="10"/>
  <c r="L87" i="10"/>
  <c r="G86" i="10"/>
  <c r="L86" i="10"/>
  <c r="G84" i="10"/>
  <c r="L84" i="10"/>
  <c r="G90" i="9"/>
  <c r="G89" i="9"/>
  <c r="G88" i="9"/>
  <c r="G87" i="9"/>
  <c r="G86" i="9"/>
  <c r="G85" i="9"/>
  <c r="G76" i="9"/>
  <c r="O78" i="9"/>
  <c r="G62" i="31"/>
  <c r="L32" i="31"/>
  <c r="I32" i="31"/>
  <c r="G32" i="31"/>
  <c r="I99" i="8"/>
  <c r="I98" i="8"/>
  <c r="I97" i="8"/>
  <c r="G57" i="11"/>
  <c r="L30" i="9"/>
  <c r="G31" i="9"/>
  <c r="G30" i="8"/>
  <c r="G56" i="44"/>
  <c r="I56" i="44"/>
  <c r="I17" i="45"/>
  <c r="L24" i="45"/>
  <c r="L25" i="45"/>
  <c r="L26" i="45"/>
  <c r="L27" i="45"/>
  <c r="L28" i="45"/>
  <c r="L29" i="45"/>
  <c r="L30" i="45"/>
  <c r="L32" i="45"/>
  <c r="L34" i="45"/>
  <c r="L35" i="45"/>
  <c r="L36" i="45"/>
  <c r="I23" i="45"/>
  <c r="I24" i="45"/>
  <c r="I25" i="45"/>
  <c r="I26" i="45"/>
  <c r="I27" i="45"/>
  <c r="I28" i="45"/>
  <c r="I29" i="45"/>
  <c r="I30" i="45"/>
  <c r="I31" i="45"/>
  <c r="I32" i="45"/>
  <c r="I33" i="45"/>
  <c r="I34" i="45"/>
  <c r="I35" i="45"/>
  <c r="L15" i="45"/>
  <c r="L17" i="45"/>
  <c r="L19" i="45"/>
  <c r="L20" i="45"/>
  <c r="L21" i="45"/>
  <c r="L31" i="45"/>
  <c r="L53" i="39"/>
  <c r="L57" i="39"/>
  <c r="L58" i="39"/>
  <c r="L21" i="39"/>
  <c r="L22" i="39"/>
  <c r="L23" i="39"/>
  <c r="L24" i="39"/>
  <c r="L26" i="39"/>
  <c r="L27" i="39"/>
  <c r="L28" i="39"/>
  <c r="L30" i="39"/>
  <c r="L31" i="39"/>
  <c r="L32" i="39"/>
  <c r="L33" i="39"/>
  <c r="L34" i="39"/>
  <c r="L36" i="39"/>
  <c r="L37" i="39"/>
  <c r="L41" i="39"/>
  <c r="L18" i="39"/>
  <c r="L19" i="39"/>
  <c r="L25" i="39"/>
  <c r="L39" i="39"/>
  <c r="I45" i="35"/>
  <c r="I49" i="35"/>
  <c r="I50" i="35"/>
  <c r="I52" i="35"/>
  <c r="I36" i="35"/>
  <c r="L21" i="35"/>
  <c r="L32" i="35"/>
  <c r="I21" i="35"/>
  <c r="I32" i="35"/>
  <c r="L15" i="35"/>
  <c r="L16" i="35"/>
  <c r="L34" i="35"/>
  <c r="L36" i="35"/>
  <c r="L39" i="35"/>
  <c r="L40" i="35"/>
  <c r="L41" i="35"/>
  <c r="L10" i="42"/>
  <c r="L11" i="42"/>
  <c r="L12" i="42"/>
  <c r="L15" i="42"/>
  <c r="L23" i="42"/>
  <c r="L26" i="42"/>
  <c r="L27" i="42"/>
  <c r="L30" i="42"/>
  <c r="L31" i="42"/>
  <c r="L33" i="42"/>
  <c r="L18" i="42"/>
  <c r="L19" i="42"/>
  <c r="L36" i="42"/>
  <c r="L60" i="36"/>
  <c r="L63" i="36"/>
  <c r="L67" i="36"/>
  <c r="L68" i="36"/>
  <c r="L69" i="36"/>
  <c r="L75" i="36"/>
  <c r="L76" i="36"/>
  <c r="L77" i="36"/>
  <c r="L78" i="36"/>
  <c r="L37" i="36"/>
  <c r="L39" i="36"/>
  <c r="L10" i="36"/>
  <c r="L11" i="36"/>
  <c r="L12" i="36"/>
  <c r="L18" i="36"/>
  <c r="L19" i="36"/>
  <c r="L63" i="44"/>
  <c r="I49" i="44"/>
  <c r="I50" i="44"/>
  <c r="I51" i="44"/>
  <c r="I52" i="44"/>
  <c r="I53" i="44"/>
  <c r="I54" i="44"/>
  <c r="I55" i="44"/>
  <c r="I57" i="44"/>
  <c r="I12" i="44"/>
  <c r="L57" i="33"/>
  <c r="L50" i="33"/>
  <c r="L52" i="33"/>
  <c r="L59" i="33"/>
  <c r="I50" i="33"/>
  <c r="I51" i="33"/>
  <c r="I52" i="33"/>
  <c r="I53" i="33"/>
  <c r="I54" i="33"/>
  <c r="I55" i="33"/>
  <c r="I56" i="33"/>
  <c r="I57" i="33"/>
  <c r="I58" i="33"/>
  <c r="I59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19" i="33"/>
  <c r="L10" i="33"/>
  <c r="L13" i="33"/>
  <c r="L14" i="33"/>
  <c r="L15" i="33"/>
  <c r="I10" i="33"/>
  <c r="I11" i="33"/>
  <c r="I13" i="33"/>
  <c r="I14" i="33"/>
  <c r="I15" i="33"/>
  <c r="L49" i="11"/>
  <c r="L51" i="11"/>
  <c r="L52" i="11"/>
  <c r="L54" i="11"/>
  <c r="L55" i="11"/>
  <c r="L56" i="11"/>
  <c r="L18" i="11"/>
  <c r="L21" i="11"/>
  <c r="L25" i="11"/>
  <c r="L27" i="11"/>
  <c r="L29" i="11"/>
  <c r="L30" i="11"/>
  <c r="L18" i="27"/>
  <c r="L20" i="27"/>
  <c r="L21" i="27"/>
  <c r="L22" i="27"/>
  <c r="L23" i="27"/>
  <c r="L24" i="27"/>
  <c r="L25" i="27"/>
  <c r="L27" i="27"/>
  <c r="L28" i="27"/>
  <c r="L32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48" i="26"/>
  <c r="I49" i="26"/>
  <c r="I50" i="26"/>
  <c r="I51" i="26"/>
  <c r="I52" i="26"/>
  <c r="I53" i="26"/>
  <c r="I54" i="26"/>
  <c r="I55" i="26"/>
  <c r="I56" i="26"/>
  <c r="I57" i="26"/>
  <c r="L48" i="26"/>
  <c r="L54" i="26"/>
  <c r="L55" i="26"/>
  <c r="L22" i="26"/>
  <c r="L23" i="26"/>
  <c r="L30" i="26"/>
  <c r="L24" i="26"/>
  <c r="L28" i="26"/>
  <c r="L29" i="26"/>
  <c r="I50" i="10"/>
  <c r="I51" i="10"/>
  <c r="I52" i="10"/>
  <c r="I53" i="10"/>
  <c r="I54" i="10"/>
  <c r="I55" i="10"/>
  <c r="I56" i="10"/>
  <c r="I57" i="10"/>
  <c r="I58" i="10"/>
  <c r="I59" i="10"/>
  <c r="I49" i="10"/>
  <c r="I38" i="10"/>
  <c r="L22" i="10"/>
  <c r="L19" i="10"/>
  <c r="L21" i="10"/>
  <c r="L23" i="10"/>
  <c r="L26" i="10"/>
  <c r="L27" i="10"/>
  <c r="L30" i="10"/>
  <c r="L31" i="10"/>
  <c r="L55" i="9"/>
  <c r="L53" i="9"/>
  <c r="L57" i="9"/>
  <c r="L20" i="9"/>
  <c r="L21" i="9"/>
  <c r="L27" i="9"/>
  <c r="L29" i="9"/>
  <c r="I18" i="9"/>
  <c r="I19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9" i="9"/>
  <c r="I10" i="9"/>
  <c r="I11" i="9"/>
  <c r="I12" i="9"/>
  <c r="I13" i="9"/>
  <c r="L73" i="31"/>
  <c r="L74" i="31"/>
  <c r="I73" i="31"/>
  <c r="I74" i="31"/>
  <c r="L50" i="31"/>
  <c r="L58" i="31"/>
  <c r="L49" i="31"/>
  <c r="L52" i="31"/>
  <c r="L57" i="31"/>
  <c r="L59" i="31"/>
  <c r="I49" i="31"/>
  <c r="I50" i="31"/>
  <c r="I51" i="31"/>
  <c r="I52" i="31"/>
  <c r="I53" i="31"/>
  <c r="I54" i="31"/>
  <c r="I55" i="31"/>
  <c r="I56" i="31"/>
  <c r="I59" i="31"/>
  <c r="L16" i="31"/>
  <c r="L23" i="31"/>
  <c r="L18" i="31"/>
  <c r="L20" i="31"/>
  <c r="L26" i="31"/>
  <c r="L27" i="31"/>
  <c r="L28" i="31"/>
  <c r="L29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74" i="8"/>
  <c r="I75" i="8"/>
  <c r="I76" i="8"/>
  <c r="I49" i="8"/>
  <c r="I50" i="8"/>
  <c r="I51" i="8"/>
  <c r="I52" i="8"/>
  <c r="I53" i="8"/>
  <c r="I54" i="8"/>
  <c r="I55" i="8"/>
  <c r="I56" i="8"/>
  <c r="I5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L24" i="8"/>
  <c r="L27" i="8"/>
  <c r="L29" i="8"/>
  <c r="L33" i="8"/>
  <c r="I9" i="8"/>
  <c r="I10" i="8"/>
  <c r="I11" i="8"/>
  <c r="I12" i="8"/>
  <c r="I13" i="8"/>
  <c r="L19" i="26"/>
  <c r="G17" i="26"/>
  <c r="G9" i="41"/>
  <c r="G10" i="41"/>
  <c r="G11" i="41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22" i="45"/>
  <c r="G17" i="45"/>
  <c r="G16" i="45"/>
  <c r="G7" i="45"/>
  <c r="G8" i="45"/>
  <c r="G9" i="45"/>
  <c r="G10" i="45"/>
  <c r="G11" i="45"/>
  <c r="G12" i="45"/>
  <c r="G13" i="45"/>
  <c r="G6" i="45"/>
  <c r="G53" i="39"/>
  <c r="G54" i="39"/>
  <c r="G57" i="39"/>
  <c r="G58" i="39"/>
  <c r="G59" i="39"/>
  <c r="G41" i="39"/>
  <c r="G40" i="39"/>
  <c r="G21" i="39"/>
  <c r="G22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20" i="39"/>
  <c r="G9" i="39"/>
  <c r="G14" i="39"/>
  <c r="G15" i="39"/>
  <c r="G16" i="39"/>
  <c r="G8" i="39"/>
  <c r="G45" i="35"/>
  <c r="G49" i="35"/>
  <c r="G50" i="35"/>
  <c r="G36" i="35"/>
  <c r="G35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17" i="35"/>
  <c r="G9" i="35"/>
  <c r="G10" i="35"/>
  <c r="G11" i="35"/>
  <c r="G12" i="35"/>
  <c r="G13" i="35"/>
  <c r="G8" i="35"/>
  <c r="G51" i="42"/>
  <c r="G53" i="42"/>
  <c r="G56" i="42"/>
  <c r="G60" i="42"/>
  <c r="G50" i="42"/>
  <c r="G38" i="42"/>
  <c r="G37" i="42"/>
  <c r="G21" i="42"/>
  <c r="G22" i="42"/>
  <c r="G23" i="42"/>
  <c r="G24" i="42"/>
  <c r="G25" i="42"/>
  <c r="G26" i="42"/>
  <c r="G27" i="42"/>
  <c r="G30" i="42"/>
  <c r="G31" i="42"/>
  <c r="G32" i="42"/>
  <c r="G33" i="42"/>
  <c r="G34" i="42"/>
  <c r="G20" i="42"/>
  <c r="G9" i="42"/>
  <c r="G10" i="42"/>
  <c r="G11" i="42"/>
  <c r="G12" i="42"/>
  <c r="G13" i="42"/>
  <c r="G14" i="42"/>
  <c r="G15" i="42"/>
  <c r="G16" i="42"/>
  <c r="G8" i="42"/>
  <c r="G78" i="36"/>
  <c r="G71" i="36"/>
  <c r="G72" i="36"/>
  <c r="G70" i="36"/>
  <c r="G53" i="36"/>
  <c r="G54" i="36"/>
  <c r="G55" i="36"/>
  <c r="G56" i="36"/>
  <c r="G41" i="36"/>
  <c r="G4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7" i="36"/>
  <c r="G20" i="36"/>
  <c r="G9" i="36"/>
  <c r="G10" i="36"/>
  <c r="G11" i="36"/>
  <c r="G12" i="36"/>
  <c r="G13" i="36"/>
  <c r="G14" i="36"/>
  <c r="G15" i="36"/>
  <c r="G16" i="36"/>
  <c r="G8" i="36"/>
  <c r="G61" i="44"/>
  <c r="G62" i="44"/>
  <c r="G63" i="44"/>
  <c r="G68" i="44"/>
  <c r="G69" i="44"/>
  <c r="G70" i="44"/>
  <c r="G71" i="44"/>
  <c r="G72" i="44"/>
  <c r="G73" i="44"/>
  <c r="G75" i="44"/>
  <c r="G82" i="44"/>
  <c r="G83" i="44"/>
  <c r="G50" i="44"/>
  <c r="G51" i="44"/>
  <c r="G52" i="44"/>
  <c r="G53" i="44"/>
  <c r="G54" i="44"/>
  <c r="G55" i="44"/>
  <c r="G48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23" i="44"/>
  <c r="G19" i="44"/>
  <c r="G18" i="44"/>
  <c r="G9" i="44"/>
  <c r="G10" i="44"/>
  <c r="G11" i="44"/>
  <c r="G12" i="44"/>
  <c r="G13" i="44"/>
  <c r="G14" i="44"/>
  <c r="G15" i="44"/>
  <c r="G8" i="44"/>
  <c r="G50" i="33"/>
  <c r="G52" i="33"/>
  <c r="G55" i="33"/>
  <c r="G56" i="33"/>
  <c r="G57" i="33"/>
  <c r="G59" i="33"/>
  <c r="G49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23" i="33"/>
  <c r="G19" i="33"/>
  <c r="G18" i="33"/>
  <c r="G9" i="33"/>
  <c r="G10" i="33"/>
  <c r="G11" i="33"/>
  <c r="G12" i="33"/>
  <c r="G13" i="33"/>
  <c r="G14" i="33"/>
  <c r="G15" i="33"/>
  <c r="G8" i="33"/>
  <c r="G49" i="11"/>
  <c r="G50" i="11"/>
  <c r="G51" i="11"/>
  <c r="G52" i="11"/>
  <c r="G54" i="11"/>
  <c r="G55" i="11"/>
  <c r="G56" i="11"/>
  <c r="G59" i="11"/>
  <c r="G48" i="11"/>
  <c r="G18" i="11"/>
  <c r="G19" i="11"/>
  <c r="G21" i="11"/>
  <c r="G22" i="11"/>
  <c r="G23" i="11"/>
  <c r="G24" i="11"/>
  <c r="G25" i="11"/>
  <c r="G26" i="11"/>
  <c r="G27" i="11"/>
  <c r="G28" i="11"/>
  <c r="G29" i="11"/>
  <c r="G30" i="11"/>
  <c r="G33" i="11"/>
  <c r="G9" i="11"/>
  <c r="G10" i="11"/>
  <c r="G12" i="11"/>
  <c r="G13" i="11"/>
  <c r="G8" i="11"/>
  <c r="G49" i="27"/>
  <c r="G50" i="27"/>
  <c r="G51" i="27"/>
  <c r="G53" i="27"/>
  <c r="G54" i="27"/>
  <c r="G55" i="27"/>
  <c r="G58" i="27"/>
  <c r="G47" i="27"/>
  <c r="G18" i="27"/>
  <c r="G19" i="27"/>
  <c r="G20" i="27"/>
  <c r="G21" i="27"/>
  <c r="G22" i="27"/>
  <c r="G23" i="27"/>
  <c r="G24" i="27"/>
  <c r="G25" i="27"/>
  <c r="G26" i="27"/>
  <c r="G27" i="27"/>
  <c r="G28" i="27"/>
  <c r="G9" i="27"/>
  <c r="G10" i="27"/>
  <c r="G12" i="27"/>
  <c r="G8" i="27"/>
  <c r="G72" i="26"/>
  <c r="G73" i="26"/>
  <c r="G71" i="26"/>
  <c r="G48" i="26"/>
  <c r="G49" i="26"/>
  <c r="G50" i="26"/>
  <c r="G51" i="26"/>
  <c r="G53" i="26"/>
  <c r="G54" i="26"/>
  <c r="G55" i="26"/>
  <c r="G47" i="26"/>
  <c r="G18" i="26"/>
  <c r="G19" i="26"/>
  <c r="G20" i="26"/>
  <c r="G21" i="26"/>
  <c r="G22" i="26"/>
  <c r="G23" i="26"/>
  <c r="G24" i="26"/>
  <c r="G26" i="26"/>
  <c r="G27" i="26"/>
  <c r="G28" i="26"/>
  <c r="G32" i="26"/>
  <c r="G9" i="26"/>
  <c r="G10" i="26"/>
  <c r="G12" i="26"/>
  <c r="G13" i="26"/>
  <c r="G8" i="26"/>
  <c r="G74" i="10"/>
  <c r="G75" i="10"/>
  <c r="G73" i="10"/>
  <c r="G50" i="10"/>
  <c r="G51" i="10"/>
  <c r="G52" i="10"/>
  <c r="G55" i="10"/>
  <c r="G56" i="10"/>
  <c r="G57" i="10"/>
  <c r="G49" i="10"/>
  <c r="G19" i="10"/>
  <c r="G21" i="10"/>
  <c r="G22" i="10"/>
  <c r="G23" i="10"/>
  <c r="G26" i="10"/>
  <c r="G27" i="10"/>
  <c r="G30" i="10"/>
  <c r="G31" i="10"/>
  <c r="G34" i="10"/>
  <c r="G9" i="10"/>
  <c r="G10" i="10"/>
  <c r="G12" i="10"/>
  <c r="G13" i="10"/>
  <c r="G8" i="10"/>
  <c r="G75" i="9"/>
  <c r="G51" i="9"/>
  <c r="G52" i="9"/>
  <c r="G53" i="9"/>
  <c r="G55" i="9"/>
  <c r="G56" i="9"/>
  <c r="G57" i="9"/>
  <c r="G59" i="9"/>
  <c r="G49" i="9"/>
  <c r="G18" i="9"/>
  <c r="G20" i="9"/>
  <c r="G21" i="9"/>
  <c r="G22" i="9"/>
  <c r="G26" i="9"/>
  <c r="G27" i="9"/>
  <c r="G29" i="9"/>
  <c r="G30" i="9"/>
  <c r="G32" i="9"/>
  <c r="G33" i="9"/>
  <c r="G17" i="9"/>
  <c r="G8" i="9"/>
  <c r="G9" i="9"/>
  <c r="G10" i="9"/>
  <c r="G12" i="9"/>
  <c r="G13" i="9"/>
  <c r="G73" i="31"/>
  <c r="G74" i="31"/>
  <c r="G72" i="31"/>
  <c r="G49" i="31"/>
  <c r="G50" i="31"/>
  <c r="G51" i="31"/>
  <c r="G52" i="31"/>
  <c r="G53" i="31"/>
  <c r="G54" i="31"/>
  <c r="G55" i="31"/>
  <c r="G56" i="31"/>
  <c r="G57" i="31"/>
  <c r="G58" i="31"/>
  <c r="G59" i="31"/>
  <c r="G48" i="31"/>
  <c r="G36" i="31"/>
  <c r="G35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1" i="31"/>
  <c r="G17" i="31"/>
  <c r="G9" i="31"/>
  <c r="G10" i="31"/>
  <c r="G11" i="31"/>
  <c r="G12" i="31"/>
  <c r="G13" i="31"/>
  <c r="G8" i="31"/>
  <c r="G74" i="8"/>
  <c r="G75" i="8"/>
  <c r="G73" i="8"/>
  <c r="G49" i="8"/>
  <c r="G50" i="8"/>
  <c r="G51" i="8"/>
  <c r="G52" i="8"/>
  <c r="G53" i="8"/>
  <c r="G54" i="8"/>
  <c r="G55" i="8"/>
  <c r="G56" i="8"/>
  <c r="G57" i="8"/>
  <c r="G58" i="8"/>
  <c r="G48" i="8"/>
  <c r="G37" i="8"/>
  <c r="G36" i="8"/>
  <c r="G18" i="8"/>
  <c r="G19" i="8"/>
  <c r="G20" i="8"/>
  <c r="G21" i="8"/>
  <c r="G22" i="8"/>
  <c r="G23" i="8"/>
  <c r="G24" i="8"/>
  <c r="G25" i="8"/>
  <c r="G26" i="8"/>
  <c r="G27" i="8"/>
  <c r="G28" i="8"/>
  <c r="G29" i="8"/>
  <c r="G33" i="8"/>
  <c r="G16" i="8"/>
  <c r="G9" i="8"/>
  <c r="G10" i="8"/>
  <c r="G12" i="8"/>
  <c r="G13" i="8"/>
  <c r="G8" i="8"/>
  <c r="L19" i="31"/>
  <c r="L36" i="36"/>
  <c r="L60" i="42"/>
  <c r="L56" i="42"/>
  <c r="L50" i="42"/>
  <c r="I79" i="36"/>
  <c r="I77" i="36"/>
  <c r="I86" i="36"/>
  <c r="C223" i="7"/>
  <c r="I61" i="36"/>
  <c r="I62" i="36"/>
  <c r="C220" i="7"/>
  <c r="I84" i="44"/>
  <c r="I86" i="44"/>
  <c r="I88" i="44"/>
  <c r="C201" i="7"/>
  <c r="L48" i="44"/>
  <c r="I73" i="44"/>
  <c r="I72" i="44"/>
  <c r="I71" i="44"/>
  <c r="I75" i="44"/>
  <c r="C200" i="7"/>
  <c r="I64" i="44"/>
  <c r="I68" i="44"/>
  <c r="C199" i="7"/>
  <c r="L61" i="44"/>
  <c r="I61" i="44"/>
  <c r="I60" i="44"/>
  <c r="I62" i="44"/>
  <c r="C198" i="7"/>
  <c r="L56" i="44"/>
  <c r="L52" i="44"/>
  <c r="L50" i="44"/>
  <c r="I48" i="44"/>
  <c r="I47" i="44"/>
  <c r="I58" i="44"/>
  <c r="C197" i="7"/>
  <c r="I49" i="33"/>
  <c r="I60" i="33"/>
  <c r="C175" i="7"/>
  <c r="L32" i="11"/>
  <c r="G31" i="11"/>
  <c r="G17" i="11"/>
  <c r="G11" i="11"/>
  <c r="G36" i="27"/>
  <c r="G30" i="27"/>
  <c r="G11" i="27"/>
  <c r="J7" i="41"/>
  <c r="J8" i="41"/>
  <c r="J9" i="41"/>
  <c r="J10" i="41"/>
  <c r="J11" i="41"/>
  <c r="J12" i="41"/>
  <c r="D320" i="7"/>
  <c r="L9" i="41"/>
  <c r="L11" i="41"/>
  <c r="L7" i="45"/>
  <c r="C298" i="7"/>
  <c r="L8" i="45"/>
  <c r="L9" i="45"/>
  <c r="L10" i="45"/>
  <c r="L11" i="45"/>
  <c r="L12" i="45"/>
  <c r="L13" i="45"/>
  <c r="I16" i="45"/>
  <c r="I18" i="45"/>
  <c r="C300" i="7"/>
  <c r="I22" i="45"/>
  <c r="I36" i="45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35" i="39"/>
  <c r="I36" i="39"/>
  <c r="I37" i="39"/>
  <c r="I40" i="39"/>
  <c r="I41" i="39"/>
  <c r="I51" i="39"/>
  <c r="I52" i="39"/>
  <c r="I53" i="39"/>
  <c r="I54" i="39"/>
  <c r="I55" i="39"/>
  <c r="I56" i="39"/>
  <c r="I57" i="39"/>
  <c r="I58" i="39"/>
  <c r="I59" i="39"/>
  <c r="I60" i="39"/>
  <c r="I61" i="39"/>
  <c r="I17" i="35"/>
  <c r="I19" i="35"/>
  <c r="I20" i="35"/>
  <c r="I23" i="35"/>
  <c r="I26" i="35"/>
  <c r="I27" i="35"/>
  <c r="I31" i="35"/>
  <c r="I35" i="35"/>
  <c r="I37" i="35"/>
  <c r="C256" i="7"/>
  <c r="L35" i="35"/>
  <c r="I44" i="35"/>
  <c r="L45" i="35"/>
  <c r="L49" i="35"/>
  <c r="L50" i="35"/>
  <c r="I56" i="35"/>
  <c r="I57" i="35"/>
  <c r="I58" i="35"/>
  <c r="J56" i="35"/>
  <c r="K56" i="35"/>
  <c r="K57" i="35"/>
  <c r="K58" i="35"/>
  <c r="J57" i="35"/>
  <c r="J58" i="35"/>
  <c r="L58" i="35"/>
  <c r="I60" i="35"/>
  <c r="I61" i="35"/>
  <c r="J60" i="35"/>
  <c r="J61" i="35"/>
  <c r="K60" i="35"/>
  <c r="K61" i="35"/>
  <c r="L61" i="35"/>
  <c r="I65" i="35"/>
  <c r="J65" i="35"/>
  <c r="K65" i="35"/>
  <c r="I66" i="35"/>
  <c r="I67" i="35"/>
  <c r="I68" i="35"/>
  <c r="J66" i="35"/>
  <c r="K66" i="35"/>
  <c r="J67" i="35"/>
  <c r="J68" i="35"/>
  <c r="K67" i="35"/>
  <c r="L37" i="42"/>
  <c r="I8" i="36"/>
  <c r="I9" i="36"/>
  <c r="L9" i="39"/>
  <c r="I12" i="36"/>
  <c r="I14" i="36"/>
  <c r="I16" i="36"/>
  <c r="I21" i="36"/>
  <c r="I22" i="36"/>
  <c r="L22" i="36"/>
  <c r="I23" i="36"/>
  <c r="I24" i="36"/>
  <c r="L24" i="36"/>
  <c r="I25" i="36"/>
  <c r="I26" i="36"/>
  <c r="I27" i="36"/>
  <c r="I28" i="36"/>
  <c r="I29" i="36"/>
  <c r="I30" i="36"/>
  <c r="I31" i="36"/>
  <c r="I32" i="36"/>
  <c r="I33" i="36"/>
  <c r="I34" i="36"/>
  <c r="L34" i="36"/>
  <c r="I35" i="36"/>
  <c r="L35" i="36"/>
  <c r="I36" i="36"/>
  <c r="I37" i="36"/>
  <c r="I40" i="36"/>
  <c r="I41" i="36"/>
  <c r="I42" i="36"/>
  <c r="F216" i="7"/>
  <c r="C216" i="7"/>
  <c r="L41" i="36"/>
  <c r="I51" i="36"/>
  <c r="I52" i="36"/>
  <c r="I53" i="36"/>
  <c r="I54" i="36"/>
  <c r="I55" i="36"/>
  <c r="L55" i="36"/>
  <c r="I56" i="36"/>
  <c r="I57" i="36"/>
  <c r="I58" i="36"/>
  <c r="I64" i="36"/>
  <c r="I66" i="36"/>
  <c r="C221" i="7"/>
  <c r="I70" i="36"/>
  <c r="I71" i="36"/>
  <c r="L71" i="36"/>
  <c r="I72" i="36"/>
  <c r="I73" i="36"/>
  <c r="I10" i="44"/>
  <c r="I18" i="44"/>
  <c r="I19" i="44"/>
  <c r="L19" i="44"/>
  <c r="I23" i="44"/>
  <c r="I24" i="44"/>
  <c r="I26" i="44"/>
  <c r="I27" i="44"/>
  <c r="L27" i="44"/>
  <c r="I28" i="44"/>
  <c r="I29" i="44"/>
  <c r="L30" i="44"/>
  <c r="I31" i="44"/>
  <c r="L31" i="44"/>
  <c r="I32" i="44"/>
  <c r="L32" i="44"/>
  <c r="I33" i="44"/>
  <c r="L33" i="44"/>
  <c r="L34" i="44"/>
  <c r="I35" i="44"/>
  <c r="L35" i="44"/>
  <c r="I36" i="44"/>
  <c r="I37" i="44"/>
  <c r="L37" i="44"/>
  <c r="I38" i="44"/>
  <c r="I39" i="44"/>
  <c r="C193" i="7"/>
  <c r="I18" i="33"/>
  <c r="I20" i="33"/>
  <c r="C172" i="7"/>
  <c r="I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59" i="11"/>
  <c r="I17" i="27"/>
  <c r="I35" i="27"/>
  <c r="I36" i="27"/>
  <c r="I37" i="27"/>
  <c r="C150" i="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C153" i="7"/>
  <c r="L48" i="27"/>
  <c r="L49" i="27"/>
  <c r="L50" i="27"/>
  <c r="L51" i="27"/>
  <c r="L54" i="27"/>
  <c r="L55" i="27"/>
  <c r="L58" i="27"/>
  <c r="I9" i="26"/>
  <c r="G11" i="26"/>
  <c r="I19" i="26"/>
  <c r="I21" i="26"/>
  <c r="I22" i="26"/>
  <c r="I23" i="26"/>
  <c r="I25" i="26"/>
  <c r="I26" i="26"/>
  <c r="I27" i="26"/>
  <c r="I29" i="26"/>
  <c r="I30" i="26"/>
  <c r="I31" i="26"/>
  <c r="I32" i="26"/>
  <c r="I35" i="26"/>
  <c r="L35" i="26"/>
  <c r="I36" i="26"/>
  <c r="I47" i="26"/>
  <c r="I58" i="26"/>
  <c r="C105" i="7"/>
  <c r="I65" i="26"/>
  <c r="I67" i="26"/>
  <c r="C107" i="7"/>
  <c r="I71" i="26"/>
  <c r="I72" i="26"/>
  <c r="I73" i="26"/>
  <c r="I8" i="10"/>
  <c r="I9" i="10"/>
  <c r="L9" i="10"/>
  <c r="I10" i="10"/>
  <c r="L11" i="10"/>
  <c r="I11" i="10"/>
  <c r="I12" i="10"/>
  <c r="I13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1" i="10"/>
  <c r="I32" i="10"/>
  <c r="I33" i="10"/>
  <c r="I34" i="10"/>
  <c r="L34" i="10"/>
  <c r="I37" i="10"/>
  <c r="I39" i="10"/>
  <c r="I48" i="10"/>
  <c r="I60" i="10"/>
  <c r="I63" i="10"/>
  <c r="I64" i="10"/>
  <c r="I67" i="10"/>
  <c r="I69" i="10"/>
  <c r="C61" i="7"/>
  <c r="I73" i="10"/>
  <c r="L73" i="10"/>
  <c r="I74" i="10"/>
  <c r="I75" i="10"/>
  <c r="I76" i="10"/>
  <c r="I77" i="10"/>
  <c r="C62" i="7"/>
  <c r="L74" i="10"/>
  <c r="L75" i="10"/>
  <c r="I8" i="9"/>
  <c r="I14" i="9"/>
  <c r="C77" i="7"/>
  <c r="L8" i="9"/>
  <c r="I17" i="9"/>
  <c r="L19" i="9"/>
  <c r="D20" i="9"/>
  <c r="I20" i="9"/>
  <c r="I34" i="9"/>
  <c r="C78" i="7"/>
  <c r="G23" i="9"/>
  <c r="G25" i="9"/>
  <c r="I36" i="9"/>
  <c r="I37" i="9"/>
  <c r="I38" i="9"/>
  <c r="C79" i="7"/>
  <c r="I49" i="9"/>
  <c r="L49" i="9"/>
  <c r="I50" i="9"/>
  <c r="I51" i="9"/>
  <c r="I53" i="9"/>
  <c r="I54" i="9"/>
  <c r="I55" i="9"/>
  <c r="I57" i="9"/>
  <c r="I58" i="9"/>
  <c r="I59" i="9"/>
  <c r="I63" i="9"/>
  <c r="I64" i="9"/>
  <c r="L64" i="9"/>
  <c r="I65" i="9"/>
  <c r="I66" i="9"/>
  <c r="C83" i="7"/>
  <c r="L65" i="9"/>
  <c r="I68" i="9"/>
  <c r="I74" i="9"/>
  <c r="L74" i="9"/>
  <c r="I75" i="9"/>
  <c r="L75" i="9"/>
  <c r="I76" i="9"/>
  <c r="I101" i="9"/>
  <c r="L101" i="9"/>
  <c r="I10" i="31"/>
  <c r="I17" i="31"/>
  <c r="I35" i="31"/>
  <c r="I36" i="31"/>
  <c r="I47" i="31"/>
  <c r="I48" i="31"/>
  <c r="D57" i="31"/>
  <c r="I57" i="31"/>
  <c r="D58" i="31"/>
  <c r="I58" i="31"/>
  <c r="I75" i="31"/>
  <c r="I8" i="8"/>
  <c r="L8" i="8"/>
  <c r="L9" i="8"/>
  <c r="L12" i="8"/>
  <c r="I17" i="8"/>
  <c r="I34" i="8"/>
  <c r="G31" i="8"/>
  <c r="I36" i="8"/>
  <c r="I37" i="8"/>
  <c r="I38" i="8"/>
  <c r="C9" i="7"/>
  <c r="L37" i="8"/>
  <c r="I48" i="8"/>
  <c r="I59" i="8"/>
  <c r="I73" i="8"/>
  <c r="I82" i="8"/>
  <c r="C15" i="7"/>
  <c r="L15" i="36"/>
  <c r="I13" i="44"/>
  <c r="L24" i="11"/>
  <c r="L33" i="11"/>
  <c r="L38" i="42"/>
  <c r="L50" i="26"/>
  <c r="G32" i="11"/>
  <c r="L16" i="36"/>
  <c r="G29" i="26"/>
  <c r="G35" i="26"/>
  <c r="G33" i="10"/>
  <c r="G36" i="36"/>
  <c r="L51" i="44"/>
  <c r="F200" i="7"/>
  <c r="L49" i="44"/>
  <c r="L53" i="44"/>
  <c r="L54" i="44"/>
  <c r="L55" i="44"/>
  <c r="L57" i="44"/>
  <c r="L58" i="44"/>
  <c r="F197" i="7"/>
  <c r="L60" i="44"/>
  <c r="L62" i="44"/>
  <c r="F198" i="7"/>
  <c r="L64" i="44"/>
  <c r="L68" i="44"/>
  <c r="F199" i="7"/>
  <c r="L85" i="44"/>
  <c r="L88" i="44"/>
  <c r="F201" i="7"/>
  <c r="F202" i="7"/>
  <c r="F192" i="7"/>
  <c r="F193" i="7"/>
  <c r="F194" i="7"/>
  <c r="F195" i="7"/>
  <c r="F203" i="7"/>
  <c r="C206" i="7"/>
  <c r="G30" i="26"/>
  <c r="L31" i="27"/>
  <c r="L17" i="27"/>
  <c r="L19" i="27"/>
  <c r="L26" i="27"/>
  <c r="L29" i="27"/>
  <c r="L30" i="27"/>
  <c r="L33" i="27"/>
  <c r="G31" i="27"/>
  <c r="L20" i="42"/>
  <c r="L24" i="9"/>
  <c r="G19" i="9"/>
  <c r="L31" i="9"/>
  <c r="L13" i="9"/>
  <c r="L7" i="41"/>
  <c r="F156" i="7"/>
  <c r="I46" i="35"/>
  <c r="I28" i="35"/>
  <c r="L21" i="26"/>
  <c r="C59" i="7"/>
  <c r="L54" i="31"/>
  <c r="I76" i="31"/>
  <c r="C38" i="7"/>
  <c r="L56" i="31"/>
  <c r="L20" i="8"/>
  <c r="L19" i="8"/>
  <c r="L22" i="8"/>
  <c r="L74" i="8"/>
  <c r="I24" i="35"/>
  <c r="L9" i="42"/>
  <c r="L21" i="42"/>
  <c r="I10" i="26"/>
  <c r="I8" i="39"/>
  <c r="L8" i="36"/>
  <c r="G30" i="31"/>
  <c r="L29" i="39"/>
  <c r="L25" i="31"/>
  <c r="I12" i="39"/>
  <c r="I15" i="36"/>
  <c r="L12" i="39"/>
  <c r="I13" i="31"/>
  <c r="I13" i="36"/>
  <c r="L22" i="45"/>
  <c r="L46" i="27"/>
  <c r="L26" i="44"/>
  <c r="L18" i="44"/>
  <c r="L20" i="44"/>
  <c r="G11" i="9"/>
  <c r="L11" i="9"/>
  <c r="I37" i="26"/>
  <c r="C102" i="7"/>
  <c r="L21" i="31"/>
  <c r="L52" i="42"/>
  <c r="L25" i="44"/>
  <c r="L31" i="36"/>
  <c r="L20" i="39"/>
  <c r="L24" i="31"/>
  <c r="L26" i="9"/>
  <c r="L32" i="36"/>
  <c r="L34" i="42"/>
  <c r="I8" i="33"/>
  <c r="L61" i="26"/>
  <c r="L62" i="26"/>
  <c r="L63" i="26"/>
  <c r="G85" i="10"/>
  <c r="L85" i="10"/>
  <c r="G86" i="31"/>
  <c r="G75" i="31"/>
  <c r="G62" i="27"/>
  <c r="G87" i="31"/>
  <c r="L57" i="36"/>
  <c r="G57" i="36"/>
  <c r="L58" i="36"/>
  <c r="G58" i="36"/>
  <c r="G57" i="44"/>
  <c r="L52" i="36"/>
  <c r="L73" i="36"/>
  <c r="G52" i="36"/>
  <c r="G61" i="36"/>
  <c r="L53" i="33"/>
  <c r="G53" i="33"/>
  <c r="G54" i="33"/>
  <c r="F110" i="7"/>
  <c r="G69" i="11"/>
  <c r="G53" i="11"/>
  <c r="L53" i="11"/>
  <c r="G95" i="26"/>
  <c r="G78" i="11"/>
  <c r="J78" i="11"/>
  <c r="J79" i="11"/>
  <c r="G97" i="26"/>
  <c r="G64" i="9"/>
  <c r="G68" i="9"/>
  <c r="L67" i="10"/>
  <c r="G63" i="10"/>
  <c r="L54" i="9"/>
  <c r="G54" i="10"/>
  <c r="L50" i="9"/>
  <c r="L51" i="9"/>
  <c r="L52" i="9"/>
  <c r="L56" i="9"/>
  <c r="L58" i="9"/>
  <c r="L59" i="9"/>
  <c r="L60" i="9"/>
  <c r="G50" i="9"/>
  <c r="G63" i="9"/>
  <c r="G98" i="10"/>
  <c r="L58" i="11"/>
  <c r="G67" i="8"/>
  <c r="G84" i="26"/>
  <c r="G85" i="26"/>
  <c r="L16" i="42"/>
  <c r="G17" i="41"/>
  <c r="K69" i="45"/>
  <c r="G55" i="45"/>
  <c r="L6" i="45"/>
  <c r="L23" i="45"/>
  <c r="G53" i="45"/>
  <c r="G67" i="45"/>
  <c r="G73" i="45"/>
  <c r="G88" i="11"/>
  <c r="G103" i="35"/>
  <c r="G51" i="33"/>
  <c r="G60" i="44"/>
  <c r="G67" i="10"/>
  <c r="G57" i="27"/>
  <c r="G58" i="42"/>
  <c r="L58" i="42"/>
  <c r="G59" i="10"/>
  <c r="G58" i="10"/>
  <c r="L57" i="27"/>
  <c r="L55" i="42"/>
  <c r="L59" i="42"/>
  <c r="G59" i="42"/>
  <c r="G55" i="42"/>
  <c r="G54" i="42"/>
  <c r="L54" i="42"/>
  <c r="G69" i="39"/>
  <c r="G60" i="39"/>
  <c r="L69" i="39"/>
  <c r="L61" i="39"/>
  <c r="G61" i="39"/>
  <c r="L60" i="39"/>
  <c r="G52" i="39"/>
  <c r="G56" i="39"/>
  <c r="G48" i="45"/>
  <c r="L55" i="39"/>
  <c r="G55" i="39"/>
  <c r="L56" i="39"/>
  <c r="L52" i="39"/>
  <c r="L65" i="39"/>
  <c r="G46" i="35"/>
  <c r="L52" i="35"/>
  <c r="G42" i="35"/>
  <c r="G52" i="35"/>
  <c r="G44" i="35"/>
  <c r="G48" i="35"/>
  <c r="L71" i="35"/>
  <c r="G47" i="35"/>
  <c r="L47" i="35"/>
  <c r="G43" i="35"/>
  <c r="G20" i="41"/>
  <c r="G19" i="41"/>
  <c r="C306" i="7"/>
  <c r="C305" i="7"/>
  <c r="G58" i="9"/>
  <c r="G65" i="26"/>
  <c r="G63" i="31"/>
  <c r="G104" i="11"/>
  <c r="G58" i="33"/>
  <c r="L17" i="9"/>
  <c r="I13" i="27"/>
  <c r="I20" i="36"/>
  <c r="L29" i="44"/>
  <c r="L56" i="27"/>
  <c r="G56" i="27"/>
  <c r="I60" i="9"/>
  <c r="C82" i="7"/>
  <c r="G11" i="10"/>
  <c r="G65" i="9"/>
  <c r="L52" i="26"/>
  <c r="G52" i="26"/>
  <c r="G73" i="36"/>
  <c r="L52" i="27"/>
  <c r="G52" i="27"/>
  <c r="L9" i="36"/>
  <c r="I29" i="35"/>
  <c r="L51" i="31"/>
  <c r="L9" i="9"/>
  <c r="L32" i="42"/>
  <c r="L62" i="27"/>
  <c r="L64" i="27"/>
  <c r="I33" i="31"/>
  <c r="C31" i="7"/>
  <c r="L47" i="27"/>
  <c r="L53" i="27"/>
  <c r="L59" i="27"/>
  <c r="G17" i="27"/>
  <c r="I14" i="39"/>
  <c r="L14" i="36"/>
  <c r="I33" i="27"/>
  <c r="C149" i="7"/>
  <c r="L10" i="41"/>
  <c r="G32" i="8"/>
  <c r="G31" i="26"/>
  <c r="I78" i="9"/>
  <c r="C85" i="7"/>
  <c r="I20" i="44"/>
  <c r="C194" i="7"/>
  <c r="I74" i="36"/>
  <c r="C222" i="7"/>
  <c r="L13" i="39"/>
  <c r="L13" i="36"/>
  <c r="F278" i="7"/>
  <c r="L40" i="39"/>
  <c r="L42" i="39"/>
  <c r="G49" i="44"/>
  <c r="L31" i="11"/>
  <c r="L56" i="36"/>
  <c r="L55" i="31"/>
  <c r="L12" i="9"/>
  <c r="G58" i="45"/>
  <c r="K68" i="35"/>
  <c r="I42" i="39"/>
  <c r="C278" i="7"/>
  <c r="L70" i="36"/>
  <c r="L72" i="36"/>
  <c r="L74" i="36"/>
  <c r="F222" i="7"/>
  <c r="L32" i="9"/>
  <c r="L51" i="36"/>
  <c r="G72" i="45"/>
  <c r="F306" i="7"/>
  <c r="F308" i="7"/>
  <c r="L53" i="26"/>
  <c r="L49" i="26"/>
  <c r="L74" i="27"/>
  <c r="L91" i="27"/>
  <c r="L23" i="44"/>
  <c r="L90" i="27"/>
  <c r="L8" i="42"/>
  <c r="G27" i="41"/>
  <c r="L89" i="8"/>
  <c r="L22" i="42"/>
  <c r="L35" i="39"/>
  <c r="C63" i="7"/>
  <c r="G89" i="11"/>
  <c r="G74" i="45"/>
  <c r="L63" i="10"/>
  <c r="L65" i="10"/>
  <c r="F60" i="7"/>
  <c r="L23" i="9"/>
  <c r="L65" i="26"/>
  <c r="L67" i="26"/>
  <c r="L83" i="26"/>
  <c r="L80" i="39"/>
  <c r="L74" i="39"/>
  <c r="L72" i="27"/>
  <c r="L76" i="27"/>
  <c r="L80" i="31"/>
  <c r="L75" i="31"/>
  <c r="L103" i="8"/>
  <c r="L88" i="31"/>
  <c r="C285" i="7"/>
  <c r="C307" i="7"/>
  <c r="L83" i="39"/>
  <c r="L82" i="39"/>
  <c r="L38" i="39"/>
  <c r="L36" i="9"/>
  <c r="L49" i="33"/>
  <c r="G36" i="26"/>
  <c r="G35" i="27"/>
  <c r="L25" i="26"/>
  <c r="G25" i="26"/>
  <c r="L82" i="35"/>
  <c r="L69" i="11"/>
  <c r="L35" i="31"/>
  <c r="I18" i="26"/>
  <c r="L16" i="45"/>
  <c r="L18" i="45"/>
  <c r="F300" i="7"/>
  <c r="G29" i="27"/>
  <c r="G56" i="26"/>
  <c r="L95" i="10"/>
  <c r="L103" i="10"/>
  <c r="G62" i="8"/>
  <c r="L80" i="27"/>
  <c r="L14" i="45"/>
  <c r="L56" i="26"/>
  <c r="I14" i="10"/>
  <c r="C54" i="7"/>
  <c r="I22" i="35"/>
  <c r="F238" i="7"/>
  <c r="I9" i="39"/>
  <c r="L8" i="41"/>
  <c r="L12" i="41"/>
  <c r="L77" i="45"/>
  <c r="L78" i="45"/>
  <c r="L80" i="45"/>
  <c r="L63" i="9"/>
  <c r="L91" i="9"/>
  <c r="K61" i="45"/>
  <c r="I70" i="9"/>
  <c r="C84" i="7"/>
  <c r="L25" i="9"/>
  <c r="L72" i="31"/>
  <c r="L76" i="31"/>
  <c r="L25" i="8"/>
  <c r="I60" i="8"/>
  <c r="C12" i="7"/>
  <c r="L22" i="31"/>
  <c r="L53" i="31"/>
  <c r="L10" i="9"/>
  <c r="G51" i="39"/>
  <c r="L66" i="27"/>
  <c r="L68" i="27"/>
  <c r="C157" i="7"/>
  <c r="L36" i="44"/>
  <c r="I78" i="39"/>
  <c r="C284" i="7"/>
  <c r="I68" i="31"/>
  <c r="C37" i="7"/>
  <c r="L97" i="26"/>
  <c r="L97" i="11"/>
  <c r="L96" i="27"/>
  <c r="F32" i="7"/>
  <c r="L36" i="31"/>
  <c r="L24" i="42"/>
  <c r="L33" i="45"/>
  <c r="L37" i="45"/>
  <c r="G58" i="11"/>
  <c r="L75" i="39"/>
  <c r="L61" i="36"/>
  <c r="L62" i="36"/>
  <c r="F220" i="7"/>
  <c r="L51" i="39"/>
  <c r="I9" i="31"/>
  <c r="I47" i="35"/>
  <c r="L92" i="27"/>
  <c r="L40" i="36"/>
  <c r="L42" i="36"/>
  <c r="I62" i="39"/>
  <c r="C281" i="7"/>
  <c r="C286" i="7"/>
  <c r="L59" i="39"/>
  <c r="L51" i="42"/>
  <c r="F102" i="7"/>
  <c r="L21" i="36"/>
  <c r="G17" i="8"/>
  <c r="C56" i="7"/>
  <c r="L48" i="11"/>
  <c r="L23" i="36"/>
  <c r="L30" i="8"/>
  <c r="L31" i="31"/>
  <c r="L48" i="31"/>
  <c r="F298" i="7"/>
  <c r="I76" i="27"/>
  <c r="C156" i="7"/>
  <c r="C158" i="7"/>
  <c r="L96" i="9"/>
  <c r="L100" i="9"/>
  <c r="L71" i="26"/>
  <c r="L88" i="26"/>
  <c r="L87" i="11"/>
  <c r="I10" i="36"/>
  <c r="I10" i="39"/>
  <c r="C8" i="7"/>
  <c r="I59" i="36"/>
  <c r="C219" i="7"/>
  <c r="C224" i="7"/>
  <c r="L22" i="9"/>
  <c r="L18" i="9"/>
  <c r="L51" i="26"/>
  <c r="L55" i="33"/>
  <c r="L54" i="39"/>
  <c r="L13" i="42"/>
  <c r="I64" i="31"/>
  <c r="C36" i="7"/>
  <c r="L88" i="9"/>
  <c r="L73" i="26"/>
  <c r="L86" i="11"/>
  <c r="L80" i="8"/>
  <c r="L10" i="31"/>
  <c r="L47" i="26"/>
  <c r="I38" i="39"/>
  <c r="C277" i="7"/>
  <c r="L36" i="27"/>
  <c r="L37" i="9"/>
  <c r="G24" i="9"/>
  <c r="L33" i="9"/>
  <c r="L76" i="9"/>
  <c r="L22" i="11"/>
  <c r="L38" i="44"/>
  <c r="L14" i="42"/>
  <c r="L17" i="42"/>
  <c r="L95" i="11"/>
  <c r="L83" i="27"/>
  <c r="L86" i="27"/>
  <c r="L97" i="27"/>
  <c r="L112" i="35"/>
  <c r="L37" i="35"/>
  <c r="L10" i="39"/>
  <c r="F149" i="7"/>
  <c r="F150" i="7"/>
  <c r="L35" i="27"/>
  <c r="L37" i="27"/>
  <c r="G37" i="10"/>
  <c r="F236" i="7"/>
  <c r="L17" i="11"/>
  <c r="L36" i="26"/>
  <c r="F299" i="7"/>
  <c r="F301" i="7"/>
  <c r="F106" i="7"/>
  <c r="I37" i="31"/>
  <c r="C32" i="7"/>
  <c r="L32" i="8"/>
  <c r="L30" i="31"/>
  <c r="I60" i="31"/>
  <c r="C35" i="7"/>
  <c r="L17" i="31"/>
  <c r="F31" i="7"/>
  <c r="I37" i="45"/>
  <c r="C299" i="7"/>
  <c r="C301" i="7"/>
  <c r="F38" i="7"/>
  <c r="L31" i="26"/>
  <c r="L27" i="26"/>
  <c r="L33" i="36"/>
  <c r="L29" i="36"/>
  <c r="L27" i="36"/>
  <c r="L28" i="44"/>
  <c r="L24" i="44"/>
  <c r="L53" i="36"/>
  <c r="L54" i="36"/>
  <c r="L59" i="36"/>
  <c r="F219" i="7"/>
  <c r="L32" i="26"/>
  <c r="L26" i="26"/>
  <c r="L30" i="36"/>
  <c r="L28" i="36"/>
  <c r="C303" i="7"/>
  <c r="C308" i="7"/>
  <c r="C309" i="7"/>
  <c r="L79" i="31"/>
  <c r="I92" i="26"/>
  <c r="C109" i="7"/>
  <c r="L86" i="9"/>
  <c r="L100" i="11"/>
  <c r="L90" i="8"/>
  <c r="L78" i="11"/>
  <c r="L76" i="11"/>
  <c r="L68" i="9"/>
  <c r="I14" i="8"/>
  <c r="C7" i="7"/>
  <c r="C10" i="7"/>
  <c r="L13" i="8"/>
  <c r="L28" i="8"/>
  <c r="L18" i="8"/>
  <c r="F15" i="7"/>
  <c r="L93" i="8"/>
  <c r="L88" i="8"/>
  <c r="L23" i="8"/>
  <c r="L21" i="8"/>
  <c r="L11" i="8"/>
  <c r="G11" i="8"/>
  <c r="I12" i="31"/>
  <c r="L8" i="31"/>
  <c r="I8" i="31"/>
  <c r="L75" i="8"/>
  <c r="L73" i="8"/>
  <c r="L36" i="8"/>
  <c r="L38" i="8"/>
  <c r="F9" i="7"/>
  <c r="L10" i="8"/>
  <c r="I11" i="31"/>
  <c r="L11" i="31"/>
  <c r="L31" i="8"/>
  <c r="L26" i="8"/>
  <c r="L87" i="8"/>
  <c r="L79" i="8"/>
  <c r="L17" i="8"/>
  <c r="L34" i="8"/>
  <c r="F8" i="7"/>
  <c r="C41" i="7"/>
  <c r="I14" i="31"/>
  <c r="C30" i="7"/>
  <c r="C33" i="7"/>
  <c r="L12" i="31"/>
  <c r="L9" i="31"/>
  <c r="F12" i="7"/>
  <c r="L13" i="31"/>
  <c r="L14" i="31"/>
  <c r="F16" i="7"/>
  <c r="C42" i="7"/>
  <c r="F30" i="7"/>
  <c r="L13" i="44"/>
  <c r="I15" i="44"/>
  <c r="L89" i="27"/>
  <c r="L101" i="27"/>
  <c r="I51" i="35"/>
  <c r="G105" i="11"/>
  <c r="L70" i="11"/>
  <c r="L71" i="11"/>
  <c r="F132" i="7"/>
  <c r="L66" i="11"/>
  <c r="I48" i="35"/>
  <c r="L30" i="35"/>
  <c r="I30" i="35"/>
  <c r="G36" i="11"/>
  <c r="F127" i="7"/>
  <c r="G37" i="11"/>
  <c r="L23" i="11"/>
  <c r="L19" i="11"/>
  <c r="L75" i="11"/>
  <c r="L94" i="11"/>
  <c r="L36" i="11"/>
  <c r="L57" i="11"/>
  <c r="L37" i="11"/>
  <c r="L28" i="11"/>
  <c r="L26" i="11"/>
  <c r="L50" i="11"/>
  <c r="L99" i="11"/>
  <c r="L20" i="11"/>
  <c r="L57" i="26"/>
  <c r="L58" i="26"/>
  <c r="G57" i="26"/>
  <c r="L8" i="26"/>
  <c r="G74" i="26"/>
  <c r="I65" i="10"/>
  <c r="C60" i="7"/>
  <c r="G29" i="10"/>
  <c r="L29" i="10"/>
  <c r="L28" i="10"/>
  <c r="G28" i="10"/>
  <c r="L12" i="10"/>
  <c r="L10" i="10"/>
  <c r="L33" i="10"/>
  <c r="L37" i="10"/>
  <c r="I12" i="26"/>
  <c r="M60" i="10"/>
  <c r="L32" i="10"/>
  <c r="G32" i="10"/>
  <c r="L25" i="10"/>
  <c r="G25" i="10"/>
  <c r="L24" i="10"/>
  <c r="G24" i="10"/>
  <c r="L8" i="10"/>
  <c r="L13" i="26"/>
  <c r="I13" i="26"/>
  <c r="L10" i="26"/>
  <c r="L8" i="27"/>
  <c r="I8" i="26"/>
  <c r="G38" i="10"/>
  <c r="L13" i="10"/>
  <c r="L92" i="10"/>
  <c r="G68" i="10"/>
  <c r="F63" i="7"/>
  <c r="I10" i="27"/>
  <c r="I17" i="26"/>
  <c r="I33" i="26"/>
  <c r="C101" i="7"/>
  <c r="L12" i="26"/>
  <c r="I11" i="26"/>
  <c r="G76" i="10"/>
  <c r="I13" i="35"/>
  <c r="I12" i="27"/>
  <c r="F61" i="7"/>
  <c r="L11" i="26"/>
  <c r="F82" i="7"/>
  <c r="F83" i="7"/>
  <c r="F79" i="7"/>
  <c r="F77" i="7"/>
  <c r="C80" i="7"/>
  <c r="L94" i="9"/>
  <c r="L69" i="9"/>
  <c r="L70" i="9"/>
  <c r="L92" i="9"/>
  <c r="L97" i="9"/>
  <c r="G92" i="9"/>
  <c r="L62" i="31"/>
  <c r="L64" i="31"/>
  <c r="L86" i="31"/>
  <c r="L67" i="31"/>
  <c r="L68" i="31"/>
  <c r="L89" i="31"/>
  <c r="L93" i="31"/>
  <c r="L101" i="11"/>
  <c r="F134" i="7"/>
  <c r="L38" i="11"/>
  <c r="L34" i="11"/>
  <c r="L60" i="11"/>
  <c r="F130" i="7"/>
  <c r="I14" i="26"/>
  <c r="C100" i="7"/>
  <c r="C103" i="7"/>
  <c r="L10" i="27"/>
  <c r="L13" i="27"/>
  <c r="L38" i="10"/>
  <c r="F56" i="7"/>
  <c r="L14" i="10"/>
  <c r="G18" i="10"/>
  <c r="G20" i="10"/>
  <c r="L20" i="10"/>
  <c r="L39" i="10"/>
  <c r="I8" i="27"/>
  <c r="L18" i="26"/>
  <c r="L9" i="26"/>
  <c r="L14" i="26"/>
  <c r="L76" i="10"/>
  <c r="L77" i="10"/>
  <c r="I9" i="27"/>
  <c r="I11" i="27"/>
  <c r="L17" i="26"/>
  <c r="L33" i="26"/>
  <c r="L100" i="8"/>
  <c r="L12" i="11"/>
  <c r="L12" i="35"/>
  <c r="L18" i="10"/>
  <c r="L35" i="10"/>
  <c r="L11" i="27"/>
  <c r="I14" i="27"/>
  <c r="C148" i="7"/>
  <c r="C151" i="7"/>
  <c r="C159" i="7"/>
  <c r="I10" i="35"/>
  <c r="L10" i="35"/>
  <c r="L8" i="11"/>
  <c r="F101" i="7"/>
  <c r="I11" i="35"/>
  <c r="L11" i="11"/>
  <c r="L9" i="27"/>
  <c r="I9" i="35"/>
  <c r="L10" i="11"/>
  <c r="L9" i="11"/>
  <c r="L11" i="35"/>
  <c r="F13" i="7"/>
  <c r="L90" i="39"/>
  <c r="L70" i="39"/>
  <c r="L71" i="39"/>
  <c r="L66" i="39"/>
  <c r="L67" i="39"/>
  <c r="F282" i="7"/>
  <c r="I16" i="39"/>
  <c r="L105" i="35"/>
  <c r="L97" i="35"/>
  <c r="L95" i="35"/>
  <c r="L91" i="35"/>
  <c r="J100" i="35"/>
  <c r="L90" i="35"/>
  <c r="L92" i="35"/>
  <c r="L94" i="35"/>
  <c r="L96" i="35"/>
  <c r="L98" i="35"/>
  <c r="L89" i="35"/>
  <c r="L20" i="35"/>
  <c r="I25" i="35"/>
  <c r="L75" i="35"/>
  <c r="L43" i="35"/>
  <c r="I43" i="35"/>
  <c r="L88" i="35"/>
  <c r="L29" i="35"/>
  <c r="F256" i="7"/>
  <c r="L48" i="35"/>
  <c r="L76" i="35"/>
  <c r="L22" i="35"/>
  <c r="L42" i="35"/>
  <c r="L18" i="35"/>
  <c r="L31" i="35"/>
  <c r="I42" i="35"/>
  <c r="I53" i="35"/>
  <c r="C259" i="7"/>
  <c r="C264" i="7"/>
  <c r="L17" i="35"/>
  <c r="L19" i="35"/>
  <c r="L44" i="35"/>
  <c r="I18" i="35"/>
  <c r="I33" i="35"/>
  <c r="C255" i="7"/>
  <c r="L24" i="35"/>
  <c r="L28" i="35"/>
  <c r="L27" i="35"/>
  <c r="L51" i="35"/>
  <c r="L25" i="36"/>
  <c r="L20" i="36"/>
  <c r="L26" i="36"/>
  <c r="L38" i="36"/>
  <c r="I15" i="39"/>
  <c r="L15" i="39"/>
  <c r="I11" i="36"/>
  <c r="I38" i="36"/>
  <c r="C215" i="7"/>
  <c r="L16" i="39"/>
  <c r="I11" i="39"/>
  <c r="L11" i="39"/>
  <c r="L8" i="39"/>
  <c r="L14" i="39"/>
  <c r="L17" i="36"/>
  <c r="I17" i="36"/>
  <c r="C214" i="7"/>
  <c r="C217" i="7"/>
  <c r="C225" i="7"/>
  <c r="F214" i="7"/>
  <c r="L39" i="44"/>
  <c r="C202" i="7"/>
  <c r="L51" i="33"/>
  <c r="L12" i="44"/>
  <c r="I12" i="33"/>
  <c r="F171" i="7"/>
  <c r="L23" i="33"/>
  <c r="L39" i="33"/>
  <c r="F177" i="7"/>
  <c r="L11" i="33"/>
  <c r="I14" i="44"/>
  <c r="L66" i="33"/>
  <c r="L68" i="33"/>
  <c r="L54" i="33"/>
  <c r="L19" i="33"/>
  <c r="I39" i="33"/>
  <c r="C171" i="7"/>
  <c r="L58" i="33"/>
  <c r="L56" i="33"/>
  <c r="I64" i="33"/>
  <c r="C176" i="7"/>
  <c r="F172" i="7"/>
  <c r="L63" i="33"/>
  <c r="I72" i="33"/>
  <c r="I9" i="33"/>
  <c r="L18" i="33"/>
  <c r="I11" i="44"/>
  <c r="I76" i="33"/>
  <c r="C178" i="7"/>
  <c r="C180" i="7"/>
  <c r="L75" i="33"/>
  <c r="L10" i="44"/>
  <c r="L72" i="33"/>
  <c r="L73" i="33"/>
  <c r="L11" i="44"/>
  <c r="L14" i="44"/>
  <c r="I8" i="44"/>
  <c r="L8" i="44"/>
  <c r="L9" i="44"/>
  <c r="L15" i="44"/>
  <c r="L16" i="44"/>
  <c r="L9" i="33"/>
  <c r="L8" i="33"/>
  <c r="L12" i="33"/>
  <c r="L16" i="33"/>
  <c r="F39" i="7"/>
  <c r="F153" i="7"/>
  <c r="L74" i="26"/>
  <c r="L75" i="26"/>
  <c r="F108" i="7"/>
  <c r="L91" i="26"/>
  <c r="F109" i="7"/>
  <c r="L95" i="26"/>
  <c r="G99" i="26"/>
  <c r="L23" i="35"/>
  <c r="L77" i="35"/>
  <c r="F261" i="7"/>
  <c r="L13" i="35"/>
  <c r="L9" i="35"/>
  <c r="L17" i="39"/>
  <c r="I16" i="33"/>
  <c r="C170" i="7"/>
  <c r="C173" i="7"/>
  <c r="L60" i="33"/>
  <c r="L20" i="33"/>
  <c r="L71" i="33"/>
  <c r="L62" i="33"/>
  <c r="L64" i="33"/>
  <c r="I9" i="44"/>
  <c r="I16" i="44"/>
  <c r="C192" i="7"/>
  <c r="C195" i="7"/>
  <c r="C203" i="7"/>
  <c r="L76" i="8"/>
  <c r="G64" i="36"/>
  <c r="G79" i="36"/>
  <c r="F221" i="7"/>
  <c r="L99" i="8"/>
  <c r="L97" i="8"/>
  <c r="L105" i="8"/>
  <c r="G64" i="44"/>
  <c r="L62" i="39"/>
  <c r="L61" i="42"/>
  <c r="L28" i="42"/>
  <c r="L35" i="42"/>
  <c r="L67" i="11"/>
  <c r="F154" i="7"/>
  <c r="L102" i="26"/>
  <c r="L92" i="26"/>
  <c r="F107" i="7"/>
  <c r="L106" i="10"/>
  <c r="L113" i="10"/>
  <c r="L84" i="31"/>
  <c r="L60" i="31"/>
  <c r="F281" i="7"/>
  <c r="F320" i="7"/>
  <c r="F17" i="7"/>
  <c r="F277" i="7"/>
  <c r="L78" i="44"/>
  <c r="L81" i="44"/>
  <c r="L107" i="9"/>
  <c r="F87" i="7"/>
  <c r="F178" i="7"/>
  <c r="J60" i="41"/>
  <c r="N35" i="41"/>
  <c r="F215" i="7"/>
  <c r="F217" i="7"/>
  <c r="F255" i="7"/>
  <c r="L33" i="35"/>
  <c r="F100" i="7"/>
  <c r="F103" i="7"/>
  <c r="F112" i="7"/>
  <c r="F84" i="7"/>
  <c r="F59" i="7"/>
  <c r="F14" i="7"/>
  <c r="F18" i="7"/>
  <c r="F170" i="7"/>
  <c r="F173" i="7"/>
  <c r="C181" i="7"/>
  <c r="F276" i="7"/>
  <c r="F279" i="7"/>
  <c r="F283" i="7"/>
  <c r="F55" i="7"/>
  <c r="I8" i="35"/>
  <c r="L13" i="11"/>
  <c r="L14" i="11"/>
  <c r="F54" i="7"/>
  <c r="F57" i="7"/>
  <c r="F66" i="7"/>
  <c r="L12" i="27"/>
  <c r="L14" i="27"/>
  <c r="F105" i="7"/>
  <c r="F35" i="7"/>
  <c r="L82" i="8"/>
  <c r="F284" i="7"/>
  <c r="F286" i="7"/>
  <c r="F287" i="7"/>
  <c r="C290" i="7"/>
  <c r="F309" i="7"/>
  <c r="L26" i="35"/>
  <c r="G28" i="9"/>
  <c r="L28" i="9"/>
  <c r="L79" i="36"/>
  <c r="L86" i="36"/>
  <c r="F223" i="7"/>
  <c r="L76" i="33"/>
  <c r="F175" i="7"/>
  <c r="L100" i="35"/>
  <c r="I12" i="35"/>
  <c r="F33" i="7"/>
  <c r="L37" i="26"/>
  <c r="L37" i="31"/>
  <c r="L38" i="9"/>
  <c r="L78" i="39"/>
  <c r="I13" i="39"/>
  <c r="I17" i="39"/>
  <c r="C276" i="7"/>
  <c r="C279" i="7"/>
  <c r="C287" i="7"/>
  <c r="L34" i="9"/>
  <c r="I35" i="10"/>
  <c r="C55" i="7"/>
  <c r="C57" i="7"/>
  <c r="L39" i="42"/>
  <c r="L25" i="35"/>
  <c r="L66" i="9"/>
  <c r="L14" i="8"/>
  <c r="L14" i="9"/>
  <c r="I75" i="26"/>
  <c r="C108" i="7"/>
  <c r="C111" i="7"/>
  <c r="C112" i="7"/>
  <c r="L68" i="35"/>
  <c r="L46" i="35"/>
  <c r="L53" i="35"/>
  <c r="F259" i="7"/>
  <c r="L77" i="9"/>
  <c r="L78" i="9"/>
  <c r="I105" i="8"/>
  <c r="C17" i="7"/>
  <c r="C18" i="7"/>
  <c r="C19" i="7"/>
  <c r="F157" i="7"/>
  <c r="F158" i="7"/>
  <c r="F148" i="7"/>
  <c r="F151" i="7"/>
  <c r="F159" i="7"/>
  <c r="C162" i="7"/>
  <c r="L81" i="35"/>
  <c r="L85" i="35"/>
  <c r="F262" i="7"/>
  <c r="L103" i="35"/>
  <c r="L115" i="35"/>
  <c r="F263" i="7"/>
  <c r="L77" i="11"/>
  <c r="L79" i="11"/>
  <c r="L33" i="31"/>
  <c r="I107" i="9"/>
  <c r="C87" i="7"/>
  <c r="C88" i="7"/>
  <c r="C89" i="7"/>
  <c r="L94" i="8"/>
  <c r="I103" i="10"/>
  <c r="C64" i="7"/>
  <c r="C65" i="7"/>
  <c r="C66" i="7"/>
  <c r="F37" i="7"/>
  <c r="L68" i="10"/>
  <c r="L69" i="10"/>
  <c r="L72" i="35"/>
  <c r="L73" i="35"/>
  <c r="F260" i="7"/>
  <c r="J33" i="41"/>
  <c r="D321" i="7"/>
  <c r="K86" i="27"/>
  <c r="J86" i="27"/>
  <c r="L78" i="33"/>
  <c r="L82" i="33"/>
  <c r="F264" i="7"/>
  <c r="D322" i="7"/>
  <c r="F321" i="7"/>
  <c r="F322" i="7"/>
  <c r="F78" i="7"/>
  <c r="F80" i="7"/>
  <c r="C312" i="7"/>
  <c r="C68" i="7"/>
  <c r="I14" i="35"/>
  <c r="C254" i="7"/>
  <c r="C257" i="7"/>
  <c r="C265" i="7"/>
  <c r="F40" i="7"/>
  <c r="F41" i="7"/>
  <c r="F42" i="7"/>
  <c r="F86" i="7"/>
  <c r="F64" i="7"/>
  <c r="C115" i="7"/>
  <c r="K60" i="41"/>
  <c r="F237" i="7"/>
  <c r="F239" i="7"/>
  <c r="F126" i="7"/>
  <c r="F125" i="7"/>
  <c r="L8" i="35"/>
  <c r="L14" i="35"/>
  <c r="F7" i="7"/>
  <c r="F10" i="7"/>
  <c r="F19" i="7"/>
  <c r="F241" i="7"/>
  <c r="F242" i="7"/>
  <c r="C22" i="7"/>
  <c r="C45" i="7"/>
  <c r="F254" i="7"/>
  <c r="F257" i="7"/>
  <c r="F265" i="7"/>
  <c r="F243" i="7"/>
  <c r="F128" i="7"/>
  <c r="F137" i="7"/>
  <c r="C325" i="7"/>
  <c r="C268" i="7"/>
  <c r="C140" i="7"/>
  <c r="C246" i="7"/>
  <c r="F176" i="7"/>
  <c r="F180" i="7"/>
  <c r="F181" i="7"/>
  <c r="C184" i="7"/>
  <c r="F85" i="7"/>
  <c r="F88" i="7"/>
  <c r="F89" i="7"/>
  <c r="C91" i="7"/>
  <c r="F62" i="7"/>
  <c r="F224" i="7"/>
  <c r="F225" i="7"/>
  <c r="C228" i="7"/>
  <c r="E20" i="5"/>
  <c r="D24" i="5"/>
  <c r="E21" i="5"/>
  <c r="E22" i="5"/>
  <c r="E24" i="5"/>
  <c r="C27" i="5"/>
  <c r="D40" i="43"/>
  <c r="G28" i="43"/>
  <c r="J22" i="43"/>
  <c r="I40" i="43"/>
  <c r="I44" i="43"/>
  <c r="F17" i="43"/>
  <c r="J23" i="43"/>
  <c r="G32" i="43"/>
  <c r="M42" i="43"/>
  <c r="G41" i="43"/>
  <c r="G44" i="43"/>
  <c r="G34" i="43"/>
  <c r="M39" i="43"/>
  <c r="I36" i="43"/>
  <c r="F46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5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<sst xmlns="http://schemas.openxmlformats.org/spreadsheetml/2006/main" count="3340" uniqueCount="578">
  <si>
    <t>Item</t>
  </si>
  <si>
    <t>Total</t>
  </si>
  <si>
    <t>OPD</t>
  </si>
  <si>
    <t>IPD</t>
  </si>
  <si>
    <t>Quantity</t>
  </si>
  <si>
    <t>Unit</t>
  </si>
  <si>
    <t>Contract</t>
  </si>
  <si>
    <t>Executed</t>
  </si>
  <si>
    <t>Rate</t>
  </si>
  <si>
    <t xml:space="preserve"> A.SUBSTRUCTURE</t>
  </si>
  <si>
    <t xml:space="preserve"> EXCAVATION AND EARTH WORK</t>
  </si>
  <si>
    <t>m2</t>
  </si>
  <si>
    <t>m3</t>
  </si>
  <si>
    <t xml:space="preserve">Ditto but exceeding 1500mm  </t>
  </si>
  <si>
    <t>Reinforced concrete quality C-25</t>
  </si>
  <si>
    <t xml:space="preserve">Steel bar reinforcement </t>
  </si>
  <si>
    <t>kg</t>
  </si>
  <si>
    <t xml:space="preserve"> MASONRY WORK</t>
  </si>
  <si>
    <t>Site clearing</t>
  </si>
  <si>
    <t>2 CONCRETE WORK</t>
  </si>
  <si>
    <t xml:space="preserve">C-7 lean concrete </t>
  </si>
  <si>
    <t>a)Under masonry foundation</t>
  </si>
  <si>
    <t>c)Footing pad</t>
  </si>
  <si>
    <t>b) In Footing pad</t>
  </si>
  <si>
    <t>c) In footing columon</t>
  </si>
  <si>
    <t xml:space="preserve">b) Dia.12 deformed </t>
  </si>
  <si>
    <t xml:space="preserve">c) Dia.8 deformed </t>
  </si>
  <si>
    <t>SUMMARY OF STATEMENT</t>
  </si>
  <si>
    <t>A. SUBSTRUCTURE</t>
  </si>
  <si>
    <t>Excavation and Earth work</t>
  </si>
  <si>
    <t>Concrete work</t>
  </si>
  <si>
    <t>Masonry work</t>
  </si>
  <si>
    <t xml:space="preserve">                        Sub Total A</t>
  </si>
  <si>
    <t xml:space="preserve">I /We_________________________hereby certify that the above figures are correct and  that the total value </t>
  </si>
  <si>
    <t xml:space="preserve">of work executed and/or materials supplied to date is Birr </t>
  </si>
  <si>
    <t>Sub Total</t>
  </si>
  <si>
    <t>Material on Site</t>
  </si>
  <si>
    <t>Emergency</t>
  </si>
  <si>
    <t>OROMIA HEALTH BUREAU</t>
  </si>
  <si>
    <t>VAT</t>
  </si>
  <si>
    <t>Contractor ______________________</t>
  </si>
  <si>
    <t>Supervisor _____________________</t>
  </si>
  <si>
    <t xml:space="preserve">c) Dia.12 deformed </t>
  </si>
  <si>
    <t xml:space="preserve">b) Dia.8 deformed </t>
  </si>
  <si>
    <t>Amount (Birr)</t>
  </si>
  <si>
    <t>Deductions</t>
  </si>
  <si>
    <t>Contract Amount(birr)</t>
  </si>
  <si>
    <t>OR &amp; Delivery</t>
  </si>
  <si>
    <t>Adminstration</t>
  </si>
  <si>
    <t>Blocks Name</t>
  </si>
  <si>
    <t>Sub Total(birr)</t>
  </si>
  <si>
    <t>Total Amount(birr)</t>
  </si>
  <si>
    <t>C  O   S   T       S   U   M   M   A   R   Y             OPD</t>
  </si>
  <si>
    <t>S.NO</t>
  </si>
  <si>
    <t>DESCRIPTION</t>
  </si>
  <si>
    <t>Excuted</t>
  </si>
  <si>
    <t>C  O   S   T       S   U   M   M   A   R   Y             OR and Delivery</t>
  </si>
  <si>
    <t>C  O   S   T       S   U   M   M   A   R   Y             IPD</t>
  </si>
  <si>
    <r>
      <t xml:space="preserve">C  O   S   T       S   U   M   M   A   R   Y            </t>
    </r>
    <r>
      <rPr>
        <b/>
        <i/>
        <sz val="14"/>
        <rFont val="Times New Roman"/>
        <family val="1"/>
      </rPr>
      <t xml:space="preserve"> Emergency</t>
    </r>
  </si>
  <si>
    <r>
      <t xml:space="preserve">C  O   S   T       S   U   M   M   A   R   Y            </t>
    </r>
    <r>
      <rPr>
        <b/>
        <i/>
        <sz val="14"/>
        <rFont val="Times New Roman"/>
        <family val="1"/>
      </rPr>
      <t xml:space="preserve"> DIAGNOSTIC</t>
    </r>
  </si>
  <si>
    <t>Block OPD</t>
  </si>
  <si>
    <t>ITEM</t>
  </si>
  <si>
    <t>Contract .Qty</t>
  </si>
  <si>
    <t>Executed Qty</t>
  </si>
  <si>
    <t xml:space="preserve">                       Total to summary ………Birr</t>
  </si>
  <si>
    <t xml:space="preserve"> 1. EXCAVATION AND EARTH WORK</t>
  </si>
  <si>
    <t>Block  IPD</t>
  </si>
  <si>
    <t>Block  OR and Delivery</t>
  </si>
  <si>
    <t>Block  DIAGONSTIC</t>
  </si>
  <si>
    <t>Block  EMERGENCY</t>
  </si>
  <si>
    <t>Block  Adminstration</t>
  </si>
  <si>
    <t>Total After Rebate</t>
  </si>
  <si>
    <t>GRAND TOTAL After Rebate and Material on Site</t>
  </si>
  <si>
    <t>b) in grade beam</t>
  </si>
  <si>
    <t>b) In beam</t>
  </si>
  <si>
    <t xml:space="preserve"> B.SUPER -SUBSTRUCTURE</t>
  </si>
  <si>
    <t xml:space="preserve"> 1. CONCRETE WORK</t>
  </si>
  <si>
    <t>a) In elevation columon</t>
  </si>
  <si>
    <t>c) In lintel</t>
  </si>
  <si>
    <t xml:space="preserve">b) Dia.14 deformed </t>
  </si>
  <si>
    <t>a) Ingrade beam</t>
  </si>
  <si>
    <t>b)grade beam</t>
  </si>
  <si>
    <t>B. SUPER -SUBSTRUCTURE</t>
  </si>
  <si>
    <t>Block OR</t>
  </si>
  <si>
    <t>a) in grade beam</t>
  </si>
  <si>
    <t xml:space="preserve">a) Dia.14 deformed </t>
  </si>
  <si>
    <t>Block IPD</t>
  </si>
  <si>
    <t>Cart away</t>
  </si>
  <si>
    <t>Block Diagonstic</t>
  </si>
  <si>
    <t xml:space="preserve">a) Dia14 deformed </t>
  </si>
  <si>
    <t xml:space="preserve">d) Dia.6 deformed </t>
  </si>
  <si>
    <t>Block Emergency</t>
  </si>
  <si>
    <t xml:space="preserve">a) Dia.14deformed </t>
  </si>
  <si>
    <t>Block Adminstration</t>
  </si>
  <si>
    <t>25cm thick hard core</t>
  </si>
  <si>
    <t xml:space="preserve">                        Sub Total B</t>
  </si>
  <si>
    <t xml:space="preserve">                        Total</t>
  </si>
  <si>
    <t>C  O   S   T       S   U   M   M   A   R   Y           ADMINISTRATION</t>
  </si>
  <si>
    <t>Previous</t>
  </si>
  <si>
    <t>Current</t>
  </si>
  <si>
    <t>Bulk excavation  to 1.5m</t>
  </si>
  <si>
    <t xml:space="preserve">Fill selected </t>
  </si>
  <si>
    <t>A</t>
  </si>
  <si>
    <t>B</t>
  </si>
  <si>
    <t>C</t>
  </si>
  <si>
    <t>D</t>
  </si>
  <si>
    <t>E</t>
  </si>
  <si>
    <t>F</t>
  </si>
  <si>
    <t>G</t>
  </si>
  <si>
    <t xml:space="preserve"> Formwork </t>
  </si>
  <si>
    <t xml:space="preserve">Reinforced concrete </t>
  </si>
  <si>
    <t>50mcthick  basaltic BNGL</t>
  </si>
  <si>
    <t xml:space="preserve">50cm thick  basaltic ANGL </t>
  </si>
  <si>
    <t>L= I+J</t>
  </si>
  <si>
    <t>J= G*F</t>
  </si>
  <si>
    <t>I= G*E</t>
  </si>
  <si>
    <t>H= G*D</t>
  </si>
  <si>
    <t>Bulk excavation  up to 1.5m</t>
  </si>
  <si>
    <t>50mcthick BNGL</t>
  </si>
  <si>
    <t>50cm thick ANGL</t>
  </si>
  <si>
    <t>Reinforced concrete</t>
  </si>
  <si>
    <t xml:space="preserve"> Formwork</t>
  </si>
  <si>
    <t xml:space="preserve">50mcthick BNGL </t>
  </si>
  <si>
    <t>Bulk excavation up to 1.5m</t>
  </si>
  <si>
    <t>50mcthick  BNGL</t>
  </si>
  <si>
    <t>50cm thick  basaltic ANGL</t>
  </si>
  <si>
    <t>10cm thick Floor slab</t>
  </si>
  <si>
    <t xml:space="preserve">                        Total A+B</t>
  </si>
  <si>
    <t>Contract NO _____________</t>
  </si>
  <si>
    <t xml:space="preserve">Date of Signature __________ </t>
  </si>
  <si>
    <t>Tele - 011 - 3 - 69 - 01- 40</t>
  </si>
  <si>
    <t>AMOUNT (ETB)</t>
  </si>
  <si>
    <t xml:space="preserve">Main Contract </t>
  </si>
  <si>
    <t>Variation NO. 1</t>
  </si>
  <si>
    <t>Variation NO. 2</t>
  </si>
  <si>
    <t>Variation NO. 3</t>
  </si>
  <si>
    <t>Client - Oromia Health Bureau</t>
  </si>
  <si>
    <t>Supplentary Agr. 1</t>
  </si>
  <si>
    <t>Total (ETB)</t>
  </si>
  <si>
    <t>Previous Payment</t>
  </si>
  <si>
    <t>Exe.</t>
  </si>
  <si>
    <t>Amount</t>
  </si>
  <si>
    <t>No</t>
  </si>
  <si>
    <t>Sum</t>
  </si>
  <si>
    <t>Advan.</t>
  </si>
  <si>
    <t>Rebate       %</t>
  </si>
  <si>
    <t>Penality</t>
  </si>
  <si>
    <t>Total Deductions</t>
  </si>
  <si>
    <t>Sub total</t>
  </si>
  <si>
    <t>Total + vat</t>
  </si>
  <si>
    <t>Total with VAT</t>
  </si>
  <si>
    <t>ADVANCE Payments</t>
  </si>
  <si>
    <t>VAT Payment</t>
  </si>
  <si>
    <t>Previous Total work Executed (A)</t>
  </si>
  <si>
    <t>Up to date work executed (B)</t>
  </si>
  <si>
    <t>Difference  C = B-A</t>
  </si>
  <si>
    <t>Advance Payment = (0.2 *B)</t>
  </si>
  <si>
    <t>Total to date</t>
  </si>
  <si>
    <t>Repaid</t>
  </si>
  <si>
    <t>Out standing</t>
  </si>
  <si>
    <t>I certify that the Contractor is entitled to the sum of Birr</t>
  </si>
  <si>
    <t>Certified by__________________</t>
  </si>
  <si>
    <t>Date______________</t>
  </si>
  <si>
    <t>Approved by _____________________</t>
  </si>
  <si>
    <t>Contractor - Bright  Construction Plc</t>
  </si>
  <si>
    <t>10cm thick slab</t>
  </si>
  <si>
    <t>G-30 CIS roof cover</t>
  </si>
  <si>
    <t xml:space="preserve"> 3. ROOFING</t>
  </si>
  <si>
    <t xml:space="preserve"> 4. CARPENTRY &amp; JOINERY</t>
  </si>
  <si>
    <t xml:space="preserve">All structural members shall be free </t>
  </si>
  <si>
    <t>from defects.</t>
  </si>
  <si>
    <t>c)Purline 5x7 cm</t>
  </si>
  <si>
    <t>a)upper &amp; lower chord dia.10-12cm</t>
  </si>
  <si>
    <t>b)Diagonals and verticals dia.8-10cm</t>
  </si>
  <si>
    <t>ml</t>
  </si>
  <si>
    <t>Roofing</t>
  </si>
  <si>
    <t xml:space="preserve">carpentery &amp; Joinery </t>
  </si>
  <si>
    <t>Block  Waiting</t>
  </si>
  <si>
    <t>C  O   S   T       S   U   M   M   A   R   Y             Waiting</t>
  </si>
  <si>
    <t>Trench excavation</t>
  </si>
  <si>
    <t>m4</t>
  </si>
  <si>
    <t>Excavation for footing</t>
  </si>
  <si>
    <t>m5</t>
  </si>
  <si>
    <t>Excavation above 1.5m</t>
  </si>
  <si>
    <t>3 CONCRETE WORK</t>
  </si>
  <si>
    <t xml:space="preserve">a) Dia6 deformed </t>
  </si>
  <si>
    <t xml:space="preserve">c) Dia.10deformed </t>
  </si>
  <si>
    <t xml:space="preserve">c) Dia.14 deformed </t>
  </si>
  <si>
    <t>a) In Footing pad</t>
  </si>
  <si>
    <t>b) In footing columon</t>
  </si>
  <si>
    <t>c) in grade beam</t>
  </si>
  <si>
    <t>Block  Generator</t>
  </si>
  <si>
    <t>Block  Kitchen</t>
  </si>
  <si>
    <t>2. CONCRETE WORK</t>
  </si>
  <si>
    <t xml:space="preserve"> 3.MASONRY WORK</t>
  </si>
  <si>
    <t>C  O   S   T       S   U   M   M   A   R   Y           Generator</t>
  </si>
  <si>
    <t>C  O   S   T       S   U   M   M   A   R   Y            Kitchen</t>
  </si>
  <si>
    <t>Waiting</t>
  </si>
  <si>
    <t>Kitchen</t>
  </si>
  <si>
    <t>12/2 cm chipwood for exspansion</t>
  </si>
  <si>
    <t>Block  transformer</t>
  </si>
  <si>
    <t>ditto</t>
  </si>
  <si>
    <t>a)soft rock</t>
  </si>
  <si>
    <t>b)hard rock</t>
  </si>
  <si>
    <t>b) In man hole cocrete wall</t>
  </si>
  <si>
    <t xml:space="preserve">a) Dia.12deformed </t>
  </si>
  <si>
    <t>c) Dia.6 plain bar</t>
  </si>
  <si>
    <t>2.Block Work</t>
  </si>
  <si>
    <t>Concrete block work</t>
  </si>
  <si>
    <t>a)20cm tthick</t>
  </si>
  <si>
    <t>b)15cm tthick</t>
  </si>
  <si>
    <t>Block  Store</t>
  </si>
  <si>
    <t>c) steps</t>
  </si>
  <si>
    <t>chipwood</t>
  </si>
  <si>
    <t>Block  Civil site work</t>
  </si>
  <si>
    <t xml:space="preserve">I /We______________________hereby certify that the above figures are correct and  that the total value </t>
  </si>
  <si>
    <t>Diagnostic service</t>
  </si>
  <si>
    <t>Staff House</t>
  </si>
  <si>
    <t>Generator House</t>
  </si>
  <si>
    <t>Transformer House</t>
  </si>
  <si>
    <t>Store</t>
  </si>
  <si>
    <t>C  O   S   T       S   U   M   M   A   R   Y            Staff House</t>
  </si>
  <si>
    <t>C  O   S   T       S   U   M   M   A   R   Y            Transformer House</t>
  </si>
  <si>
    <t>C  O   S   T       S   U   M   M   A   R   Y           Store</t>
  </si>
  <si>
    <t>10/2 Chipwood for exspansion</t>
  </si>
  <si>
    <t>d) Steps</t>
  </si>
  <si>
    <t>C  O   S   T       S   U   M   M   A   R   Y            Civil Work</t>
  </si>
  <si>
    <t>2.Fence Work</t>
  </si>
  <si>
    <t>Civil Site work</t>
  </si>
  <si>
    <t>Block  Staff</t>
  </si>
  <si>
    <t xml:space="preserve">                        Total (A+B)</t>
  </si>
  <si>
    <t xml:space="preserve">                        Total(A+B)</t>
  </si>
  <si>
    <t xml:space="preserve">                        Total A</t>
  </si>
  <si>
    <t>Contractor__________________</t>
  </si>
  <si>
    <t>Contractor________________</t>
  </si>
  <si>
    <t>Contractor______________</t>
  </si>
  <si>
    <t>Supervisor_______________</t>
  </si>
  <si>
    <t>Supervisor___________</t>
  </si>
  <si>
    <t>25x2.5cm Facia board</t>
  </si>
  <si>
    <t>Block Waiting</t>
  </si>
  <si>
    <t>C  O   S   T       S   U   M   M   A   R   Y            Service Quarter</t>
  </si>
  <si>
    <t>Service quarter</t>
  </si>
  <si>
    <t xml:space="preserve"> B.Front side MASONRY WORK</t>
  </si>
  <si>
    <t>Trench excavtion</t>
  </si>
  <si>
    <t>Cartaway</t>
  </si>
  <si>
    <t>Block  Service Quarter</t>
  </si>
  <si>
    <t>Kg</t>
  </si>
  <si>
    <t>50mcthick  ANGL</t>
  </si>
  <si>
    <t xml:space="preserve">                    Sub Total </t>
  </si>
  <si>
    <t>Clear off the site</t>
  </si>
  <si>
    <t>Bulk excavation in ordinary soil.</t>
  </si>
  <si>
    <t>Trench excavation.</t>
  </si>
  <si>
    <t>Excavation for Isoleted footing.</t>
  </si>
  <si>
    <t>Ditto above 150cm.</t>
  </si>
  <si>
    <t>Back fill, under hard core .</t>
  </si>
  <si>
    <t>Cart away surplus ex. material.</t>
  </si>
  <si>
    <t>25cm thick basaltic .</t>
  </si>
  <si>
    <t>2.  Masonry Work</t>
  </si>
  <si>
    <t>50 cm thick stone masonry .</t>
  </si>
  <si>
    <t>Ditto R.dressed above N.G.L.</t>
  </si>
  <si>
    <t>3. Concrete Work</t>
  </si>
  <si>
    <t>Price shall  8 mm Chipwood .</t>
  </si>
  <si>
    <t>a) Under masonry foundation.</t>
  </si>
  <si>
    <t>a)  Under footing.</t>
  </si>
  <si>
    <t>Reinf. concrete quality C-20 .</t>
  </si>
  <si>
    <t>a) In footing Pad</t>
  </si>
  <si>
    <t>b) In foundation column.</t>
  </si>
  <si>
    <t>c) In Grade Beam</t>
  </si>
  <si>
    <t>Provide, cut and fix in a postion sawn zigba wood or Steel form.</t>
  </si>
  <si>
    <t xml:space="preserve">Mild steel reinforcement. </t>
  </si>
  <si>
    <t>a) diameter 8 deformed bars .</t>
  </si>
  <si>
    <t>b) diameter 12 deformed bars .</t>
  </si>
  <si>
    <t>c) diameter 14 deformed bars .</t>
  </si>
  <si>
    <t>Block  Guard House</t>
  </si>
  <si>
    <t xml:space="preserve"> B)Front side Masonry work</t>
  </si>
  <si>
    <r>
      <t>m</t>
    </r>
    <r>
      <rPr>
        <vertAlign val="superscript"/>
        <sz val="14"/>
        <rFont val="Calisto MT"/>
        <family val="1"/>
      </rPr>
      <t>2</t>
    </r>
  </si>
  <si>
    <r>
      <t>m</t>
    </r>
    <r>
      <rPr>
        <strike/>
        <vertAlign val="superscript"/>
        <sz val="14"/>
        <rFont val="Calisto MT"/>
        <family val="1"/>
      </rPr>
      <t>3</t>
    </r>
  </si>
  <si>
    <r>
      <t>5cm Lean concrete quality C-5, 150kg of Cement/m</t>
    </r>
    <r>
      <rPr>
        <vertAlign val="superscript"/>
        <sz val="14"/>
        <rFont val="Calisto MT"/>
        <family val="1"/>
      </rPr>
      <t>3</t>
    </r>
    <r>
      <rPr>
        <sz val="14"/>
        <rFont val="Calisto MT"/>
        <family val="1"/>
      </rPr>
      <t>.</t>
    </r>
  </si>
  <si>
    <t>C  O   S   T       S   U   M   M   A   R   Y            Guard House</t>
  </si>
  <si>
    <t>guard House</t>
  </si>
  <si>
    <r>
      <t>Retention,</t>
    </r>
    <r>
      <rPr>
        <b/>
        <sz val="14"/>
        <color indexed="8"/>
        <rFont val="Times New Roman"/>
        <family val="1"/>
      </rPr>
      <t xml:space="preserve"> 5 %</t>
    </r>
  </si>
  <si>
    <r>
      <t xml:space="preserve">Advance Repaid, </t>
    </r>
    <r>
      <rPr>
        <b/>
        <sz val="14"/>
        <color indexed="8"/>
        <rFont val="Times New Roman"/>
        <family val="1"/>
      </rPr>
      <t>20%</t>
    </r>
  </si>
  <si>
    <t>50 cm masonry pillars</t>
  </si>
  <si>
    <t>Rabate  1.5%</t>
  </si>
  <si>
    <t>Project -  Chora Primary Hospital</t>
  </si>
  <si>
    <t>Location - Illu ababora Zone</t>
  </si>
  <si>
    <t>c)Grade beam</t>
  </si>
  <si>
    <t xml:space="preserve">According to the supervisor of the works  _____________________________  certeficate measurement </t>
  </si>
  <si>
    <t>Carpentary &amp; joinery</t>
  </si>
  <si>
    <t>Advace VAT</t>
  </si>
  <si>
    <t>Previous Vat</t>
  </si>
  <si>
    <t>Total previous Vat</t>
  </si>
  <si>
    <t>2.  BLOCK   WORK</t>
  </si>
  <si>
    <t xml:space="preserve">Concrete block wall class "B" </t>
  </si>
  <si>
    <t>a) 20cm thick</t>
  </si>
  <si>
    <t>b) 15cm thick</t>
  </si>
  <si>
    <t>c) 10 cm thick</t>
  </si>
  <si>
    <t>6. FINISHING</t>
  </si>
  <si>
    <t>Two coats plastering  one coats</t>
  </si>
  <si>
    <t>rendering</t>
  </si>
  <si>
    <r>
      <t>m</t>
    </r>
    <r>
      <rPr>
        <i/>
        <vertAlign val="superscript"/>
        <sz val="12"/>
        <rFont val="Times New Roman"/>
        <family val="1"/>
      </rPr>
      <t>2</t>
    </r>
  </si>
  <si>
    <t xml:space="preserve">three coats of plastering to internal </t>
  </si>
  <si>
    <t xml:space="preserve"> &amp; external coloumns and beams.</t>
  </si>
  <si>
    <r>
      <t>m</t>
    </r>
    <r>
      <rPr>
        <i/>
        <vertAlign val="superscript"/>
        <sz val="14"/>
        <rFont val="Times New Roman"/>
        <family val="1"/>
      </rPr>
      <t>2</t>
    </r>
  </si>
  <si>
    <t>B. SUPER STRUCTURE</t>
  </si>
  <si>
    <t>I. CONCRETE WORK</t>
  </si>
  <si>
    <t xml:space="preserve">Reinforced concrete  quality C-25 </t>
  </si>
  <si>
    <t>a) In elevation columns</t>
  </si>
  <si>
    <t>b) In top beams</t>
  </si>
  <si>
    <t>c) In lintels</t>
  </si>
  <si>
    <t xml:space="preserve">Provide, cut and fix </t>
  </si>
  <si>
    <t>a) To elevation columns</t>
  </si>
  <si>
    <t>b) To top beams</t>
  </si>
  <si>
    <t>c) To lintel</t>
  </si>
  <si>
    <t>Mild steel reinforcements according to structural drawings.</t>
  </si>
  <si>
    <t xml:space="preserve">a)diameter 6mm </t>
  </si>
  <si>
    <t xml:space="preserve">b)diameter 12mm </t>
  </si>
  <si>
    <t xml:space="preserve">c)diameter 14mm </t>
  </si>
  <si>
    <r>
      <t>m</t>
    </r>
    <r>
      <rPr>
        <i/>
        <vertAlign val="superscript"/>
        <sz val="14"/>
        <rFont val="Times New Roman"/>
        <family val="1"/>
      </rPr>
      <t>3</t>
    </r>
  </si>
  <si>
    <t>2. BLOCK WORKS</t>
  </si>
  <si>
    <t xml:space="preserve">Supply and construct 20cm thick hollow concrete block  </t>
  </si>
  <si>
    <t>Ditto as item 2.1 but 10cm thick HCB.</t>
  </si>
  <si>
    <t>3. ROOFING WORKS</t>
  </si>
  <si>
    <t xml:space="preserve">Provide &amp; fix G-30 CIS roof cover including G-30 </t>
  </si>
  <si>
    <t>4. CARPENTRY &amp; JOINERY</t>
  </si>
  <si>
    <t>a)</t>
  </si>
  <si>
    <t>b)</t>
  </si>
  <si>
    <t>c) In roof slab</t>
  </si>
  <si>
    <t xml:space="preserve">a)diameter 12mm </t>
  </si>
  <si>
    <t xml:space="preserve">b)diameter 8mm </t>
  </si>
  <si>
    <t xml:space="preserve">c)diameter 6mm </t>
  </si>
  <si>
    <t>Block work</t>
  </si>
  <si>
    <t>Finishing Work</t>
  </si>
  <si>
    <t xml:space="preserve">                        Total(B)</t>
  </si>
  <si>
    <t>To Date Qty</t>
  </si>
  <si>
    <t>Excuted To Date</t>
  </si>
  <si>
    <t>Executed to Date</t>
  </si>
  <si>
    <t>diameter 8-10cm e</t>
  </si>
  <si>
    <t xml:space="preserve">diameter 10-12cm </t>
  </si>
  <si>
    <t xml:space="preserve">Construct  eucalyptus truss from </t>
  </si>
  <si>
    <t xml:space="preserve"> purlin c/c 90cm.</t>
  </si>
  <si>
    <t>construct 20cm thick HCB</t>
  </si>
  <si>
    <t xml:space="preserve">a) Dia.6deformed </t>
  </si>
  <si>
    <t>Supervisor___________________</t>
  </si>
  <si>
    <t>20cm thick HCB</t>
  </si>
  <si>
    <t>5.Metal work</t>
  </si>
  <si>
    <t>Window</t>
  </si>
  <si>
    <t>a)Type W3 size 150/160cm</t>
  </si>
  <si>
    <t>no</t>
  </si>
  <si>
    <t>b)Type W10 size 130/160cm</t>
  </si>
  <si>
    <t>c)Type W5 size 75/160cm</t>
  </si>
  <si>
    <t>d)Type W7 size 90/60cm</t>
  </si>
  <si>
    <t>e)Type W10 size 130/60cm</t>
  </si>
  <si>
    <t>f)Type W18 size 169/60cm</t>
  </si>
  <si>
    <t>Supply and Fix CHS</t>
  </si>
  <si>
    <t>Supply and Fix RHS</t>
  </si>
  <si>
    <t>a)Type W1 size 120/160cm</t>
  </si>
  <si>
    <t>b)Type W3 size 150/160cm</t>
  </si>
  <si>
    <t>d)Type W10 size 150/160cm</t>
  </si>
  <si>
    <t>e)Type W25 size 100/60cm</t>
  </si>
  <si>
    <t>c)Type W9 size 110/160cm</t>
  </si>
  <si>
    <t>Metal work</t>
  </si>
  <si>
    <t>5.Covered walk way</t>
  </si>
  <si>
    <t>A. Sub structure</t>
  </si>
  <si>
    <t>1. Excavation &amp; earh work</t>
  </si>
  <si>
    <t>Removal of 20cm thick  top soil</t>
  </si>
  <si>
    <t xml:space="preserve">Excavation of black cottons soil </t>
  </si>
  <si>
    <t>Excavation of trench</t>
  </si>
  <si>
    <t>Selected material back fill under floor slab</t>
  </si>
  <si>
    <t>Cart away(2kms away)</t>
  </si>
  <si>
    <t>25cm thick Hard core</t>
  </si>
  <si>
    <t>Supervisor______________________</t>
  </si>
  <si>
    <t>2.. Concrete work and Masonry work</t>
  </si>
  <si>
    <t xml:space="preserve">C-7 lean  concrete </t>
  </si>
  <si>
    <t>C-25  RC Concrete in grade beam</t>
  </si>
  <si>
    <t>C-20 10cm thick RC concrete slab. price shall include trolled floor finish</t>
  </si>
  <si>
    <t>Form work</t>
  </si>
  <si>
    <t>Steel reinforcment</t>
  </si>
  <si>
    <t>a) Diameter 12 plain bars</t>
  </si>
  <si>
    <t>b) diameter 8 deformed bars</t>
  </si>
  <si>
    <t>c) diameter 6 deformed bars</t>
  </si>
  <si>
    <t>Masonery wall below NGL.pric shall includes pointing</t>
  </si>
  <si>
    <t>5.Covered Walk Way</t>
  </si>
  <si>
    <r>
      <t xml:space="preserve">The value of work executed to date is         </t>
    </r>
    <r>
      <rPr>
        <b/>
        <sz val="18"/>
        <rFont val="Times New Roman"/>
        <family val="1"/>
      </rPr>
      <t xml:space="preserve"> </t>
    </r>
    <r>
      <rPr>
        <b/>
        <u val="double"/>
        <sz val="18"/>
        <rFont val="Times New Roman"/>
        <family val="1"/>
      </rPr>
      <t>Br.     =</t>
    </r>
  </si>
  <si>
    <r>
      <t>m</t>
    </r>
    <r>
      <rPr>
        <i/>
        <vertAlign val="superscript"/>
        <sz val="9"/>
        <rFont val="Times New Roman"/>
        <family val="1"/>
      </rPr>
      <t>2</t>
    </r>
  </si>
  <si>
    <t>c) 10cm thick</t>
  </si>
  <si>
    <t>a)Type W1 size 100/160cm</t>
  </si>
  <si>
    <t>c)Type W9 size 125/60cm</t>
  </si>
  <si>
    <t>d)Type W10 size 130/160cm</t>
  </si>
  <si>
    <t>e)Type W25 size 290/60cm</t>
  </si>
  <si>
    <t>Door</t>
  </si>
  <si>
    <t>a) Type D10 size 140/270cm</t>
  </si>
  <si>
    <t>b) Type D11  size 130/270cm</t>
  </si>
  <si>
    <t>15cm thick</t>
  </si>
  <si>
    <t>c)Type W7 size 100/160cm</t>
  </si>
  <si>
    <t>Doors</t>
  </si>
  <si>
    <t>e)Type D2 size 80/270cm</t>
  </si>
  <si>
    <t>f)Type D1size 90/270cm</t>
  </si>
  <si>
    <t xml:space="preserve">three coats of plastering </t>
  </si>
  <si>
    <t>plastic Ceiling</t>
  </si>
  <si>
    <r>
      <t>m</t>
    </r>
    <r>
      <rPr>
        <vertAlign val="superscript"/>
        <sz val="12"/>
        <rFont val="Times New Roman"/>
        <family val="1"/>
      </rPr>
      <t>2</t>
    </r>
  </si>
  <si>
    <t>c)Type W1T size 125/60cm</t>
  </si>
  <si>
    <t>a) Type D4 size :-150/270cm</t>
  </si>
  <si>
    <t>b)Type D7 size :-120/270cm</t>
  </si>
  <si>
    <t xml:space="preserve"> 5. Metal</t>
  </si>
  <si>
    <t>Type WL1 size-120/80cm (LEAD WINDOW)</t>
  </si>
  <si>
    <t>Nº</t>
  </si>
  <si>
    <t>Type WL2 size-50/50cm  (LEAD WINDOW)</t>
  </si>
  <si>
    <t>Type WT1 size-70/60cm</t>
  </si>
  <si>
    <t>Type W1T size-120/60cm</t>
  </si>
  <si>
    <t>Type WT1 size-120/160cm</t>
  </si>
  <si>
    <t>Type W3T size-150/60cm</t>
  </si>
  <si>
    <t>Type W7T size-100/60cm</t>
  </si>
  <si>
    <t>Type W3 size-150/160cm</t>
  </si>
  <si>
    <t>Type W7 size-100/160cm</t>
  </si>
  <si>
    <t>Type W8 size-80/160cm</t>
  </si>
  <si>
    <t xml:space="preserve">Doors </t>
  </si>
  <si>
    <t>D3 size 70x270cm</t>
  </si>
  <si>
    <t>D2 size 80x270cm</t>
  </si>
  <si>
    <t>D6 size 140x270cm</t>
  </si>
  <si>
    <t xml:space="preserve">Construct and put in place eucalyptus truss from </t>
  </si>
  <si>
    <t>diameter 10-12cm</t>
  </si>
  <si>
    <t>diameter 8-10cm</t>
  </si>
  <si>
    <t xml:space="preserve">Provide &amp; fix 5x7cm Zigba roof purlin </t>
  </si>
  <si>
    <r>
      <t>m</t>
    </r>
    <r>
      <rPr>
        <vertAlign val="superscript"/>
        <sz val="14"/>
        <rFont val="Times New Roman"/>
        <family val="1"/>
      </rPr>
      <t>2</t>
    </r>
  </si>
  <si>
    <t xml:space="preserve">eucalyptus truss from </t>
  </si>
  <si>
    <t xml:space="preserve">diameter 8-10cm </t>
  </si>
  <si>
    <t>roof purlin c/c 90cm.</t>
  </si>
  <si>
    <t>6. FINISHING WORKS.</t>
  </si>
  <si>
    <t xml:space="preserve">Three coats of plaster </t>
  </si>
  <si>
    <t>2 coats plaster &amp; rendering</t>
  </si>
  <si>
    <t>B. Super Structure</t>
  </si>
  <si>
    <t>1.  Concrete Work</t>
  </si>
  <si>
    <t>Rein. concrete quality C-20</t>
  </si>
  <si>
    <t>a)  In elevation columns</t>
  </si>
  <si>
    <r>
      <t>m</t>
    </r>
    <r>
      <rPr>
        <vertAlign val="superscript"/>
        <sz val="12"/>
        <rFont val="Times New Roman"/>
        <family val="1"/>
      </rPr>
      <t>3</t>
    </r>
  </si>
  <si>
    <t xml:space="preserve">b) In Top beams </t>
  </si>
  <si>
    <t>c) for lintel</t>
  </si>
  <si>
    <t>d) 15cm thick parapet wall</t>
  </si>
  <si>
    <t>Provide, cut and fix sawn zigba.</t>
  </si>
  <si>
    <t>a)To elevation columns</t>
  </si>
  <si>
    <t xml:space="preserve">b)To Top beams </t>
  </si>
  <si>
    <t>c)for lintel</t>
  </si>
  <si>
    <t>Mild steel reinforcements .</t>
  </si>
  <si>
    <t>a) diameter 6 plain bars</t>
  </si>
  <si>
    <t xml:space="preserve">b) diameter  8 deformed bars. </t>
  </si>
  <si>
    <t xml:space="preserve">c) diameter  10 deformed bars. </t>
  </si>
  <si>
    <t xml:space="preserve">d) diameter  12 deformed bars. </t>
  </si>
  <si>
    <t>2.  Block Work</t>
  </si>
  <si>
    <t>20cm thick H.C.B wall .</t>
  </si>
  <si>
    <t>15 cm thick HCB.</t>
  </si>
  <si>
    <t>Ribbed Sheet ceiling</t>
  </si>
  <si>
    <t>Apply 2 coats  rendering</t>
  </si>
  <si>
    <t>Apply three coats of plaster</t>
  </si>
  <si>
    <t>ditto ceiling Part</t>
  </si>
  <si>
    <t>Metal Work</t>
  </si>
  <si>
    <t>PreviousExecuted Amount (birr)</t>
  </si>
  <si>
    <t>Current exc.Amount(birr)</t>
  </si>
  <si>
    <t>Total Executed Amount (birr)</t>
  </si>
  <si>
    <t>d)Type W3T size 150/160cm</t>
  </si>
  <si>
    <t>e)Type W7 size 100/160cm</t>
  </si>
  <si>
    <t>f)Type W9T  size 170/60cm</t>
  </si>
  <si>
    <t>Item no.</t>
  </si>
  <si>
    <t xml:space="preserve">Description </t>
  </si>
  <si>
    <t>Qty</t>
  </si>
  <si>
    <t>Unit rate</t>
  </si>
  <si>
    <t>Pcs</t>
  </si>
  <si>
    <t>Bright Construction plc</t>
  </si>
  <si>
    <t>Contractor_______________</t>
  </si>
  <si>
    <t>G-30 ribbed sheet ceiling</t>
  </si>
  <si>
    <t>Supply &amp; fix 40mm thick wood  framed door</t>
  </si>
  <si>
    <t>a) Type D2 size-80/270cm</t>
  </si>
  <si>
    <t>b) Type D3 size-70/270cm</t>
  </si>
  <si>
    <t>c) Type D1size-90/270cm</t>
  </si>
  <si>
    <t>d) Type D6 size-140/270cm</t>
  </si>
  <si>
    <t>Terrazo window cill</t>
  </si>
  <si>
    <t>Terrazo window cill size27/3cm</t>
  </si>
  <si>
    <t>10cm thick 1.2m wide Pavement</t>
  </si>
  <si>
    <t>G-30 ribbed sheet</t>
  </si>
  <si>
    <t>a) Type D6 size- 90/270cm</t>
  </si>
  <si>
    <t>b) Type D10 size-80/270cm</t>
  </si>
  <si>
    <t>c) Type D5 size-180/270cm</t>
  </si>
  <si>
    <t>4mm thick plastic ceiling</t>
  </si>
  <si>
    <t>floor ceramic</t>
  </si>
  <si>
    <t>wall ceramic 200*300*6mm</t>
  </si>
  <si>
    <t>plastic ceiling</t>
  </si>
  <si>
    <t>25*2.5cm faciaboard</t>
  </si>
  <si>
    <t>m</t>
  </si>
  <si>
    <t>5. METAL WORK</t>
  </si>
  <si>
    <t>Windows</t>
  </si>
  <si>
    <t>a) Type W4 size-160/160cm</t>
  </si>
  <si>
    <t>b) Type W5 size-200/160cm</t>
  </si>
  <si>
    <t>c) Type W47size-100/160cm</t>
  </si>
  <si>
    <t>d) Type WT1 size-80/60cm</t>
  </si>
  <si>
    <t>e) Type WT2size-110/60cm</t>
  </si>
  <si>
    <t>f) Type WT3size-118/60cm</t>
  </si>
  <si>
    <t>wall ceramic</t>
  </si>
  <si>
    <t>floorceramic</t>
  </si>
  <si>
    <t>ceramic tile skirting</t>
  </si>
  <si>
    <t>window cill</t>
  </si>
  <si>
    <t>angle iron protection</t>
  </si>
  <si>
    <t>10cm thick pavement</t>
  </si>
  <si>
    <t>half ditch concrete pipes</t>
  </si>
  <si>
    <t>curb stone</t>
  </si>
  <si>
    <t>supply &amp; fix roof gutter</t>
  </si>
  <si>
    <t>supply &amp; fix down pipe</t>
  </si>
  <si>
    <t>supply &amp; fix flat metal sheet flashing</t>
  </si>
  <si>
    <t>Terrazzo tile flooring</t>
  </si>
  <si>
    <t>terrazo tile skirting</t>
  </si>
  <si>
    <t>terrazo window cill</t>
  </si>
  <si>
    <t>10cm thick wide pavement</t>
  </si>
  <si>
    <t>Half ditch concrete pipes</t>
  </si>
  <si>
    <t>curbstone</t>
  </si>
  <si>
    <t>chipwood ceiling</t>
  </si>
  <si>
    <t xml:space="preserve">floor ceramic </t>
  </si>
  <si>
    <t>skirting</t>
  </si>
  <si>
    <t>10. ElECTRICAL INSTALATION</t>
  </si>
  <si>
    <t>Light Points</t>
  </si>
  <si>
    <t>Socket Outlet points</t>
  </si>
  <si>
    <t>Socket Outlet points in rigid conduits</t>
  </si>
  <si>
    <t>light points rigid conduits</t>
  </si>
  <si>
    <t>10cm thick RC slab pavement</t>
  </si>
  <si>
    <t>Poreciline</t>
  </si>
  <si>
    <t xml:space="preserve">pvc ceiling </t>
  </si>
  <si>
    <t>Ribbed sheet</t>
  </si>
  <si>
    <t>non slipery  ceramic tile</t>
  </si>
  <si>
    <t>Ceramic tile skirting</t>
  </si>
  <si>
    <t>Non Slippery Ceramic</t>
  </si>
  <si>
    <t>Ceramic tile Skirting</t>
  </si>
  <si>
    <t>non Slippery ceramic tile</t>
  </si>
  <si>
    <t>c) Type D10 size- 80/270cm</t>
  </si>
  <si>
    <t>ceramic skirting</t>
  </si>
  <si>
    <t>Pavement</t>
  </si>
  <si>
    <t>non slippery ceramic tile</t>
  </si>
  <si>
    <t>50cm thick stone masonary</t>
  </si>
  <si>
    <t>Plastic ceiling</t>
  </si>
  <si>
    <t>Ceramic tile skirrting</t>
  </si>
  <si>
    <t>Ribbed Sheet G-30</t>
  </si>
  <si>
    <t>facia board</t>
  </si>
  <si>
    <t xml:space="preserve">Three coats of plastering to internal </t>
  </si>
  <si>
    <t>Two coats plastering  one coats &amp; one coat rendering</t>
  </si>
  <si>
    <t>Apply 2 coat of plasterto recive ceramic tile</t>
  </si>
  <si>
    <t>5.METAL WORKS</t>
  </si>
  <si>
    <t>DOOR</t>
  </si>
  <si>
    <t>ED5: 98X250cm</t>
  </si>
  <si>
    <t>W8: 78X120cm</t>
  </si>
  <si>
    <t>b) roof slab</t>
  </si>
  <si>
    <t>G-30 Ribbed sheet</t>
  </si>
  <si>
    <t>Facia board</t>
  </si>
  <si>
    <t>5.METAL WORK</t>
  </si>
  <si>
    <t>windows</t>
  </si>
  <si>
    <t>a) TypeW1 size-120/160cm</t>
  </si>
  <si>
    <t>b) Type W2 size-140/160cm</t>
  </si>
  <si>
    <t>c) Type W3 size-150/160cm</t>
  </si>
  <si>
    <t xml:space="preserve">d) Type W toilet size-90/60cm </t>
  </si>
  <si>
    <t>c) Type D4 size-150/270cm</t>
  </si>
  <si>
    <t>d) Type D5 size-180/270cm</t>
  </si>
  <si>
    <t>e) Type D5 size-120/270cm</t>
  </si>
  <si>
    <t>Ribbed sheet ceiling G-30</t>
  </si>
  <si>
    <t>B.SUPER STRUCTURE</t>
  </si>
  <si>
    <t>1. Steel Structure</t>
  </si>
  <si>
    <t>Dia 60mm CHS post 2.5mm thick</t>
  </si>
  <si>
    <t>Plates (150mm*150mm*3mm)</t>
  </si>
  <si>
    <t>Ancher 'J' bolts</t>
  </si>
  <si>
    <t>a. dia 16mm  length 30cm</t>
  </si>
  <si>
    <t>40x60x2.5mm RHS beam welded to plate</t>
  </si>
  <si>
    <t>40x30x2mm RHS for upper &amp; lower trusses</t>
  </si>
  <si>
    <t>Ditto but 30x20x2mm diagonal member</t>
  </si>
  <si>
    <t>2. ROOFING</t>
  </si>
  <si>
    <t xml:space="preserve">G-30 Roof ridge </t>
  </si>
  <si>
    <t>1.5x7cm sawn zigba wood purline wood</t>
  </si>
  <si>
    <t>Certeficate of Payment    NO - 06</t>
  </si>
  <si>
    <t xml:space="preserve">        For Measurement Certeficate   NO 06</t>
  </si>
  <si>
    <t xml:space="preserve">In 10cm thick RC ground slab </t>
  </si>
  <si>
    <t>Finishing work</t>
  </si>
  <si>
    <t>crnt</t>
  </si>
  <si>
    <t xml:space="preserve">    We    here by certify that the above figures are corrected   </t>
  </si>
  <si>
    <t>material up to date is:-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</si>
</sst>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0.00"/>
  </numFmts>
  <fonts count="7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i/>
      <sz val="14"/>
      <name val="Times New Roman"/>
      <family val="1"/>
    </font>
    <font>
      <b/>
      <i/>
      <sz val="16"/>
      <name val="Times New Roman"/>
      <family val="1"/>
    </font>
    <font>
      <b/>
      <sz val="9"/>
      <name val="Times New Roman"/>
      <family val="1"/>
    </font>
    <font>
      <b/>
      <i/>
      <u val="doubleAccounting"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u val="doubleAccounting"/>
      <sz val="14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4"/>
      <name val="Times New Roman"/>
      <family val="1"/>
    </font>
    <font>
      <i/>
      <sz val="14"/>
      <name val="Times New Roman"/>
      <family val="1"/>
    </font>
    <font>
      <b/>
      <sz val="14"/>
      <name val="Times New Roman"/>
      <family val="1"/>
    </font>
    <font>
      <sz val="14"/>
      <name val="Calisto MT"/>
      <family val="1"/>
    </font>
    <font>
      <vertAlign val="superscript"/>
      <sz val="14"/>
      <name val="Calisto MT"/>
      <family val="1"/>
    </font>
    <font>
      <sz val="14"/>
      <name val="Adobe Garamond Pro"/>
      <family val="1"/>
    </font>
    <font>
      <strike/>
      <vertAlign val="superscript"/>
      <sz val="14"/>
      <name val="Calisto MT"/>
      <family val="1"/>
    </font>
    <font>
      <b/>
      <sz val="14"/>
      <name val="Calisto MT"/>
      <family val="1"/>
    </font>
    <font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u val="double"/>
      <sz val="16"/>
      <name val="Times New Roman"/>
      <family val="1"/>
    </font>
    <font>
      <b/>
      <sz val="16"/>
      <color indexed="8"/>
      <name val="Times New Roman"/>
      <family val="1"/>
    </font>
    <font>
      <i/>
      <u val="doubleAccounting"/>
      <sz val="14"/>
      <name val="Times New Roman"/>
      <family val="1"/>
    </font>
    <font>
      <i/>
      <vertAlign val="superscript"/>
      <sz val="12"/>
      <name val="Times New Roman"/>
      <family val="1"/>
    </font>
    <font>
      <i/>
      <vertAlign val="superscript"/>
      <sz val="14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b/>
      <i/>
      <sz val="12"/>
      <color indexed="10"/>
      <name val="Times New Roman"/>
      <family val="1"/>
    </font>
    <font>
      <b/>
      <i/>
      <sz val="14"/>
      <color indexed="10"/>
      <name val="Times New Roman"/>
      <family val="1"/>
    </font>
    <font>
      <i/>
      <u/>
      <sz val="12"/>
      <name val="Times New Roman"/>
      <family val="1"/>
    </font>
    <font>
      <i/>
      <sz val="12"/>
      <color indexed="10"/>
      <name val="Times New Roman"/>
      <family val="1"/>
    </font>
    <font>
      <b/>
      <i/>
      <sz val="14"/>
      <name val="Calisto MT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u val="double"/>
      <sz val="18"/>
      <name val="Times New Roman"/>
      <family val="1"/>
    </font>
    <font>
      <i/>
      <vertAlign val="superscript"/>
      <sz val="9"/>
      <name val="Times New Roman"/>
      <family val="1"/>
    </font>
    <font>
      <sz val="11"/>
      <color indexed="8"/>
      <name val="Arial"/>
      <family val="2"/>
    </font>
    <font>
      <vertAlign val="superscript"/>
      <sz val="12"/>
      <name val="Times New Roman"/>
      <family val="1"/>
    </font>
    <font>
      <vertAlign val="superscript"/>
      <sz val="14"/>
      <name val="Times New Roman"/>
      <family val="1"/>
    </font>
    <font>
      <b/>
      <u/>
      <sz val="14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u val="double"/>
      <sz val="14"/>
      <color rgb="FF002060"/>
      <name val="Times New Roman"/>
      <family val="1"/>
    </font>
    <font>
      <b/>
      <i/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i/>
      <sz val="14"/>
      <color theme="1"/>
      <name val="Times New Roman"/>
      <family val="1"/>
    </font>
    <font>
      <b/>
      <i/>
      <sz val="12"/>
      <color theme="4" tint="-0.499984740745262"/>
      <name val="Times New Roman"/>
      <family val="1"/>
    </font>
    <font>
      <b/>
      <i/>
      <sz val="14"/>
      <color theme="4" tint="-0.499984740745262"/>
      <name val="Times New Roman"/>
      <family val="1"/>
    </font>
    <font>
      <b/>
      <sz val="12"/>
      <color theme="1"/>
      <name val="Times New Roman"/>
      <family val="1"/>
    </font>
    <font>
      <b/>
      <sz val="14"/>
      <color theme="4" tint="-0.499984740745262"/>
      <name val="Times New Roman"/>
      <family val="1"/>
    </font>
    <font>
      <sz val="14"/>
      <color theme="1"/>
      <name val="Calisto MT"/>
      <family val="1"/>
    </font>
    <font>
      <b/>
      <i/>
      <sz val="12"/>
      <color rgb="FFC00000"/>
      <name val="Times New Roman"/>
      <family val="1"/>
    </font>
    <font>
      <b/>
      <sz val="12"/>
      <color rgb="FFC00000"/>
      <name val="Times New Roman"/>
      <family val="1"/>
    </font>
    <font>
      <b/>
      <sz val="14"/>
      <color rgb="FFC00000"/>
      <name val="Times New Roman"/>
      <family val="1"/>
    </font>
    <font>
      <b/>
      <i/>
      <sz val="14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23"/>
        <bgColor theme="0"/>
      </patternFill>
    </fill>
    <fill>
      <patternFill patternType="lightHorizontal">
        <fgColor theme="9" tint="0.59996337778862885"/>
        <bgColor theme="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3"/>
      </patternFill>
    </fill>
  </fills>
  <borders count="1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1246">
    <xf numFmtId="0" fontId="0" fillId="0" borderId="0" xfId="0"/>
    <xf numFmtId="0" fontId="51" fillId="0" borderId="0" xfId="0" applyFont="1"/>
    <xf numFmtId="0" fontId="1" fillId="0" borderId="0" xfId="0" applyFont="1"/>
    <xf numFmtId="0" fontId="52" fillId="0" borderId="0" xfId="0" applyFont="1"/>
    <xf numFmtId="0" fontId="8" fillId="0" borderId="0" xfId="0" applyFont="1"/>
    <xf numFmtId="0" fontId="8" fillId="0" borderId="0" xfId="0" applyFont="1" applyFill="1"/>
    <xf numFmtId="4" fontId="1" fillId="0" borderId="0" xfId="0" applyNumberFormat="1" applyFont="1"/>
    <xf numFmtId="4" fontId="7" fillId="0" borderId="0" xfId="0" applyNumberFormat="1" applyFont="1" applyBorder="1"/>
    <xf numFmtId="4" fontId="7" fillId="0" borderId="0" xfId="0" applyNumberFormat="1" applyFont="1" applyBorder="1" applyAlignment="1">
      <alignment horizontal="center" vertical="justify"/>
    </xf>
    <xf numFmtId="0" fontId="1" fillId="3" borderId="0" xfId="0" applyFont="1" applyFill="1" applyBorder="1"/>
    <xf numFmtId="4" fontId="7" fillId="3" borderId="0" xfId="0" applyNumberFormat="1" applyFont="1" applyFill="1" applyBorder="1"/>
    <xf numFmtId="43" fontId="7" fillId="3" borderId="1" xfId="1" applyFont="1" applyFill="1" applyBorder="1" applyAlignment="1">
      <alignment horizontal="center"/>
    </xf>
    <xf numFmtId="43" fontId="8" fillId="3" borderId="2" xfId="1" applyFont="1" applyFill="1" applyBorder="1" applyAlignment="1">
      <alignment horizontal="center"/>
    </xf>
    <xf numFmtId="0" fontId="1" fillId="3" borderId="3" xfId="0" applyFont="1" applyFill="1" applyBorder="1"/>
    <xf numFmtId="0" fontId="2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2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8" fillId="3" borderId="0" xfId="0" applyFont="1" applyFill="1"/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1" fillId="3" borderId="0" xfId="0" applyFont="1" applyFill="1"/>
    <xf numFmtId="43" fontId="1" fillId="3" borderId="7" xfId="1" applyFont="1" applyFill="1" applyBorder="1"/>
    <xf numFmtId="0" fontId="51" fillId="3" borderId="0" xfId="0" applyFont="1" applyFill="1"/>
    <xf numFmtId="0" fontId="1" fillId="3" borderId="12" xfId="0" applyFont="1" applyFill="1" applyBorder="1"/>
    <xf numFmtId="0" fontId="2" fillId="3" borderId="6" xfId="0" applyFont="1" applyFill="1" applyBorder="1"/>
    <xf numFmtId="0" fontId="1" fillId="3" borderId="13" xfId="0" applyFont="1" applyFill="1" applyBorder="1"/>
    <xf numFmtId="0" fontId="2" fillId="3" borderId="14" xfId="0" applyFont="1" applyFill="1" applyBorder="1"/>
    <xf numFmtId="0" fontId="1" fillId="3" borderId="15" xfId="0" applyFont="1" applyFill="1" applyBorder="1"/>
    <xf numFmtId="43" fontId="1" fillId="3" borderId="2" xfId="1" applyFont="1" applyFill="1" applyBorder="1"/>
    <xf numFmtId="43" fontId="1" fillId="3" borderId="16" xfId="1" applyFont="1" applyFill="1" applyBorder="1"/>
    <xf numFmtId="43" fontId="2" fillId="3" borderId="9" xfId="1" applyFont="1" applyFill="1" applyBorder="1"/>
    <xf numFmtId="43" fontId="1" fillId="3" borderId="17" xfId="1" applyFont="1" applyFill="1" applyBorder="1"/>
    <xf numFmtId="43" fontId="1" fillId="3" borderId="2" xfId="1" applyFont="1" applyFill="1" applyBorder="1" applyAlignment="1">
      <alignment horizontal="center"/>
    </xf>
    <xf numFmtId="43" fontId="3" fillId="3" borderId="2" xfId="1" applyFont="1" applyFill="1" applyBorder="1"/>
    <xf numFmtId="43" fontId="1" fillId="3" borderId="18" xfId="1" applyFont="1" applyFill="1" applyBorder="1"/>
    <xf numFmtId="0" fontId="1" fillId="3" borderId="2" xfId="0" applyFont="1" applyFill="1" applyBorder="1" applyAlignment="1">
      <alignment horizontal="center"/>
    </xf>
    <xf numFmtId="43" fontId="2" fillId="3" borderId="2" xfId="1" applyFont="1" applyFill="1" applyBorder="1"/>
    <xf numFmtId="43" fontId="2" fillId="3" borderId="2" xfId="1" applyFont="1" applyFill="1" applyBorder="1" applyAlignment="1">
      <alignment horizontal="center"/>
    </xf>
    <xf numFmtId="0" fontId="1" fillId="3" borderId="19" xfId="0" applyFont="1" applyFill="1" applyBorder="1"/>
    <xf numFmtId="4" fontId="7" fillId="3" borderId="0" xfId="0" applyNumberFormat="1" applyFont="1" applyFill="1" applyBorder="1" applyAlignment="1">
      <alignment horizontal="center" vertical="justify"/>
    </xf>
    <xf numFmtId="43" fontId="51" fillId="3" borderId="2" xfId="1" applyFont="1" applyFill="1" applyBorder="1" applyAlignment="1">
      <alignment horizontal="center"/>
    </xf>
    <xf numFmtId="43" fontId="1" fillId="3" borderId="20" xfId="1" applyFont="1" applyFill="1" applyBorder="1"/>
    <xf numFmtId="43" fontId="1" fillId="3" borderId="21" xfId="1" applyFont="1" applyFill="1" applyBorder="1"/>
    <xf numFmtId="43" fontId="2" fillId="3" borderId="20" xfId="1" applyFont="1" applyFill="1" applyBorder="1"/>
    <xf numFmtId="4" fontId="7" fillId="3" borderId="1" xfId="0" applyNumberFormat="1" applyFont="1" applyFill="1" applyBorder="1"/>
    <xf numFmtId="0" fontId="2" fillId="3" borderId="22" xfId="0" applyFont="1" applyFill="1" applyBorder="1"/>
    <xf numFmtId="43" fontId="1" fillId="3" borderId="16" xfId="1" applyFont="1" applyFill="1" applyBorder="1" applyAlignment="1">
      <alignment horizontal="center"/>
    </xf>
    <xf numFmtId="43" fontId="1" fillId="3" borderId="23" xfId="1" applyFont="1" applyFill="1" applyBorder="1"/>
    <xf numFmtId="43" fontId="1" fillId="3" borderId="23" xfId="1" applyFont="1" applyFill="1" applyBorder="1" applyAlignment="1">
      <alignment horizontal="center"/>
    </xf>
    <xf numFmtId="43" fontId="1" fillId="3" borderId="21" xfId="1" applyFont="1" applyFill="1" applyBorder="1" applyAlignment="1">
      <alignment horizontal="center"/>
    </xf>
    <xf numFmtId="4" fontId="7" fillId="3" borderId="2" xfId="0" applyNumberFormat="1" applyFont="1" applyFill="1" applyBorder="1"/>
    <xf numFmtId="0" fontId="2" fillId="3" borderId="24" xfId="0" applyFont="1" applyFill="1" applyBorder="1"/>
    <xf numFmtId="0" fontId="2" fillId="3" borderId="1" xfId="0" applyFont="1" applyFill="1" applyBorder="1" applyAlignment="1">
      <alignment horizontal="center"/>
    </xf>
    <xf numFmtId="43" fontId="2" fillId="3" borderId="1" xfId="1" applyFont="1" applyFill="1" applyBorder="1"/>
    <xf numFmtId="43" fontId="2" fillId="3" borderId="1" xfId="1" applyFont="1" applyFill="1" applyBorder="1" applyAlignment="1">
      <alignment horizontal="center"/>
    </xf>
    <xf numFmtId="43" fontId="2" fillId="3" borderId="25" xfId="1" applyFont="1" applyFill="1" applyBorder="1"/>
    <xf numFmtId="0" fontId="51" fillId="3" borderId="26" xfId="0" applyFont="1" applyFill="1" applyBorder="1"/>
    <xf numFmtId="3" fontId="7" fillId="3" borderId="24" xfId="0" applyNumberFormat="1" applyFont="1" applyFill="1" applyBorder="1"/>
    <xf numFmtId="164" fontId="7" fillId="3" borderId="15" xfId="0" applyNumberFormat="1" applyFont="1" applyFill="1" applyBorder="1"/>
    <xf numFmtId="164" fontId="7" fillId="3" borderId="27" xfId="0" applyNumberFormat="1" applyFont="1" applyFill="1" applyBorder="1"/>
    <xf numFmtId="4" fontId="7" fillId="3" borderId="23" xfId="0" applyNumberFormat="1" applyFont="1" applyFill="1" applyBorder="1"/>
    <xf numFmtId="4" fontId="7" fillId="3" borderId="28" xfId="0" applyNumberFormat="1" applyFont="1" applyFill="1" applyBorder="1"/>
    <xf numFmtId="164" fontId="7" fillId="3" borderId="29" xfId="0" applyNumberFormat="1" applyFont="1" applyFill="1" applyBorder="1"/>
    <xf numFmtId="4" fontId="7" fillId="3" borderId="30" xfId="0" applyNumberFormat="1" applyFont="1" applyFill="1" applyBorder="1" applyAlignment="1">
      <alignment wrapText="1"/>
    </xf>
    <xf numFmtId="4" fontId="7" fillId="3" borderId="30" xfId="0" applyNumberFormat="1" applyFont="1" applyFill="1" applyBorder="1"/>
    <xf numFmtId="4" fontId="7" fillId="3" borderId="30" xfId="0" applyNumberFormat="1" applyFont="1" applyFill="1" applyBorder="1" applyAlignment="1"/>
    <xf numFmtId="4" fontId="53" fillId="3" borderId="31" xfId="0" applyNumberFormat="1" applyFont="1" applyFill="1" applyBorder="1" applyAlignment="1"/>
    <xf numFmtId="43" fontId="3" fillId="3" borderId="23" xfId="1" applyFont="1" applyFill="1" applyBorder="1"/>
    <xf numFmtId="43" fontId="51" fillId="0" borderId="0" xfId="1" applyFont="1"/>
    <xf numFmtId="0" fontId="1" fillId="3" borderId="22" xfId="0" applyFont="1" applyFill="1" applyBorder="1"/>
    <xf numFmtId="0" fontId="1" fillId="3" borderId="24" xfId="0" applyFont="1" applyFill="1" applyBorder="1"/>
    <xf numFmtId="43" fontId="1" fillId="3" borderId="1" xfId="1" applyFont="1" applyFill="1" applyBorder="1"/>
    <xf numFmtId="43" fontId="1" fillId="3" borderId="1" xfId="1" applyFont="1" applyFill="1" applyBorder="1" applyAlignment="1">
      <alignment horizontal="center"/>
    </xf>
    <xf numFmtId="43" fontId="51" fillId="3" borderId="23" xfId="1" applyFont="1" applyFill="1" applyBorder="1" applyAlignment="1">
      <alignment horizontal="center"/>
    </xf>
    <xf numFmtId="43" fontId="1" fillId="3" borderId="32" xfId="1" applyFont="1" applyFill="1" applyBorder="1" applyAlignment="1">
      <alignment horizontal="center"/>
    </xf>
    <xf numFmtId="43" fontId="1" fillId="3" borderId="33" xfId="1" applyFont="1" applyFill="1" applyBorder="1"/>
    <xf numFmtId="43" fontId="1" fillId="3" borderId="34" xfId="1" applyFont="1" applyFill="1" applyBorder="1"/>
    <xf numFmtId="43" fontId="1" fillId="3" borderId="35" xfId="1" applyFont="1" applyFill="1" applyBorder="1"/>
    <xf numFmtId="0" fontId="2" fillId="3" borderId="25" xfId="0" applyFont="1" applyFill="1" applyBorder="1"/>
    <xf numFmtId="43" fontId="7" fillId="4" borderId="11" xfId="1" applyFont="1" applyFill="1" applyBorder="1" applyAlignment="1">
      <alignment horizontal="center" vertical="center"/>
    </xf>
    <xf numFmtId="43" fontId="7" fillId="4" borderId="36" xfId="1" applyFont="1" applyFill="1" applyBorder="1" applyAlignment="1">
      <alignment horizontal="center" vertical="center"/>
    </xf>
    <xf numFmtId="43" fontId="51" fillId="3" borderId="0" xfId="1" applyFont="1" applyFill="1"/>
    <xf numFmtId="43" fontId="1" fillId="3" borderId="0" xfId="1" applyFont="1" applyFill="1"/>
    <xf numFmtId="43" fontId="1" fillId="3" borderId="26" xfId="1" applyFont="1" applyFill="1" applyBorder="1"/>
    <xf numFmtId="43" fontId="2" fillId="3" borderId="0" xfId="1" applyFont="1" applyFill="1"/>
    <xf numFmtId="43" fontId="1" fillId="3" borderId="37" xfId="1" applyFont="1" applyFill="1" applyBorder="1"/>
    <xf numFmtId="43" fontId="2" fillId="3" borderId="0" xfId="1" applyFont="1" applyFill="1" applyBorder="1"/>
    <xf numFmtId="43" fontId="7" fillId="3" borderId="0" xfId="1" applyFont="1" applyFill="1" applyBorder="1"/>
    <xf numFmtId="43" fontId="9" fillId="3" borderId="0" xfId="1" applyFont="1" applyFill="1" applyBorder="1"/>
    <xf numFmtId="0" fontId="1" fillId="3" borderId="38" xfId="0" applyFont="1" applyFill="1" applyBorder="1"/>
    <xf numFmtId="0" fontId="1" fillId="3" borderId="39" xfId="0" applyFont="1" applyFill="1" applyBorder="1"/>
    <xf numFmtId="43" fontId="2" fillId="3" borderId="40" xfId="1" applyFont="1" applyFill="1" applyBorder="1"/>
    <xf numFmtId="0" fontId="1" fillId="3" borderId="1" xfId="0" applyFont="1" applyFill="1" applyBorder="1"/>
    <xf numFmtId="43" fontId="8" fillId="0" borderId="0" xfId="1" applyFont="1"/>
    <xf numFmtId="43" fontId="8" fillId="0" borderId="0" xfId="1" applyFont="1" applyFill="1"/>
    <xf numFmtId="43" fontId="8" fillId="3" borderId="2" xfId="1" applyFont="1" applyFill="1" applyBorder="1"/>
    <xf numFmtId="43" fontId="8" fillId="3" borderId="23" xfId="1" applyFont="1" applyFill="1" applyBorder="1"/>
    <xf numFmtId="0" fontId="2" fillId="3" borderId="39" xfId="0" applyFont="1" applyFill="1" applyBorder="1"/>
    <xf numFmtId="0" fontId="2" fillId="3" borderId="9" xfId="0" applyFont="1" applyFill="1" applyBorder="1"/>
    <xf numFmtId="0" fontId="16" fillId="3" borderId="0" xfId="0" applyFont="1" applyFill="1"/>
    <xf numFmtId="0" fontId="16" fillId="3" borderId="24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16" fillId="3" borderId="15" xfId="0" applyFont="1" applyFill="1" applyBorder="1" applyAlignment="1">
      <alignment horizontal="center"/>
    </xf>
    <xf numFmtId="43" fontId="16" fillId="3" borderId="2" xfId="1" applyFont="1" applyFill="1" applyBorder="1"/>
    <xf numFmtId="0" fontId="1" fillId="3" borderId="15" xfId="0" applyFont="1" applyFill="1" applyBorder="1" applyAlignment="1">
      <alignment horizontal="center"/>
    </xf>
    <xf numFmtId="4" fontId="17" fillId="3" borderId="2" xfId="0" applyNumberFormat="1" applyFont="1" applyFill="1" applyBorder="1"/>
    <xf numFmtId="0" fontId="17" fillId="3" borderId="41" xfId="0" applyFont="1" applyFill="1" applyBorder="1"/>
    <xf numFmtId="0" fontId="52" fillId="3" borderId="0" xfId="0" applyFont="1" applyFill="1"/>
    <xf numFmtId="4" fontId="7" fillId="3" borderId="30" xfId="0" applyNumberFormat="1" applyFont="1" applyFill="1" applyBorder="1" applyAlignment="1">
      <alignment horizontal="center" vertical="center" wrapText="1"/>
    </xf>
    <xf numFmtId="164" fontId="7" fillId="3" borderId="0" xfId="0" applyNumberFormat="1" applyFont="1" applyFill="1" applyBorder="1"/>
    <xf numFmtId="0" fontId="8" fillId="3" borderId="0" xfId="0" applyFont="1" applyFill="1" applyAlignment="1"/>
    <xf numFmtId="0" fontId="54" fillId="3" borderId="0" xfId="0" applyFont="1" applyFill="1" applyAlignment="1">
      <alignment horizontal="right"/>
    </xf>
    <xf numFmtId="4" fontId="7" fillId="3" borderId="31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/>
    <xf numFmtId="0" fontId="2" fillId="5" borderId="7" xfId="0" applyFont="1" applyFill="1" applyBorder="1"/>
    <xf numFmtId="43" fontId="2" fillId="5" borderId="7" xfId="1" applyFont="1" applyFill="1" applyBorder="1"/>
    <xf numFmtId="0" fontId="18" fillId="3" borderId="12" xfId="0" applyFont="1" applyFill="1" applyBorder="1"/>
    <xf numFmtId="0" fontId="18" fillId="3" borderId="6" xfId="0" applyFont="1" applyFill="1" applyBorder="1"/>
    <xf numFmtId="43" fontId="18" fillId="3" borderId="7" xfId="1" applyFont="1" applyFill="1" applyBorder="1"/>
    <xf numFmtId="0" fontId="19" fillId="0" borderId="0" xfId="0" applyFont="1"/>
    <xf numFmtId="43" fontId="19" fillId="0" borderId="0" xfId="1" applyFont="1"/>
    <xf numFmtId="0" fontId="55" fillId="3" borderId="0" xfId="0" applyFont="1" applyFill="1"/>
    <xf numFmtId="0" fontId="55" fillId="0" borderId="0" xfId="0" applyFont="1"/>
    <xf numFmtId="43" fontId="55" fillId="0" borderId="0" xfId="1" applyFont="1"/>
    <xf numFmtId="0" fontId="18" fillId="3" borderId="2" xfId="0" applyFont="1" applyFill="1" applyBorder="1"/>
    <xf numFmtId="0" fontId="18" fillId="3" borderId="20" xfId="0" applyFont="1" applyFill="1" applyBorder="1"/>
    <xf numFmtId="43" fontId="18" fillId="3" borderId="2" xfId="1" applyFont="1" applyFill="1" applyBorder="1"/>
    <xf numFmtId="43" fontId="18" fillId="3" borderId="16" xfId="1" applyFont="1" applyFill="1" applyBorder="1"/>
    <xf numFmtId="0" fontId="18" fillId="3" borderId="5" xfId="0" applyFont="1" applyFill="1" applyBorder="1"/>
    <xf numFmtId="43" fontId="18" fillId="3" borderId="35" xfId="1" applyFont="1" applyFill="1" applyBorder="1"/>
    <xf numFmtId="0" fontId="18" fillId="3" borderId="7" xfId="0" applyFont="1" applyFill="1" applyBorder="1"/>
    <xf numFmtId="0" fontId="18" fillId="3" borderId="0" xfId="0" applyFont="1" applyFill="1"/>
    <xf numFmtId="0" fontId="18" fillId="3" borderId="15" xfId="0" applyFont="1" applyFill="1" applyBorder="1"/>
    <xf numFmtId="43" fontId="18" fillId="3" borderId="41" xfId="1" applyFont="1" applyFill="1" applyBorder="1"/>
    <xf numFmtId="0" fontId="18" fillId="3" borderId="27" xfId="0" applyFont="1" applyFill="1" applyBorder="1"/>
    <xf numFmtId="0" fontId="18" fillId="3" borderId="42" xfId="0" applyFont="1" applyFill="1" applyBorder="1"/>
    <xf numFmtId="43" fontId="18" fillId="3" borderId="23" xfId="1" applyFont="1" applyFill="1" applyBorder="1"/>
    <xf numFmtId="0" fontId="18" fillId="3" borderId="3" xfId="0" applyFont="1" applyFill="1" applyBorder="1"/>
    <xf numFmtId="0" fontId="20" fillId="3" borderId="4" xfId="0" applyFont="1" applyFill="1" applyBorder="1"/>
    <xf numFmtId="43" fontId="18" fillId="3" borderId="33" xfId="1" applyFont="1" applyFill="1" applyBorder="1"/>
    <xf numFmtId="43" fontId="9" fillId="3" borderId="0" xfId="1" applyFont="1" applyFill="1" applyAlignment="1">
      <alignment horizontal="left"/>
    </xf>
    <xf numFmtId="4" fontId="54" fillId="3" borderId="0" xfId="0" applyNumberFormat="1" applyFont="1" applyFill="1"/>
    <xf numFmtId="43" fontId="8" fillId="3" borderId="23" xfId="1" applyFont="1" applyFill="1" applyBorder="1" applyAlignment="1">
      <alignment horizontal="center"/>
    </xf>
    <xf numFmtId="43" fontId="7" fillId="3" borderId="1" xfId="1" applyFont="1" applyFill="1" applyBorder="1"/>
    <xf numFmtId="43" fontId="7" fillId="3" borderId="2" xfId="1" applyFont="1" applyFill="1" applyBorder="1"/>
    <xf numFmtId="43" fontId="7" fillId="3" borderId="2" xfId="1" applyFont="1" applyFill="1" applyBorder="1" applyAlignment="1">
      <alignment horizontal="center"/>
    </xf>
    <xf numFmtId="43" fontId="52" fillId="3" borderId="21" xfId="1" applyFont="1" applyFill="1" applyBorder="1"/>
    <xf numFmtId="43" fontId="8" fillId="3" borderId="43" xfId="1" applyFont="1" applyFill="1" applyBorder="1"/>
    <xf numFmtId="43" fontId="52" fillId="3" borderId="44" xfId="1" applyFont="1" applyFill="1" applyBorder="1"/>
    <xf numFmtId="43" fontId="52" fillId="3" borderId="32" xfId="1" applyFont="1" applyFill="1" applyBorder="1"/>
    <xf numFmtId="43" fontId="8" fillId="3" borderId="1" xfId="1" applyFont="1" applyFill="1" applyBorder="1"/>
    <xf numFmtId="43" fontId="8" fillId="3" borderId="1" xfId="1" applyFont="1" applyFill="1" applyBorder="1" applyAlignment="1">
      <alignment horizontal="center"/>
    </xf>
    <xf numFmtId="0" fontId="51" fillId="6" borderId="0" xfId="0" applyFont="1" applyFill="1"/>
    <xf numFmtId="43" fontId="51" fillId="6" borderId="0" xfId="1" applyFont="1" applyFill="1"/>
    <xf numFmtId="43" fontId="1" fillId="3" borderId="20" xfId="1" applyFont="1" applyFill="1" applyBorder="1" applyAlignment="1">
      <alignment horizontal="center"/>
    </xf>
    <xf numFmtId="43" fontId="1" fillId="3" borderId="45" xfId="1" applyFont="1" applyFill="1" applyBorder="1" applyAlignment="1">
      <alignment horizontal="center"/>
    </xf>
    <xf numFmtId="43" fontId="1" fillId="3" borderId="43" xfId="1" applyFont="1" applyFill="1" applyBorder="1"/>
    <xf numFmtId="0" fontId="51" fillId="3" borderId="46" xfId="0" applyFont="1" applyFill="1" applyBorder="1"/>
    <xf numFmtId="43" fontId="2" fillId="3" borderId="17" xfId="1" applyFont="1" applyFill="1" applyBorder="1" applyAlignment="1">
      <alignment horizontal="center"/>
    </xf>
    <xf numFmtId="43" fontId="0" fillId="3" borderId="2" xfId="0" applyNumberFormat="1" applyFill="1" applyBorder="1"/>
    <xf numFmtId="43" fontId="18" fillId="3" borderId="1" xfId="1" applyFont="1" applyFill="1" applyBorder="1" applyAlignment="1">
      <alignment horizontal="center"/>
    </xf>
    <xf numFmtId="43" fontId="20" fillId="3" borderId="1" xfId="1" applyFont="1" applyFill="1" applyBorder="1" applyAlignment="1">
      <alignment horizontal="center"/>
    </xf>
    <xf numFmtId="43" fontId="20" fillId="3" borderId="1" xfId="1" applyFont="1" applyFill="1" applyBorder="1"/>
    <xf numFmtId="43" fontId="10" fillId="3" borderId="0" xfId="1" applyFont="1" applyFill="1" applyAlignment="1">
      <alignment horizontal="left"/>
    </xf>
    <xf numFmtId="0" fontId="16" fillId="3" borderId="38" xfId="0" applyFont="1" applyFill="1" applyBorder="1" applyAlignment="1">
      <alignment horizontal="center" wrapText="1"/>
    </xf>
    <xf numFmtId="0" fontId="16" fillId="3" borderId="47" xfId="0" applyFont="1" applyFill="1" applyBorder="1"/>
    <xf numFmtId="165" fontId="0" fillId="0" borderId="0" xfId="0" applyNumberFormat="1"/>
    <xf numFmtId="43" fontId="2" fillId="3" borderId="46" xfId="1" applyFont="1" applyFill="1" applyBorder="1"/>
    <xf numFmtId="43" fontId="50" fillId="0" borderId="0" xfId="1" applyFont="1"/>
    <xf numFmtId="0" fontId="18" fillId="3" borderId="15" xfId="0" applyFont="1" applyFill="1" applyBorder="1" applyAlignment="1">
      <alignment horizontal="center"/>
    </xf>
    <xf numFmtId="4" fontId="26" fillId="3" borderId="2" xfId="0" applyNumberFormat="1" applyFont="1" applyFill="1" applyBorder="1"/>
    <xf numFmtId="4" fontId="26" fillId="3" borderId="41" xfId="0" applyNumberFormat="1" applyFont="1" applyFill="1" applyBorder="1"/>
    <xf numFmtId="43" fontId="26" fillId="3" borderId="41" xfId="1" applyFont="1" applyFill="1" applyBorder="1"/>
    <xf numFmtId="4" fontId="26" fillId="3" borderId="43" xfId="0" applyNumberFormat="1" applyFont="1" applyFill="1" applyBorder="1"/>
    <xf numFmtId="4" fontId="26" fillId="3" borderId="48" xfId="0" applyNumberFormat="1" applyFont="1" applyFill="1" applyBorder="1"/>
    <xf numFmtId="0" fontId="18" fillId="0" borderId="0" xfId="0" applyFont="1"/>
    <xf numFmtId="0" fontId="27" fillId="3" borderId="49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43" fontId="26" fillId="3" borderId="25" xfId="1" applyFont="1" applyFill="1" applyBorder="1" applyAlignment="1">
      <alignment vertical="center"/>
    </xf>
    <xf numFmtId="0" fontId="27" fillId="3" borderId="24" xfId="0" applyFont="1" applyFill="1" applyBorder="1" applyAlignment="1">
      <alignment horizontal="left" vertical="center"/>
    </xf>
    <xf numFmtId="0" fontId="27" fillId="3" borderId="2" xfId="0" applyFont="1" applyFill="1" applyBorder="1" applyAlignment="1">
      <alignment horizontal="center" vertical="center"/>
    </xf>
    <xf numFmtId="43" fontId="26" fillId="3" borderId="20" xfId="1" applyFont="1" applyFill="1" applyBorder="1" applyAlignment="1">
      <alignment vertical="center"/>
    </xf>
    <xf numFmtId="0" fontId="27" fillId="3" borderId="15" xfId="0" applyFont="1" applyFill="1" applyBorder="1" applyAlignment="1">
      <alignment horizontal="left" vertical="center" wrapText="1"/>
    </xf>
    <xf numFmtId="0" fontId="27" fillId="3" borderId="50" xfId="0" applyFont="1" applyFill="1" applyBorder="1" applyAlignment="1">
      <alignment horizontal="center" vertical="center" wrapText="1"/>
    </xf>
    <xf numFmtId="43" fontId="26" fillId="3" borderId="51" xfId="1" applyFont="1" applyFill="1" applyBorder="1" applyAlignment="1">
      <alignment vertical="center"/>
    </xf>
    <xf numFmtId="0" fontId="27" fillId="3" borderId="52" xfId="0" applyFont="1" applyFill="1" applyBorder="1" applyAlignment="1">
      <alignment horizontal="left" vertical="center" wrapText="1"/>
    </xf>
    <xf numFmtId="0" fontId="18" fillId="3" borderId="11" xfId="0" applyFont="1" applyFill="1" applyBorder="1" applyAlignment="1">
      <alignment wrapText="1"/>
    </xf>
    <xf numFmtId="0" fontId="18" fillId="3" borderId="0" xfId="0" applyFont="1" applyFill="1" applyAlignment="1">
      <alignment wrapText="1"/>
    </xf>
    <xf numFmtId="0" fontId="27" fillId="3" borderId="53" xfId="0" applyFont="1" applyFill="1" applyBorder="1" applyAlignment="1">
      <alignment horizontal="left"/>
    </xf>
    <xf numFmtId="4" fontId="27" fillId="3" borderId="54" xfId="0" applyNumberFormat="1" applyFont="1" applyFill="1" applyBorder="1" applyAlignment="1"/>
    <xf numFmtId="0" fontId="27" fillId="3" borderId="55" xfId="0" applyFont="1" applyFill="1" applyBorder="1" applyAlignment="1"/>
    <xf numFmtId="4" fontId="27" fillId="3" borderId="56" xfId="0" applyNumberFormat="1" applyFont="1" applyFill="1" applyBorder="1" applyAlignment="1"/>
    <xf numFmtId="0" fontId="27" fillId="3" borderId="57" xfId="0" applyFont="1" applyFill="1" applyBorder="1" applyAlignment="1"/>
    <xf numFmtId="4" fontId="27" fillId="3" borderId="58" xfId="0" applyNumberFormat="1" applyFont="1" applyFill="1" applyBorder="1" applyAlignment="1"/>
    <xf numFmtId="4" fontId="20" fillId="3" borderId="10" xfId="0" applyNumberFormat="1" applyFont="1" applyFill="1" applyBorder="1" applyAlignment="1"/>
    <xf numFmtId="0" fontId="20" fillId="3" borderId="36" xfId="0" applyFont="1" applyFill="1" applyBorder="1" applyAlignment="1"/>
    <xf numFmtId="0" fontId="20" fillId="3" borderId="59" xfId="0" applyFont="1" applyFill="1" applyBorder="1" applyAlignment="1"/>
    <xf numFmtId="0" fontId="20" fillId="3" borderId="60" xfId="0" applyFont="1" applyFill="1" applyBorder="1" applyAlignment="1"/>
    <xf numFmtId="43" fontId="18" fillId="3" borderId="2" xfId="1" applyFont="1" applyFill="1" applyBorder="1" applyAlignment="1">
      <alignment horizontal="center"/>
    </xf>
    <xf numFmtId="43" fontId="18" fillId="3" borderId="20" xfId="1" applyFont="1" applyFill="1" applyBorder="1"/>
    <xf numFmtId="43" fontId="18" fillId="3" borderId="21" xfId="1" applyFont="1" applyFill="1" applyBorder="1"/>
    <xf numFmtId="43" fontId="18" fillId="3" borderId="23" xfId="1" applyFont="1" applyFill="1" applyBorder="1" applyAlignment="1">
      <alignment horizontal="center"/>
    </xf>
    <xf numFmtId="43" fontId="20" fillId="3" borderId="25" xfId="1" applyFont="1" applyFill="1" applyBorder="1"/>
    <xf numFmtId="43" fontId="20" fillId="3" borderId="2" xfId="1" applyFont="1" applyFill="1" applyBorder="1"/>
    <xf numFmtId="43" fontId="20" fillId="3" borderId="2" xfId="1" applyFont="1" applyFill="1" applyBorder="1" applyAlignment="1">
      <alignment horizontal="center"/>
    </xf>
    <xf numFmtId="43" fontId="20" fillId="3" borderId="20" xfId="1" applyFont="1" applyFill="1" applyBorder="1"/>
    <xf numFmtId="43" fontId="18" fillId="3" borderId="16" xfId="1" applyFont="1" applyFill="1" applyBorder="1" applyAlignment="1">
      <alignment horizontal="center"/>
    </xf>
    <xf numFmtId="0" fontId="56" fillId="3" borderId="0" xfId="0" applyFont="1" applyFill="1"/>
    <xf numFmtId="43" fontId="18" fillId="3" borderId="61" xfId="1" applyFont="1" applyFill="1" applyBorder="1" applyAlignment="1">
      <alignment horizontal="center"/>
    </xf>
    <xf numFmtId="43" fontId="18" fillId="3" borderId="61" xfId="1" applyFont="1" applyFill="1" applyBorder="1"/>
    <xf numFmtId="43" fontId="18" fillId="3" borderId="42" xfId="1" applyFont="1" applyFill="1" applyBorder="1"/>
    <xf numFmtId="43" fontId="9" fillId="3" borderId="9" xfId="1" applyFont="1" applyFill="1" applyBorder="1" applyAlignment="1">
      <alignment horizontal="center"/>
    </xf>
    <xf numFmtId="43" fontId="9" fillId="3" borderId="11" xfId="1" applyFont="1" applyFill="1" applyBorder="1" applyAlignment="1">
      <alignment horizontal="center"/>
    </xf>
    <xf numFmtId="43" fontId="9" fillId="3" borderId="1" xfId="1" applyFont="1" applyFill="1" applyBorder="1" applyAlignment="1">
      <alignment horizontal="center"/>
    </xf>
    <xf numFmtId="43" fontId="19" fillId="3" borderId="2" xfId="1" applyFont="1" applyFill="1" applyBorder="1" applyAlignment="1">
      <alignment horizontal="center"/>
    </xf>
    <xf numFmtId="43" fontId="18" fillId="3" borderId="18" xfId="1" applyFont="1" applyFill="1" applyBorder="1" applyAlignment="1">
      <alignment horizontal="center"/>
    </xf>
    <xf numFmtId="0" fontId="1" fillId="3" borderId="59" xfId="0" applyFont="1" applyFill="1" applyBorder="1"/>
    <xf numFmtId="43" fontId="1" fillId="3" borderId="62" xfId="1" applyFont="1" applyFill="1" applyBorder="1"/>
    <xf numFmtId="0" fontId="2" fillId="3" borderId="0" xfId="0" applyFont="1" applyFill="1"/>
    <xf numFmtId="43" fontId="16" fillId="3" borderId="41" xfId="1" applyFont="1" applyFill="1" applyBorder="1"/>
    <xf numFmtId="43" fontId="1" fillId="3" borderId="2" xfId="1" applyFont="1" applyFill="1" applyBorder="1" applyAlignment="1"/>
    <xf numFmtId="0" fontId="27" fillId="3" borderId="23" xfId="0" applyFont="1" applyFill="1" applyBorder="1" applyAlignment="1">
      <alignment horizontal="center" vertical="center"/>
    </xf>
    <xf numFmtId="43" fontId="26" fillId="3" borderId="42" xfId="1" applyFont="1" applyFill="1" applyBorder="1" applyAlignment="1">
      <alignment vertical="center"/>
    </xf>
    <xf numFmtId="0" fontId="27" fillId="3" borderId="27" xfId="0" applyFont="1" applyFill="1" applyBorder="1" applyAlignment="1">
      <alignment horizontal="left" vertical="center" wrapText="1"/>
    </xf>
    <xf numFmtId="43" fontId="8" fillId="3" borderId="16" xfId="1" applyFont="1" applyFill="1" applyBorder="1"/>
    <xf numFmtId="43" fontId="8" fillId="3" borderId="16" xfId="1" applyFont="1" applyFill="1" applyBorder="1" applyAlignment="1">
      <alignment horizontal="center"/>
    </xf>
    <xf numFmtId="43" fontId="52" fillId="3" borderId="2" xfId="1" applyFont="1" applyFill="1" applyBorder="1"/>
    <xf numFmtId="43" fontId="51" fillId="3" borderId="2" xfId="1" applyFont="1" applyFill="1" applyBorder="1"/>
    <xf numFmtId="43" fontId="19" fillId="3" borderId="2" xfId="1" applyFont="1" applyFill="1" applyBorder="1"/>
    <xf numFmtId="43" fontId="19" fillId="3" borderId="16" xfId="1" applyFont="1" applyFill="1" applyBorder="1"/>
    <xf numFmtId="43" fontId="19" fillId="3" borderId="16" xfId="1" applyFont="1" applyFill="1" applyBorder="1" applyAlignment="1">
      <alignment horizontal="center"/>
    </xf>
    <xf numFmtId="43" fontId="19" fillId="3" borderId="23" xfId="1" applyFont="1" applyFill="1" applyBorder="1"/>
    <xf numFmtId="43" fontId="19" fillId="3" borderId="23" xfId="1" applyFont="1" applyFill="1" applyBorder="1" applyAlignment="1">
      <alignment horizontal="center"/>
    </xf>
    <xf numFmtId="43" fontId="57" fillId="3" borderId="21" xfId="1" applyFont="1" applyFill="1" applyBorder="1"/>
    <xf numFmtId="43" fontId="1" fillId="3" borderId="2" xfId="1" applyFont="1" applyFill="1" applyBorder="1" applyAlignment="1">
      <alignment horizontal="right"/>
    </xf>
    <xf numFmtId="43" fontId="19" fillId="0" borderId="2" xfId="1" applyFont="1" applyFill="1" applyBorder="1"/>
    <xf numFmtId="43" fontId="19" fillId="0" borderId="23" xfId="1" applyFont="1" applyFill="1" applyBorder="1"/>
    <xf numFmtId="43" fontId="15" fillId="3" borderId="63" xfId="1" applyFont="1" applyFill="1" applyBorder="1" applyAlignment="1">
      <alignment horizontal="center" vertical="center"/>
    </xf>
    <xf numFmtId="43" fontId="7" fillId="0" borderId="1" xfId="1" applyFont="1" applyFill="1" applyBorder="1"/>
    <xf numFmtId="43" fontId="9" fillId="0" borderId="2" xfId="1" applyFont="1" applyFill="1" applyBorder="1"/>
    <xf numFmtId="43" fontId="55" fillId="3" borderId="2" xfId="1" applyFont="1" applyFill="1" applyBorder="1"/>
    <xf numFmtId="43" fontId="2" fillId="3" borderId="43" xfId="1" applyFont="1" applyFill="1" applyBorder="1" applyAlignment="1">
      <alignment horizontal="center"/>
    </xf>
    <xf numFmtId="4" fontId="7" fillId="7" borderId="40" xfId="0" applyNumberFormat="1" applyFont="1" applyFill="1" applyBorder="1" applyAlignment="1">
      <alignment horizontal="center" vertical="center" wrapText="1"/>
    </xf>
    <xf numFmtId="4" fontId="7" fillId="7" borderId="9" xfId="0" applyNumberFormat="1" applyFont="1" applyFill="1" applyBorder="1" applyAlignment="1">
      <alignment horizontal="center" vertical="center"/>
    </xf>
    <xf numFmtId="4" fontId="7" fillId="7" borderId="9" xfId="0" applyNumberFormat="1" applyFont="1" applyFill="1" applyBorder="1" applyAlignment="1">
      <alignment horizontal="center" vertical="center" wrapText="1"/>
    </xf>
    <xf numFmtId="4" fontId="58" fillId="7" borderId="9" xfId="0" applyNumberFormat="1" applyFont="1" applyFill="1" applyBorder="1" applyAlignment="1">
      <alignment horizontal="center" vertical="center"/>
    </xf>
    <xf numFmtId="4" fontId="7" fillId="7" borderId="9" xfId="3" applyNumberFormat="1" applyFont="1" applyFill="1" applyBorder="1" applyAlignment="1">
      <alignment horizontal="center" vertical="center"/>
    </xf>
    <xf numFmtId="4" fontId="7" fillId="7" borderId="63" xfId="0" applyNumberFormat="1" applyFont="1" applyFill="1" applyBorder="1" applyAlignment="1">
      <alignment horizontal="center" vertical="center"/>
    </xf>
    <xf numFmtId="4" fontId="7" fillId="7" borderId="64" xfId="0" applyNumberFormat="1" applyFont="1" applyFill="1" applyBorder="1" applyAlignment="1">
      <alignment horizontal="center" vertical="center"/>
    </xf>
    <xf numFmtId="43" fontId="7" fillId="0" borderId="0" xfId="1" applyFont="1" applyBorder="1" applyAlignment="1">
      <alignment horizontal="center" vertical="justify"/>
    </xf>
    <xf numFmtId="43" fontId="7" fillId="0" borderId="0" xfId="1" applyFont="1" applyBorder="1"/>
    <xf numFmtId="43" fontId="7" fillId="7" borderId="40" xfId="1" applyFont="1" applyFill="1" applyBorder="1" applyAlignment="1">
      <alignment horizontal="center" vertical="center" wrapText="1"/>
    </xf>
    <xf numFmtId="43" fontId="7" fillId="3" borderId="64" xfId="1" applyFont="1" applyFill="1" applyBorder="1" applyAlignment="1">
      <alignment horizontal="center" vertical="center"/>
    </xf>
    <xf numFmtId="43" fontId="7" fillId="7" borderId="9" xfId="1" applyFont="1" applyFill="1" applyBorder="1" applyAlignment="1">
      <alignment horizontal="center" vertical="center"/>
    </xf>
    <xf numFmtId="43" fontId="7" fillId="7" borderId="9" xfId="1" applyFont="1" applyFill="1" applyBorder="1" applyAlignment="1">
      <alignment horizontal="center" vertical="center" wrapText="1"/>
    </xf>
    <xf numFmtId="43" fontId="58" fillId="7" borderId="9" xfId="1" applyFont="1" applyFill="1" applyBorder="1" applyAlignment="1">
      <alignment horizontal="center" vertical="center"/>
    </xf>
    <xf numFmtId="43" fontId="7" fillId="7" borderId="63" xfId="1" applyFont="1" applyFill="1" applyBorder="1" applyAlignment="1">
      <alignment horizontal="center" vertical="center"/>
    </xf>
    <xf numFmtId="43" fontId="7" fillId="3" borderId="22" xfId="1" applyFont="1" applyFill="1" applyBorder="1" applyAlignment="1">
      <alignment horizontal="center"/>
    </xf>
    <xf numFmtId="43" fontId="7" fillId="3" borderId="24" xfId="1" applyFont="1" applyFill="1" applyBorder="1"/>
    <xf numFmtId="43" fontId="52" fillId="3" borderId="1" xfId="1" applyFont="1" applyFill="1" applyBorder="1"/>
    <xf numFmtId="43" fontId="52" fillId="3" borderId="26" xfId="1" applyFont="1" applyFill="1" applyBorder="1"/>
    <xf numFmtId="43" fontId="52" fillId="0" borderId="0" xfId="1" applyFont="1"/>
    <xf numFmtId="43" fontId="7" fillId="3" borderId="19" xfId="1" applyFont="1" applyFill="1" applyBorder="1" applyAlignment="1">
      <alignment horizontal="center"/>
    </xf>
    <xf numFmtId="43" fontId="7" fillId="3" borderId="15" xfId="1" applyFont="1" applyFill="1" applyBorder="1"/>
    <xf numFmtId="43" fontId="52" fillId="3" borderId="41" xfId="1" applyFont="1" applyFill="1" applyBorder="1"/>
    <xf numFmtId="43" fontId="8" fillId="3" borderId="19" xfId="1" applyFont="1" applyFill="1" applyBorder="1" applyAlignment="1">
      <alignment horizontal="center"/>
    </xf>
    <xf numFmtId="43" fontId="8" fillId="3" borderId="15" xfId="1" applyFont="1" applyFill="1" applyBorder="1"/>
    <xf numFmtId="43" fontId="8" fillId="3" borderId="27" xfId="1" applyFont="1" applyFill="1" applyBorder="1"/>
    <xf numFmtId="43" fontId="52" fillId="3" borderId="23" xfId="1" applyFont="1" applyFill="1" applyBorder="1"/>
    <xf numFmtId="43" fontId="52" fillId="3" borderId="28" xfId="1" applyFont="1" applyFill="1" applyBorder="1"/>
    <xf numFmtId="43" fontId="52" fillId="3" borderId="19" xfId="1" applyFont="1" applyFill="1" applyBorder="1" applyAlignment="1">
      <alignment horizontal="center"/>
    </xf>
    <xf numFmtId="43" fontId="8" fillId="3" borderId="65" xfId="1" applyFont="1" applyFill="1" applyBorder="1"/>
    <xf numFmtId="43" fontId="52" fillId="3" borderId="0" xfId="1" applyFont="1" applyFill="1" applyBorder="1" applyAlignment="1">
      <alignment horizontal="center"/>
    </xf>
    <xf numFmtId="43" fontId="52" fillId="3" borderId="0" xfId="1" applyFont="1" applyFill="1" applyBorder="1"/>
    <xf numFmtId="43" fontId="52" fillId="0" borderId="0" xfId="1" applyFont="1" applyBorder="1"/>
    <xf numFmtId="43" fontId="7" fillId="3" borderId="0" xfId="1" applyFont="1" applyFill="1" applyBorder="1" applyAlignment="1">
      <alignment horizontal="center" vertical="justify"/>
    </xf>
    <xf numFmtId="43" fontId="7" fillId="7" borderId="64" xfId="1" applyFont="1" applyFill="1" applyBorder="1" applyAlignment="1">
      <alignment horizontal="center" vertical="center"/>
    </xf>
    <xf numFmtId="43" fontId="8" fillId="3" borderId="66" xfId="1" applyFont="1" applyFill="1" applyBorder="1" applyAlignment="1">
      <alignment horizontal="center"/>
    </xf>
    <xf numFmtId="43" fontId="8" fillId="3" borderId="67" xfId="1" applyFont="1" applyFill="1" applyBorder="1" applyAlignment="1">
      <alignment horizontal="center"/>
    </xf>
    <xf numFmtId="43" fontId="7" fillId="3" borderId="22" xfId="1" applyFont="1" applyFill="1" applyBorder="1"/>
    <xf numFmtId="43" fontId="52" fillId="3" borderId="68" xfId="1" applyFont="1" applyFill="1" applyBorder="1"/>
    <xf numFmtId="43" fontId="8" fillId="3" borderId="69" xfId="1" applyFont="1" applyFill="1" applyBorder="1" applyAlignment="1">
      <alignment horizontal="center"/>
    </xf>
    <xf numFmtId="43" fontId="8" fillId="3" borderId="59" xfId="1" applyFont="1" applyFill="1" applyBorder="1" applyAlignment="1">
      <alignment horizontal="center"/>
    </xf>
    <xf numFmtId="43" fontId="8" fillId="3" borderId="65" xfId="1" applyFont="1" applyFill="1" applyBorder="1" applyAlignment="1">
      <alignment horizontal="center"/>
    </xf>
    <xf numFmtId="43" fontId="52" fillId="0" borderId="0" xfId="1" applyFont="1" applyBorder="1" applyAlignment="1">
      <alignment horizontal="center"/>
    </xf>
    <xf numFmtId="43" fontId="52" fillId="0" borderId="7" xfId="1" applyFont="1" applyBorder="1" applyAlignment="1">
      <alignment horizontal="center"/>
    </xf>
    <xf numFmtId="43" fontId="52" fillId="0" borderId="7" xfId="1" applyFont="1" applyBorder="1"/>
    <xf numFmtId="43" fontId="2" fillId="3" borderId="70" xfId="1" applyFont="1" applyFill="1" applyBorder="1" applyAlignment="1">
      <alignment horizontal="center"/>
    </xf>
    <xf numFmtId="43" fontId="2" fillId="3" borderId="71" xfId="1" applyFont="1" applyFill="1" applyBorder="1"/>
    <xf numFmtId="43" fontId="2" fillId="3" borderId="17" xfId="1" applyFont="1" applyFill="1" applyBorder="1" applyAlignment="1">
      <alignment horizontal="center" vertical="center"/>
    </xf>
    <xf numFmtId="43" fontId="2" fillId="3" borderId="17" xfId="1" applyFont="1" applyFill="1" applyBorder="1"/>
    <xf numFmtId="43" fontId="51" fillId="3" borderId="17" xfId="1" applyFont="1" applyFill="1" applyBorder="1"/>
    <xf numFmtId="43" fontId="51" fillId="3" borderId="37" xfId="1" applyFont="1" applyFill="1" applyBorder="1"/>
    <xf numFmtId="43" fontId="2" fillId="3" borderId="66" xfId="1" applyFont="1" applyFill="1" applyBorder="1" applyAlignment="1">
      <alignment horizontal="center"/>
    </xf>
    <xf numFmtId="43" fontId="11" fillId="3" borderId="18" xfId="1" applyFont="1" applyFill="1" applyBorder="1"/>
    <xf numFmtId="43" fontId="2" fillId="3" borderId="2" xfId="1" applyFont="1" applyFill="1" applyBorder="1" applyAlignment="1">
      <alignment horizontal="center" vertical="center"/>
    </xf>
    <xf numFmtId="43" fontId="51" fillId="3" borderId="41" xfId="1" applyFont="1" applyFill="1" applyBorder="1"/>
    <xf numFmtId="43" fontId="1" fillId="3" borderId="66" xfId="1" applyFont="1" applyFill="1" applyBorder="1" applyAlignment="1">
      <alignment horizontal="center"/>
    </xf>
    <xf numFmtId="43" fontId="1" fillId="3" borderId="2" xfId="1" applyFont="1" applyFill="1" applyBorder="1" applyAlignment="1">
      <alignment horizontal="center" vertical="center"/>
    </xf>
    <xf numFmtId="43" fontId="1" fillId="3" borderId="21" xfId="1" applyFont="1" applyFill="1" applyBorder="1" applyAlignment="1">
      <alignment horizontal="center" vertical="center"/>
    </xf>
    <xf numFmtId="43" fontId="1" fillId="3" borderId="65" xfId="1" applyFont="1" applyFill="1" applyBorder="1" applyAlignment="1">
      <alignment horizontal="center"/>
    </xf>
    <xf numFmtId="43" fontId="1" fillId="3" borderId="27" xfId="1" applyFont="1" applyFill="1" applyBorder="1"/>
    <xf numFmtId="43" fontId="51" fillId="3" borderId="28" xfId="1" applyFont="1" applyFill="1" applyBorder="1"/>
    <xf numFmtId="43" fontId="2" fillId="3" borderId="72" xfId="1" applyFont="1" applyFill="1" applyBorder="1" applyAlignment="1">
      <alignment horizontal="center"/>
    </xf>
    <xf numFmtId="43" fontId="2" fillId="3" borderId="73" xfId="1" applyFont="1" applyFill="1" applyBorder="1"/>
    <xf numFmtId="43" fontId="2" fillId="3" borderId="1" xfId="1" applyFont="1" applyFill="1" applyBorder="1" applyAlignment="1">
      <alignment horizontal="center" vertical="center"/>
    </xf>
    <xf numFmtId="43" fontId="51" fillId="3" borderId="1" xfId="1" applyFont="1" applyFill="1" applyBorder="1"/>
    <xf numFmtId="43" fontId="51" fillId="3" borderId="26" xfId="1" applyFont="1" applyFill="1" applyBorder="1"/>
    <xf numFmtId="43" fontId="51" fillId="0" borderId="0" xfId="1" applyFont="1" applyBorder="1"/>
    <xf numFmtId="43" fontId="51" fillId="3" borderId="66" xfId="1" applyFont="1" applyFill="1" applyBorder="1" applyAlignment="1">
      <alignment horizontal="center"/>
    </xf>
    <xf numFmtId="43" fontId="1" fillId="3" borderId="19" xfId="1" applyFont="1" applyFill="1" applyBorder="1" applyAlignment="1">
      <alignment horizontal="center"/>
    </xf>
    <xf numFmtId="43" fontId="1" fillId="3" borderId="15" xfId="1" applyFont="1" applyFill="1" applyBorder="1"/>
    <xf numFmtId="43" fontId="2" fillId="3" borderId="18" xfId="1" applyFont="1" applyFill="1" applyBorder="1"/>
    <xf numFmtId="43" fontId="1" fillId="3" borderId="65" xfId="1" applyFont="1" applyFill="1" applyBorder="1"/>
    <xf numFmtId="43" fontId="1" fillId="3" borderId="69" xfId="1" applyFont="1" applyFill="1" applyBorder="1" applyAlignment="1">
      <alignment horizontal="center"/>
    </xf>
    <xf numFmtId="43" fontId="1" fillId="3" borderId="61" xfId="1" applyFont="1" applyFill="1" applyBorder="1"/>
    <xf numFmtId="43" fontId="1" fillId="3" borderId="23" xfId="1" applyFont="1" applyFill="1" applyBorder="1" applyAlignment="1">
      <alignment horizontal="center" vertical="center"/>
    </xf>
    <xf numFmtId="43" fontId="51" fillId="3" borderId="0" xfId="1" applyFont="1" applyFill="1" applyAlignment="1">
      <alignment horizontal="center"/>
    </xf>
    <xf numFmtId="43" fontId="51" fillId="3" borderId="0" xfId="1" applyFont="1" applyFill="1" applyAlignment="1">
      <alignment horizontal="center" vertical="center"/>
    </xf>
    <xf numFmtId="43" fontId="51" fillId="3" borderId="0" xfId="1" applyFont="1" applyFill="1" applyBorder="1" applyAlignment="1">
      <alignment horizontal="center"/>
    </xf>
    <xf numFmtId="43" fontId="51" fillId="3" borderId="0" xfId="1" applyFont="1" applyFill="1" applyBorder="1"/>
    <xf numFmtId="43" fontId="2" fillId="3" borderId="74" xfId="1" applyFont="1" applyFill="1" applyBorder="1" applyAlignment="1">
      <alignment horizontal="center"/>
    </xf>
    <xf numFmtId="43" fontId="2" fillId="3" borderId="13" xfId="1" applyFont="1" applyFill="1" applyBorder="1"/>
    <xf numFmtId="43" fontId="2" fillId="3" borderId="19" xfId="1" applyFont="1" applyFill="1" applyBorder="1" applyAlignment="1">
      <alignment horizontal="center"/>
    </xf>
    <xf numFmtId="43" fontId="2" fillId="3" borderId="15" xfId="1" applyFont="1" applyFill="1" applyBorder="1"/>
    <xf numFmtId="43" fontId="51" fillId="3" borderId="19" xfId="1" applyFont="1" applyFill="1" applyBorder="1" applyAlignment="1">
      <alignment horizontal="center"/>
    </xf>
    <xf numFmtId="43" fontId="54" fillId="3" borderId="17" xfId="1" applyFont="1" applyFill="1" applyBorder="1"/>
    <xf numFmtId="43" fontId="54" fillId="3" borderId="17" xfId="1" applyFont="1" applyFill="1" applyBorder="1" applyAlignment="1">
      <alignment horizontal="center"/>
    </xf>
    <xf numFmtId="43" fontId="54" fillId="0" borderId="0" xfId="1" applyFont="1"/>
    <xf numFmtId="43" fontId="54" fillId="3" borderId="2" xfId="1" applyFont="1" applyFill="1" applyBorder="1"/>
    <xf numFmtId="43" fontId="52" fillId="3" borderId="2" xfId="1" applyFont="1" applyFill="1" applyBorder="1" applyAlignment="1">
      <alignment horizontal="center"/>
    </xf>
    <xf numFmtId="43" fontId="54" fillId="3" borderId="23" xfId="1" applyFont="1" applyFill="1" applyBorder="1"/>
    <xf numFmtId="43" fontId="52" fillId="3" borderId="23" xfId="1" applyFont="1" applyFill="1" applyBorder="1" applyAlignment="1">
      <alignment horizontal="center"/>
    </xf>
    <xf numFmtId="43" fontId="1" fillId="3" borderId="59" xfId="1" applyFont="1" applyFill="1" applyBorder="1" applyAlignment="1">
      <alignment horizontal="center"/>
    </xf>
    <xf numFmtId="43" fontId="2" fillId="3" borderId="22" xfId="1" applyFont="1" applyFill="1" applyBorder="1"/>
    <xf numFmtId="43" fontId="51" fillId="3" borderId="68" xfId="1" applyFont="1" applyFill="1" applyBorder="1"/>
    <xf numFmtId="43" fontId="7" fillId="3" borderId="20" xfId="1" applyFont="1" applyFill="1" applyBorder="1" applyAlignment="1">
      <alignment horizontal="right" vertical="justify"/>
    </xf>
    <xf numFmtId="43" fontId="51" fillId="3" borderId="75" xfId="1" applyFont="1" applyFill="1" applyBorder="1"/>
    <xf numFmtId="43" fontId="7" fillId="3" borderId="17" xfId="1" applyFont="1" applyFill="1" applyBorder="1"/>
    <xf numFmtId="43" fontId="8" fillId="3" borderId="20" xfId="1" applyFont="1" applyFill="1" applyBorder="1" applyAlignment="1">
      <alignment horizontal="right" vertical="justify"/>
    </xf>
    <xf numFmtId="43" fontId="8" fillId="3" borderId="15" xfId="1" applyFont="1" applyFill="1" applyBorder="1" applyAlignment="1">
      <alignment vertical="top" wrapText="1"/>
    </xf>
    <xf numFmtId="43" fontId="51" fillId="0" borderId="0" xfId="1" applyFont="1" applyAlignment="1">
      <alignment horizontal="center"/>
    </xf>
    <xf numFmtId="43" fontId="51" fillId="0" borderId="0" xfId="1" applyFont="1" applyAlignment="1">
      <alignment horizontal="center" vertical="center"/>
    </xf>
    <xf numFmtId="43" fontId="1" fillId="3" borderId="17" xfId="1" applyFont="1" applyFill="1" applyBorder="1" applyAlignment="1">
      <alignment horizontal="center"/>
    </xf>
    <xf numFmtId="43" fontId="52" fillId="3" borderId="17" xfId="1" applyFont="1" applyFill="1" applyBorder="1" applyAlignment="1">
      <alignment horizontal="center"/>
    </xf>
    <xf numFmtId="43" fontId="8" fillId="7" borderId="9" xfId="1" applyFont="1" applyFill="1" applyBorder="1" applyAlignment="1">
      <alignment horizontal="center" vertical="center" wrapText="1"/>
    </xf>
    <xf numFmtId="43" fontId="8" fillId="7" borderId="40" xfId="1" applyFont="1" applyFill="1" applyBorder="1" applyAlignment="1">
      <alignment vertical="center"/>
    </xf>
    <xf numFmtId="43" fontId="50" fillId="0" borderId="0" xfId="1" applyFont="1"/>
    <xf numFmtId="43" fontId="9" fillId="7" borderId="40" xfId="1" applyFont="1" applyFill="1" applyBorder="1" applyAlignment="1">
      <alignment horizontal="center" vertical="center" wrapText="1"/>
    </xf>
    <xf numFmtId="43" fontId="9" fillId="7" borderId="64" xfId="1" applyFont="1" applyFill="1" applyBorder="1" applyAlignment="1">
      <alignment horizontal="center" vertical="center"/>
    </xf>
    <xf numFmtId="43" fontId="9" fillId="7" borderId="9" xfId="1" applyFont="1" applyFill="1" applyBorder="1" applyAlignment="1">
      <alignment horizontal="center" vertical="center"/>
    </xf>
    <xf numFmtId="43" fontId="9" fillId="7" borderId="9" xfId="1" applyFont="1" applyFill="1" applyBorder="1" applyAlignment="1">
      <alignment horizontal="center" vertical="center" wrapText="1"/>
    </xf>
    <xf numFmtId="43" fontId="59" fillId="7" borderId="9" xfId="1" applyFont="1" applyFill="1" applyBorder="1" applyAlignment="1">
      <alignment horizontal="center" vertical="center"/>
    </xf>
    <xf numFmtId="43" fontId="9" fillId="7" borderId="63" xfId="1" applyFont="1" applyFill="1" applyBorder="1" applyAlignment="1">
      <alignment horizontal="center" vertical="center"/>
    </xf>
    <xf numFmtId="43" fontId="20" fillId="3" borderId="74" xfId="1" applyFont="1" applyFill="1" applyBorder="1"/>
    <xf numFmtId="43" fontId="20" fillId="3" borderId="13" xfId="1" applyFont="1" applyFill="1" applyBorder="1"/>
    <xf numFmtId="43" fontId="20" fillId="3" borderId="17" xfId="1" applyFont="1" applyFill="1" applyBorder="1" applyAlignment="1">
      <alignment horizontal="center"/>
    </xf>
    <xf numFmtId="43" fontId="20" fillId="3" borderId="17" xfId="1" applyFont="1" applyFill="1" applyBorder="1"/>
    <xf numFmtId="43" fontId="55" fillId="3" borderId="17" xfId="1" applyFont="1" applyFill="1" applyBorder="1"/>
    <xf numFmtId="43" fontId="55" fillId="3" borderId="14" xfId="1" applyFont="1" applyFill="1" applyBorder="1"/>
    <xf numFmtId="43" fontId="55" fillId="3" borderId="37" xfId="1" applyFont="1" applyFill="1" applyBorder="1"/>
    <xf numFmtId="43" fontId="20" fillId="3" borderId="19" xfId="1" applyFont="1" applyFill="1" applyBorder="1"/>
    <xf numFmtId="43" fontId="20" fillId="3" borderId="15" xfId="1" applyFont="1" applyFill="1" applyBorder="1"/>
    <xf numFmtId="43" fontId="55" fillId="3" borderId="20" xfId="1" applyFont="1" applyFill="1" applyBorder="1"/>
    <xf numFmtId="43" fontId="55" fillId="3" borderId="41" xfId="1" applyFont="1" applyFill="1" applyBorder="1"/>
    <xf numFmtId="43" fontId="18" fillId="3" borderId="19" xfId="1" applyFont="1" applyFill="1" applyBorder="1"/>
    <xf numFmtId="43" fontId="18" fillId="3" borderId="15" xfId="1" applyFont="1" applyFill="1" applyBorder="1"/>
    <xf numFmtId="43" fontId="18" fillId="3" borderId="65" xfId="1" applyFont="1" applyFill="1" applyBorder="1"/>
    <xf numFmtId="43" fontId="18" fillId="3" borderId="27" xfId="1" applyFont="1" applyFill="1" applyBorder="1"/>
    <xf numFmtId="43" fontId="55" fillId="3" borderId="28" xfId="1" applyFont="1" applyFill="1" applyBorder="1"/>
    <xf numFmtId="43" fontId="9" fillId="3" borderId="64" xfId="1" applyFont="1" applyFill="1" applyBorder="1" applyAlignment="1">
      <alignment horizontal="center" vertical="justify"/>
    </xf>
    <xf numFmtId="43" fontId="50" fillId="6" borderId="0" xfId="1" applyFont="1" applyFill="1"/>
    <xf numFmtId="43" fontId="20" fillId="3" borderId="22" xfId="1" applyFont="1" applyFill="1" applyBorder="1"/>
    <xf numFmtId="43" fontId="20" fillId="3" borderId="24" xfId="1" applyFont="1" applyFill="1" applyBorder="1"/>
    <xf numFmtId="43" fontId="55" fillId="3" borderId="25" xfId="1" applyFont="1" applyFill="1" applyBorder="1"/>
    <xf numFmtId="43" fontId="55" fillId="3" borderId="26" xfId="1" applyFont="1" applyFill="1" applyBorder="1"/>
    <xf numFmtId="43" fontId="56" fillId="3" borderId="2" xfId="1" applyFont="1" applyFill="1" applyBorder="1"/>
    <xf numFmtId="43" fontId="55" fillId="3" borderId="1" xfId="1" applyFont="1" applyFill="1" applyBorder="1"/>
    <xf numFmtId="43" fontId="55" fillId="3" borderId="15" xfId="1" applyFont="1" applyFill="1" applyBorder="1"/>
    <xf numFmtId="43" fontId="18" fillId="3" borderId="19" xfId="1" applyFont="1" applyFill="1" applyBorder="1" applyAlignment="1">
      <alignment horizontal="right"/>
    </xf>
    <xf numFmtId="43" fontId="56" fillId="3" borderId="23" xfId="1" applyFont="1" applyFill="1" applyBorder="1"/>
    <xf numFmtId="43" fontId="7" fillId="0" borderId="13" xfId="1" applyFont="1" applyFill="1" applyBorder="1" applyAlignment="1">
      <alignment horizontal="right" vertical="top"/>
    </xf>
    <xf numFmtId="43" fontId="34" fillId="0" borderId="17" xfId="1" applyFont="1" applyFill="1" applyBorder="1" applyAlignment="1">
      <alignment horizontal="center" vertical="center" wrapText="1"/>
    </xf>
    <xf numFmtId="43" fontId="7" fillId="0" borderId="2" xfId="1" applyFont="1" applyFill="1" applyBorder="1" applyAlignment="1">
      <alignment horizontal="center"/>
    </xf>
    <xf numFmtId="43" fontId="7" fillId="0" borderId="2" xfId="1" applyFont="1" applyFill="1" applyBorder="1" applyAlignment="1">
      <alignment horizontal="right"/>
    </xf>
    <xf numFmtId="43" fontId="35" fillId="0" borderId="2" xfId="1" applyFont="1" applyFill="1" applyBorder="1"/>
    <xf numFmtId="43" fontId="7" fillId="0" borderId="2" xfId="1" applyFont="1" applyFill="1" applyBorder="1"/>
    <xf numFmtId="43" fontId="7" fillId="0" borderId="41" xfId="1" applyFont="1" applyFill="1" applyBorder="1"/>
    <xf numFmtId="43" fontId="7" fillId="0" borderId="0" xfId="1" applyFont="1" applyFill="1"/>
    <xf numFmtId="43" fontId="9" fillId="0" borderId="15" xfId="1" applyFont="1" applyFill="1" applyBorder="1" applyAlignment="1">
      <alignment horizontal="right" vertical="top"/>
    </xf>
    <xf numFmtId="43" fontId="33" fillId="0" borderId="2" xfId="1" applyFont="1" applyFill="1" applyBorder="1" applyAlignment="1">
      <alignment horizontal="center" vertical="center" wrapText="1"/>
    </xf>
    <xf numFmtId="43" fontId="9" fillId="0" borderId="2" xfId="1" applyFont="1" applyFill="1" applyBorder="1" applyAlignment="1">
      <alignment horizontal="center"/>
    </xf>
    <xf numFmtId="43" fontId="9" fillId="0" borderId="2" xfId="1" applyFont="1" applyFill="1" applyBorder="1" applyAlignment="1">
      <alignment horizontal="right"/>
    </xf>
    <xf numFmtId="43" fontId="36" fillId="0" borderId="2" xfId="1" applyFont="1" applyFill="1" applyBorder="1"/>
    <xf numFmtId="43" fontId="9" fillId="0" borderId="41" xfId="1" applyFont="1" applyFill="1" applyBorder="1"/>
    <xf numFmtId="43" fontId="19" fillId="0" borderId="15" xfId="1" applyFont="1" applyFill="1" applyBorder="1" applyAlignment="1">
      <alignment horizontal="right" vertical="top"/>
    </xf>
    <xf numFmtId="43" fontId="19" fillId="0" borderId="2" xfId="1" applyFont="1" applyFill="1" applyBorder="1" applyAlignment="1">
      <alignment horizontal="justify" vertical="top" wrapText="1"/>
    </xf>
    <xf numFmtId="43" fontId="19" fillId="0" borderId="2" xfId="1" applyFont="1" applyFill="1" applyBorder="1" applyAlignment="1">
      <alignment horizontal="left" vertical="top" wrapText="1" indent="2"/>
    </xf>
    <xf numFmtId="43" fontId="19" fillId="0" borderId="2" xfId="1" applyFont="1" applyFill="1" applyBorder="1" applyAlignment="1">
      <alignment horizontal="center"/>
    </xf>
    <xf numFmtId="43" fontId="19" fillId="0" borderId="2" xfId="1" applyFont="1" applyFill="1" applyBorder="1" applyAlignment="1">
      <alignment horizontal="right"/>
    </xf>
    <xf numFmtId="43" fontId="19" fillId="0" borderId="15" xfId="1" quotePrefix="1" applyFont="1" applyFill="1" applyBorder="1" applyAlignment="1">
      <alignment horizontal="right" vertical="top"/>
    </xf>
    <xf numFmtId="43" fontId="19" fillId="0" borderId="27" xfId="1" applyFont="1" applyFill="1" applyBorder="1" applyAlignment="1">
      <alignment horizontal="right" vertical="top"/>
    </xf>
    <xf numFmtId="43" fontId="19" fillId="0" borderId="23" xfId="1" applyFont="1" applyFill="1" applyBorder="1" applyAlignment="1">
      <alignment horizontal="left" vertical="top" wrapText="1" indent="2"/>
    </xf>
    <xf numFmtId="43" fontId="19" fillId="0" borderId="23" xfId="1" applyFont="1" applyFill="1" applyBorder="1" applyAlignment="1">
      <alignment horizontal="center"/>
    </xf>
    <xf numFmtId="43" fontId="19" fillId="0" borderId="23" xfId="1" applyFont="1" applyFill="1" applyBorder="1" applyAlignment="1">
      <alignment horizontal="right"/>
    </xf>
    <xf numFmtId="43" fontId="18" fillId="3" borderId="1" xfId="1" applyFont="1" applyFill="1" applyBorder="1"/>
    <xf numFmtId="43" fontId="18" fillId="3" borderId="25" xfId="1" applyFont="1" applyFill="1" applyBorder="1"/>
    <xf numFmtId="43" fontId="8" fillId="0" borderId="1" xfId="1" applyFont="1" applyFill="1" applyBorder="1"/>
    <xf numFmtId="43" fontId="8" fillId="3" borderId="0" xfId="1" applyFont="1" applyFill="1" applyBorder="1" applyAlignment="1">
      <alignment horizontal="center" vertical="justify"/>
    </xf>
    <xf numFmtId="43" fontId="8" fillId="3" borderId="0" xfId="1" applyFont="1" applyFill="1" applyBorder="1"/>
    <xf numFmtId="43" fontId="8" fillId="0" borderId="0" xfId="1" applyFont="1" applyBorder="1"/>
    <xf numFmtId="43" fontId="1" fillId="3" borderId="74" xfId="1" applyFont="1" applyFill="1" applyBorder="1"/>
    <xf numFmtId="43" fontId="18" fillId="3" borderId="13" xfId="1" applyFont="1" applyFill="1" applyBorder="1"/>
    <xf numFmtId="43" fontId="18" fillId="3" borderId="17" xfId="1" applyFont="1" applyFill="1" applyBorder="1" applyAlignment="1">
      <alignment horizontal="center"/>
    </xf>
    <xf numFmtId="43" fontId="18" fillId="3" borderId="17" xfId="1" applyFont="1" applyFill="1" applyBorder="1"/>
    <xf numFmtId="43" fontId="1" fillId="3" borderId="19" xfId="1" applyFont="1" applyFill="1" applyBorder="1"/>
    <xf numFmtId="43" fontId="1" fillId="3" borderId="22" xfId="1" applyFont="1" applyFill="1" applyBorder="1"/>
    <xf numFmtId="43" fontId="18" fillId="3" borderId="24" xfId="1" applyFont="1" applyFill="1" applyBorder="1"/>
    <xf numFmtId="43" fontId="57" fillId="3" borderId="2" xfId="1" applyFont="1" applyFill="1" applyBorder="1"/>
    <xf numFmtId="43" fontId="57" fillId="3" borderId="0" xfId="1" applyFont="1" applyFill="1"/>
    <xf numFmtId="43" fontId="1" fillId="3" borderId="24" xfId="1" applyFont="1" applyFill="1" applyBorder="1"/>
    <xf numFmtId="43" fontId="51" fillId="3" borderId="46" xfId="1" applyFont="1" applyFill="1" applyBorder="1"/>
    <xf numFmtId="43" fontId="51" fillId="3" borderId="15" xfId="1" applyFont="1" applyFill="1" applyBorder="1"/>
    <xf numFmtId="43" fontId="55" fillId="3" borderId="21" xfId="1" applyFont="1" applyFill="1" applyBorder="1"/>
    <xf numFmtId="43" fontId="51" fillId="3" borderId="21" xfId="1" applyFont="1" applyFill="1" applyBorder="1"/>
    <xf numFmtId="43" fontId="1" fillId="3" borderId="19" xfId="1" applyFont="1" applyFill="1" applyBorder="1" applyAlignment="1">
      <alignment horizontal="right"/>
    </xf>
    <xf numFmtId="43" fontId="55" fillId="3" borderId="32" xfId="1" applyFont="1" applyFill="1" applyBorder="1"/>
    <xf numFmtId="43" fontId="51" fillId="3" borderId="32" xfId="1" applyFont="1" applyFill="1" applyBorder="1"/>
    <xf numFmtId="43" fontId="55" fillId="3" borderId="0" xfId="1" applyFont="1" applyFill="1"/>
    <xf numFmtId="43" fontId="1" fillId="3" borderId="74" xfId="1" applyFont="1" applyFill="1" applyBorder="1" applyAlignment="1">
      <alignment horizontal="center"/>
    </xf>
    <xf numFmtId="43" fontId="18" fillId="3" borderId="19" xfId="1" applyFont="1" applyFill="1" applyBorder="1" applyAlignment="1">
      <alignment horizontal="center"/>
    </xf>
    <xf numFmtId="43" fontId="55" fillId="3" borderId="19" xfId="1" applyFont="1" applyFill="1" applyBorder="1" applyAlignment="1">
      <alignment horizontal="center"/>
    </xf>
    <xf numFmtId="43" fontId="18" fillId="3" borderId="65" xfId="1" applyFont="1" applyFill="1" applyBorder="1" applyAlignment="1">
      <alignment horizontal="center"/>
    </xf>
    <xf numFmtId="43" fontId="8" fillId="3" borderId="24" xfId="1" applyFont="1" applyFill="1" applyBorder="1" applyAlignment="1">
      <alignment horizontal="right" vertical="top"/>
    </xf>
    <xf numFmtId="43" fontId="37" fillId="3" borderId="1" xfId="1" applyFont="1" applyFill="1" applyBorder="1" applyAlignment="1">
      <alignment horizontal="center" vertical="center" wrapText="1"/>
    </xf>
    <xf numFmtId="43" fontId="38" fillId="3" borderId="1" xfId="1" applyFont="1" applyFill="1" applyBorder="1"/>
    <xf numFmtId="43" fontId="8" fillId="0" borderId="26" xfId="1" applyFont="1" applyFill="1" applyBorder="1"/>
    <xf numFmtId="43" fontId="19" fillId="3" borderId="15" xfId="1" quotePrefix="1" applyFont="1" applyFill="1" applyBorder="1" applyAlignment="1">
      <alignment horizontal="right" vertical="top"/>
    </xf>
    <xf numFmtId="43" fontId="19" fillId="3" borderId="2" xfId="1" applyFont="1" applyFill="1" applyBorder="1" applyAlignment="1">
      <alignment horizontal="justify" vertical="top" wrapText="1"/>
    </xf>
    <xf numFmtId="43" fontId="19" fillId="3" borderId="2" xfId="1" applyFont="1" applyFill="1" applyBorder="1" applyAlignment="1">
      <alignment horizontal="right"/>
    </xf>
    <xf numFmtId="43" fontId="8" fillId="0" borderId="41" xfId="1" applyFont="1" applyFill="1" applyBorder="1"/>
    <xf numFmtId="43" fontId="19" fillId="3" borderId="27" xfId="1" quotePrefix="1" applyFont="1" applyFill="1" applyBorder="1" applyAlignment="1">
      <alignment horizontal="right" vertical="top"/>
    </xf>
    <xf numFmtId="43" fontId="19" fillId="3" borderId="23" xfId="1" applyFont="1" applyFill="1" applyBorder="1" applyAlignment="1">
      <alignment horizontal="justify" vertical="top" wrapText="1"/>
    </xf>
    <xf numFmtId="43" fontId="19" fillId="3" borderId="23" xfId="1" applyFont="1" applyFill="1" applyBorder="1" applyAlignment="1">
      <alignment horizontal="right"/>
    </xf>
    <xf numFmtId="43" fontId="8" fillId="3" borderId="1" xfId="1" applyFont="1" applyFill="1" applyBorder="1" applyAlignment="1">
      <alignment horizontal="right"/>
    </xf>
    <xf numFmtId="43" fontId="19" fillId="3" borderId="15" xfId="1" applyFont="1" applyFill="1" applyBorder="1" applyAlignment="1">
      <alignment horizontal="right" vertical="top"/>
    </xf>
    <xf numFmtId="43" fontId="19" fillId="3" borderId="27" xfId="1" applyFont="1" applyFill="1" applyBorder="1" applyAlignment="1">
      <alignment horizontal="right" vertical="top"/>
    </xf>
    <xf numFmtId="43" fontId="19" fillId="3" borderId="20" xfId="1" applyFont="1" applyFill="1" applyBorder="1" applyAlignment="1">
      <alignment horizontal="right" vertical="justify"/>
    </xf>
    <xf numFmtId="43" fontId="19" fillId="3" borderId="15" xfId="1" applyFont="1" applyFill="1" applyBorder="1"/>
    <xf numFmtId="43" fontId="19" fillId="3" borderId="15" xfId="1" applyFont="1" applyFill="1" applyBorder="1" applyAlignment="1">
      <alignment vertical="top" wrapText="1"/>
    </xf>
    <xf numFmtId="43" fontId="19" fillId="3" borderId="1" xfId="1" applyFont="1" applyFill="1" applyBorder="1"/>
    <xf numFmtId="43" fontId="60" fillId="0" borderId="0" xfId="1" applyFont="1"/>
    <xf numFmtId="43" fontId="20" fillId="3" borderId="43" xfId="1" applyFont="1" applyFill="1" applyBorder="1" applyAlignment="1">
      <alignment horizontal="center"/>
    </xf>
    <xf numFmtId="43" fontId="55" fillId="3" borderId="19" xfId="1" applyFont="1" applyFill="1" applyBorder="1"/>
    <xf numFmtId="43" fontId="20" fillId="7" borderId="40" xfId="1" applyFont="1" applyFill="1" applyBorder="1" applyAlignment="1">
      <alignment horizontal="center" vertical="center" wrapText="1"/>
    </xf>
    <xf numFmtId="43" fontId="20" fillId="7" borderId="64" xfId="1" applyFont="1" applyFill="1" applyBorder="1" applyAlignment="1">
      <alignment horizontal="center" vertical="center"/>
    </xf>
    <xf numFmtId="43" fontId="20" fillId="7" borderId="9" xfId="1" applyFont="1" applyFill="1" applyBorder="1" applyAlignment="1">
      <alignment horizontal="center" vertical="center"/>
    </xf>
    <xf numFmtId="43" fontId="20" fillId="7" borderId="9" xfId="1" applyFont="1" applyFill="1" applyBorder="1" applyAlignment="1">
      <alignment horizontal="center" vertical="center" wrapText="1"/>
    </xf>
    <xf numFmtId="43" fontId="61" fillId="7" borderId="9" xfId="1" applyFont="1" applyFill="1" applyBorder="1" applyAlignment="1">
      <alignment horizontal="center" vertical="center"/>
    </xf>
    <xf numFmtId="43" fontId="20" fillId="7" borderId="63" xfId="1" applyFont="1" applyFill="1" applyBorder="1" applyAlignment="1">
      <alignment horizontal="center" vertical="center"/>
    </xf>
    <xf numFmtId="43" fontId="20" fillId="3" borderId="74" xfId="1" applyFont="1" applyFill="1" applyBorder="1" applyAlignment="1">
      <alignment horizontal="center"/>
    </xf>
    <xf numFmtId="43" fontId="20" fillId="3" borderId="19" xfId="1" applyFont="1" applyFill="1" applyBorder="1" applyAlignment="1">
      <alignment horizontal="center"/>
    </xf>
    <xf numFmtId="43" fontId="56" fillId="3" borderId="43" xfId="1" applyFont="1" applyFill="1" applyBorder="1"/>
    <xf numFmtId="43" fontId="7" fillId="3" borderId="24" xfId="1" applyFont="1" applyFill="1" applyBorder="1" applyAlignment="1">
      <alignment horizontal="right" vertical="top"/>
    </xf>
    <xf numFmtId="43" fontId="34" fillId="3" borderId="1" xfId="1" applyFont="1" applyFill="1" applyBorder="1" applyAlignment="1">
      <alignment horizontal="center" vertical="center" wrapText="1"/>
    </xf>
    <xf numFmtId="43" fontId="35" fillId="3" borderId="1" xfId="1" applyFont="1" applyFill="1" applyBorder="1"/>
    <xf numFmtId="43" fontId="9" fillId="0" borderId="0" xfId="1" applyFont="1" applyFill="1"/>
    <xf numFmtId="43" fontId="18" fillId="3" borderId="59" xfId="1" applyFont="1" applyFill="1" applyBorder="1" applyAlignment="1">
      <alignment horizontal="center"/>
    </xf>
    <xf numFmtId="43" fontId="20" fillId="3" borderId="76" xfId="1" applyFont="1" applyFill="1" applyBorder="1"/>
    <xf numFmtId="43" fontId="55" fillId="3" borderId="68" xfId="1" applyFont="1" applyFill="1" applyBorder="1"/>
    <xf numFmtId="43" fontId="9" fillId="3" borderId="20" xfId="1" applyFont="1" applyFill="1" applyBorder="1" applyAlignment="1">
      <alignment horizontal="right" vertical="justify"/>
    </xf>
    <xf numFmtId="43" fontId="9" fillId="3" borderId="15" xfId="1" applyFont="1" applyFill="1" applyBorder="1"/>
    <xf numFmtId="43" fontId="9" fillId="3" borderId="2" xfId="1" applyFont="1" applyFill="1" applyBorder="1" applyAlignment="1">
      <alignment horizontal="center"/>
    </xf>
    <xf numFmtId="43" fontId="9" fillId="3" borderId="1" xfId="1" applyFont="1" applyFill="1" applyBorder="1"/>
    <xf numFmtId="43" fontId="18" fillId="7" borderId="9" xfId="1" applyFont="1" applyFill="1" applyBorder="1" applyAlignment="1">
      <alignment horizontal="center" vertical="center" wrapText="1"/>
    </xf>
    <xf numFmtId="43" fontId="19" fillId="0" borderId="0" xfId="1" applyFont="1" applyFill="1"/>
    <xf numFmtId="43" fontId="50" fillId="3" borderId="0" xfId="1" applyFont="1" applyFill="1"/>
    <xf numFmtId="43" fontId="56" fillId="3" borderId="20" xfId="1" applyFont="1" applyFill="1" applyBorder="1"/>
    <xf numFmtId="43" fontId="56" fillId="3" borderId="0" xfId="1" applyFont="1" applyFill="1"/>
    <xf numFmtId="43" fontId="8" fillId="0" borderId="2" xfId="1" applyFont="1" applyFill="1" applyBorder="1"/>
    <xf numFmtId="165" fontId="7" fillId="7" borderId="64" xfId="0" applyNumberFormat="1" applyFont="1" applyFill="1" applyBorder="1" applyAlignment="1">
      <alignment horizontal="center" vertical="center"/>
    </xf>
    <xf numFmtId="43" fontId="9" fillId="7" borderId="77" xfId="1" applyFont="1" applyFill="1" applyBorder="1" applyAlignment="1">
      <alignment horizontal="center" vertical="center"/>
    </xf>
    <xf numFmtId="43" fontId="9" fillId="7" borderId="78" xfId="1" applyFont="1" applyFill="1" applyBorder="1" applyAlignment="1">
      <alignment horizontal="center" vertical="center"/>
    </xf>
    <xf numFmtId="43" fontId="9" fillId="7" borderId="79" xfId="1" applyFont="1" applyFill="1" applyBorder="1" applyAlignment="1">
      <alignment horizontal="center" vertical="center"/>
    </xf>
    <xf numFmtId="43" fontId="55" fillId="3" borderId="0" xfId="1" applyFont="1" applyFill="1" applyAlignment="1">
      <alignment horizontal="center"/>
    </xf>
    <xf numFmtId="43" fontId="20" fillId="3" borderId="0" xfId="1" applyFont="1" applyFill="1" applyBorder="1" applyAlignment="1">
      <alignment horizontal="center" vertical="justify"/>
    </xf>
    <xf numFmtId="43" fontId="20" fillId="3" borderId="0" xfId="1" applyFont="1" applyFill="1" applyBorder="1"/>
    <xf numFmtId="43" fontId="19" fillId="3" borderId="59" xfId="1" applyFont="1" applyFill="1" applyBorder="1" applyAlignment="1">
      <alignment horizontal="center"/>
    </xf>
    <xf numFmtId="43" fontId="9" fillId="3" borderId="22" xfId="1" applyFont="1" applyFill="1" applyBorder="1"/>
    <xf numFmtId="43" fontId="57" fillId="3" borderId="68" xfId="1" applyFont="1" applyFill="1" applyBorder="1"/>
    <xf numFmtId="43" fontId="19" fillId="3" borderId="65" xfId="1" applyFont="1" applyFill="1" applyBorder="1" applyAlignment="1">
      <alignment horizontal="center"/>
    </xf>
    <xf numFmtId="43" fontId="19" fillId="3" borderId="65" xfId="1" applyFont="1" applyFill="1" applyBorder="1"/>
    <xf numFmtId="43" fontId="57" fillId="3" borderId="28" xfId="1" applyFont="1" applyFill="1" applyBorder="1"/>
    <xf numFmtId="43" fontId="19" fillId="3" borderId="19" xfId="1" applyFont="1" applyFill="1" applyBorder="1" applyAlignment="1">
      <alignment horizontal="center"/>
    </xf>
    <xf numFmtId="43" fontId="19" fillId="3" borderId="19" xfId="1" applyFont="1" applyFill="1" applyBorder="1"/>
    <xf numFmtId="43" fontId="57" fillId="3" borderId="41" xfId="1" applyFont="1" applyFill="1" applyBorder="1"/>
    <xf numFmtId="43" fontId="52" fillId="3" borderId="0" xfId="1" applyFont="1" applyFill="1"/>
    <xf numFmtId="43" fontId="52" fillId="3" borderId="0" xfId="1" applyFont="1" applyFill="1" applyAlignment="1">
      <alignment horizontal="center"/>
    </xf>
    <xf numFmtId="43" fontId="52" fillId="0" borderId="0" xfId="1" applyFont="1" applyAlignment="1">
      <alignment horizontal="center"/>
    </xf>
    <xf numFmtId="43" fontId="7" fillId="7" borderId="78" xfId="1" applyFont="1" applyFill="1" applyBorder="1" applyAlignment="1">
      <alignment horizontal="center" vertical="center" wrapText="1"/>
    </xf>
    <xf numFmtId="4" fontId="7" fillId="7" borderId="78" xfId="0" applyNumberFormat="1" applyFont="1" applyFill="1" applyBorder="1" applyAlignment="1">
      <alignment horizontal="center" vertical="center" wrapText="1"/>
    </xf>
    <xf numFmtId="43" fontId="20" fillId="7" borderId="78" xfId="1" applyFont="1" applyFill="1" applyBorder="1" applyAlignment="1">
      <alignment horizontal="center" vertical="center" wrapText="1"/>
    </xf>
    <xf numFmtId="43" fontId="9" fillId="7" borderId="78" xfId="1" applyFont="1" applyFill="1" applyBorder="1" applyAlignment="1">
      <alignment horizontal="center" vertical="center" wrapText="1"/>
    </xf>
    <xf numFmtId="43" fontId="8" fillId="0" borderId="0" xfId="1" applyFont="1" applyBorder="1" applyAlignment="1">
      <alignment horizontal="center" vertical="justify"/>
    </xf>
    <xf numFmtId="43" fontId="8" fillId="3" borderId="70" xfId="1" applyFont="1" applyFill="1" applyBorder="1"/>
    <xf numFmtId="43" fontId="8" fillId="3" borderId="71" xfId="1" applyFont="1" applyFill="1" applyBorder="1"/>
    <xf numFmtId="43" fontId="8" fillId="3" borderId="17" xfId="1" applyFont="1" applyFill="1" applyBorder="1" applyAlignment="1">
      <alignment horizontal="center" vertical="center"/>
    </xf>
    <xf numFmtId="43" fontId="8" fillId="3" borderId="17" xfId="1" applyFont="1" applyFill="1" applyBorder="1"/>
    <xf numFmtId="43" fontId="8" fillId="3" borderId="17" xfId="1" applyFont="1" applyFill="1" applyBorder="1" applyAlignment="1">
      <alignment horizontal="center"/>
    </xf>
    <xf numFmtId="43" fontId="52" fillId="3" borderId="17" xfId="1" applyFont="1" applyFill="1" applyBorder="1"/>
    <xf numFmtId="43" fontId="52" fillId="3" borderId="37" xfId="1" applyFont="1" applyFill="1" applyBorder="1"/>
    <xf numFmtId="43" fontId="8" fillId="3" borderId="66" xfId="1" applyFont="1" applyFill="1" applyBorder="1"/>
    <xf numFmtId="43" fontId="8" fillId="3" borderId="18" xfId="1" applyFont="1" applyFill="1" applyBorder="1"/>
    <xf numFmtId="43" fontId="8" fillId="3" borderId="2" xfId="1" applyFont="1" applyFill="1" applyBorder="1" applyAlignment="1">
      <alignment horizontal="center" vertical="center"/>
    </xf>
    <xf numFmtId="43" fontId="8" fillId="3" borderId="19" xfId="1" applyFont="1" applyFill="1" applyBorder="1"/>
    <xf numFmtId="43" fontId="8" fillId="3" borderId="21" xfId="1" applyFont="1" applyFill="1" applyBorder="1" applyAlignment="1">
      <alignment horizontal="center" vertical="center"/>
    </xf>
    <xf numFmtId="43" fontId="8" fillId="3" borderId="47" xfId="1" applyFont="1" applyFill="1" applyBorder="1"/>
    <xf numFmtId="43" fontId="8" fillId="3" borderId="43" xfId="1" applyFont="1" applyFill="1" applyBorder="1" applyAlignment="1">
      <alignment horizontal="center"/>
    </xf>
    <xf numFmtId="43" fontId="8" fillId="3" borderId="73" xfId="1" applyFont="1" applyFill="1" applyBorder="1"/>
    <xf numFmtId="43" fontId="8" fillId="3" borderId="1" xfId="1" applyFont="1" applyFill="1" applyBorder="1" applyAlignment="1">
      <alignment horizontal="center" vertical="center"/>
    </xf>
    <xf numFmtId="43" fontId="52" fillId="3" borderId="66" xfId="1" applyFont="1" applyFill="1" applyBorder="1"/>
    <xf numFmtId="43" fontId="8" fillId="3" borderId="61" xfId="1" applyFont="1" applyFill="1" applyBorder="1"/>
    <xf numFmtId="43" fontId="8" fillId="3" borderId="23" xfId="1" applyFont="1" applyFill="1" applyBorder="1" applyAlignment="1">
      <alignment horizontal="center" vertical="center"/>
    </xf>
    <xf numFmtId="43" fontId="52" fillId="0" borderId="2" xfId="1" applyFont="1" applyBorder="1"/>
    <xf numFmtId="43" fontId="52" fillId="3" borderId="0" xfId="1" applyFont="1" applyFill="1" applyAlignment="1">
      <alignment horizontal="center" vertical="center"/>
    </xf>
    <xf numFmtId="43" fontId="8" fillId="3" borderId="22" xfId="1" applyFont="1" applyFill="1" applyBorder="1" applyAlignment="1">
      <alignment horizontal="center"/>
    </xf>
    <xf numFmtId="43" fontId="8" fillId="3" borderId="24" xfId="1" applyFont="1" applyFill="1" applyBorder="1"/>
    <xf numFmtId="43" fontId="8" fillId="3" borderId="22" xfId="1" applyFont="1" applyFill="1" applyBorder="1"/>
    <xf numFmtId="43" fontId="2" fillId="3" borderId="74" xfId="1" applyFont="1" applyFill="1" applyBorder="1"/>
    <xf numFmtId="43" fontId="2" fillId="3" borderId="19" xfId="1" applyFont="1" applyFill="1" applyBorder="1"/>
    <xf numFmtId="43" fontId="11" fillId="3" borderId="15" xfId="1" applyFont="1" applyFill="1" applyBorder="1"/>
    <xf numFmtId="43" fontId="1" fillId="3" borderId="65" xfId="1" applyFont="1" applyFill="1" applyBorder="1" applyAlignment="1">
      <alignment horizontal="right"/>
    </xf>
    <xf numFmtId="43" fontId="1" fillId="3" borderId="1" xfId="1" applyFont="1" applyFill="1" applyBorder="1" applyAlignment="1">
      <alignment horizontal="center" vertical="center"/>
    </xf>
    <xf numFmtId="43" fontId="51" fillId="3" borderId="19" xfId="1" applyFont="1" applyFill="1" applyBorder="1"/>
    <xf numFmtId="43" fontId="2" fillId="3" borderId="24" xfId="1" applyFont="1" applyFill="1" applyBorder="1"/>
    <xf numFmtId="43" fontId="54" fillId="3" borderId="14" xfId="1" applyFont="1" applyFill="1" applyBorder="1"/>
    <xf numFmtId="43" fontId="54" fillId="3" borderId="13" xfId="1" applyFont="1" applyFill="1" applyBorder="1"/>
    <xf numFmtId="43" fontId="54" fillId="3" borderId="20" xfId="1" applyFont="1" applyFill="1" applyBorder="1"/>
    <xf numFmtId="43" fontId="52" fillId="3" borderId="15" xfId="1" applyFont="1" applyFill="1" applyBorder="1"/>
    <xf numFmtId="43" fontId="52" fillId="3" borderId="47" xfId="1" applyFont="1" applyFill="1" applyBorder="1"/>
    <xf numFmtId="43" fontId="52" fillId="3" borderId="2" xfId="1" applyFont="1" applyFill="1" applyBorder="1" applyAlignment="1">
      <alignment horizontal="right"/>
    </xf>
    <xf numFmtId="43" fontId="51" fillId="3" borderId="14" xfId="1" applyFont="1" applyFill="1" applyBorder="1"/>
    <xf numFmtId="43" fontId="51" fillId="3" borderId="20" xfId="1" applyFont="1" applyFill="1" applyBorder="1"/>
    <xf numFmtId="43" fontId="4" fillId="3" borderId="13" xfId="1" applyFont="1" applyFill="1" applyBorder="1"/>
    <xf numFmtId="43" fontId="4" fillId="3" borderId="15" xfId="1" applyFont="1" applyFill="1" applyBorder="1"/>
    <xf numFmtId="43" fontId="6" fillId="3" borderId="15" xfId="1" applyFont="1" applyFill="1" applyBorder="1"/>
    <xf numFmtId="43" fontId="9" fillId="3" borderId="11" xfId="1" applyFont="1" applyFill="1" applyBorder="1" applyAlignment="1">
      <alignment horizontal="center" vertical="justify"/>
    </xf>
    <xf numFmtId="43" fontId="2" fillId="3" borderId="11" xfId="1" applyFont="1" applyFill="1" applyBorder="1" applyAlignment="1">
      <alignment horizontal="center"/>
    </xf>
    <xf numFmtId="43" fontId="9" fillId="3" borderId="24" xfId="1" applyFont="1" applyFill="1" applyBorder="1" applyAlignment="1">
      <alignment horizontal="center" vertical="justify"/>
    </xf>
    <xf numFmtId="43" fontId="15" fillId="3" borderId="1" xfId="1" applyFont="1" applyFill="1" applyBorder="1" applyAlignment="1">
      <alignment horizontal="center" vertical="center"/>
    </xf>
    <xf numFmtId="43" fontId="19" fillId="3" borderId="15" xfId="1" applyFont="1" applyFill="1" applyBorder="1" applyAlignment="1">
      <alignment horizontal="center" vertical="justify"/>
    </xf>
    <xf numFmtId="43" fontId="19" fillId="3" borderId="2" xfId="1" applyFont="1" applyFill="1" applyBorder="1" applyAlignment="1">
      <alignment horizontal="left"/>
    </xf>
    <xf numFmtId="43" fontId="30" fillId="3" borderId="2" xfId="1" applyFont="1" applyFill="1" applyBorder="1" applyAlignment="1">
      <alignment horizontal="center" vertical="center"/>
    </xf>
    <xf numFmtId="43" fontId="19" fillId="3" borderId="27" xfId="1" applyFont="1" applyFill="1" applyBorder="1" applyAlignment="1">
      <alignment horizontal="center" vertical="justify"/>
    </xf>
    <xf numFmtId="43" fontId="19" fillId="3" borderId="23" xfId="1" applyFont="1" applyFill="1" applyBorder="1" applyAlignment="1">
      <alignment horizontal="left"/>
    </xf>
    <xf numFmtId="43" fontId="18" fillId="3" borderId="80" xfId="1" applyFont="1" applyFill="1" applyBorder="1" applyAlignment="1">
      <alignment horizontal="center"/>
    </xf>
    <xf numFmtId="43" fontId="18" fillId="3" borderId="27" xfId="1" applyFont="1" applyFill="1" applyBorder="1" applyAlignment="1">
      <alignment horizontal="center"/>
    </xf>
    <xf numFmtId="43" fontId="39" fillId="3" borderId="0" xfId="1" applyFont="1" applyFill="1" applyBorder="1"/>
    <xf numFmtId="43" fontId="39" fillId="7" borderId="78" xfId="1" applyFont="1" applyFill="1" applyBorder="1" applyAlignment="1">
      <alignment horizontal="center" vertical="center" wrapText="1"/>
    </xf>
    <xf numFmtId="43" fontId="39" fillId="7" borderId="63" xfId="1" applyFont="1" applyFill="1" applyBorder="1" applyAlignment="1">
      <alignment horizontal="center" vertical="center"/>
    </xf>
    <xf numFmtId="0" fontId="62" fillId="3" borderId="0" xfId="0" applyFont="1" applyFill="1"/>
    <xf numFmtId="43" fontId="62" fillId="0" borderId="0" xfId="1" applyFont="1"/>
    <xf numFmtId="43" fontId="51" fillId="3" borderId="26" xfId="0" applyNumberFormat="1" applyFont="1" applyFill="1" applyBorder="1"/>
    <xf numFmtId="43" fontId="7" fillId="8" borderId="19" xfId="1" applyFont="1" applyFill="1" applyBorder="1" applyAlignment="1">
      <alignment horizontal="center" vertical="justify"/>
    </xf>
    <xf numFmtId="43" fontId="7" fillId="8" borderId="9" xfId="1" applyFont="1" applyFill="1" applyBorder="1" applyAlignment="1">
      <alignment horizontal="center"/>
    </xf>
    <xf numFmtId="43" fontId="7" fillId="8" borderId="0" xfId="1" applyFont="1" applyFill="1" applyBorder="1"/>
    <xf numFmtId="43" fontId="52" fillId="8" borderId="0" xfId="1" applyFont="1" applyFill="1"/>
    <xf numFmtId="43" fontId="7" fillId="8" borderId="81" xfId="1" applyFont="1" applyFill="1" applyBorder="1" applyAlignment="1">
      <alignment horizontal="center" vertical="justify"/>
    </xf>
    <xf numFmtId="43" fontId="7" fillId="8" borderId="50" xfId="1" applyFont="1" applyFill="1" applyBorder="1" applyAlignment="1">
      <alignment horizontal="center"/>
    </xf>
    <xf numFmtId="43" fontId="7" fillId="8" borderId="69" xfId="1" applyFont="1" applyFill="1" applyBorder="1" applyAlignment="1">
      <alignment horizontal="center" vertical="justify"/>
    </xf>
    <xf numFmtId="43" fontId="52" fillId="8" borderId="0" xfId="1" applyFont="1" applyFill="1" applyBorder="1"/>
    <xf numFmtId="43" fontId="7" fillId="8" borderId="82" xfId="1" applyFont="1" applyFill="1" applyBorder="1" applyAlignment="1">
      <alignment horizontal="center" vertical="justify"/>
    </xf>
    <xf numFmtId="43" fontId="7" fillId="8" borderId="66" xfId="1" applyFont="1" applyFill="1" applyBorder="1" applyAlignment="1">
      <alignment horizontal="center" vertical="justify"/>
    </xf>
    <xf numFmtId="43" fontId="7" fillId="8" borderId="65" xfId="1" applyFont="1" applyFill="1" applyBorder="1" applyAlignment="1">
      <alignment horizontal="center" vertical="justify"/>
    </xf>
    <xf numFmtId="43" fontId="54" fillId="8" borderId="0" xfId="1" applyFont="1" applyFill="1" applyBorder="1"/>
    <xf numFmtId="43" fontId="7" fillId="8" borderId="83" xfId="1" applyFont="1" applyFill="1" applyBorder="1" applyAlignment="1">
      <alignment horizontal="center" vertical="justify"/>
    </xf>
    <xf numFmtId="43" fontId="7" fillId="8" borderId="64" xfId="1" applyFont="1" applyFill="1" applyBorder="1" applyAlignment="1">
      <alignment horizontal="center" vertical="justify"/>
    </xf>
    <xf numFmtId="43" fontId="51" fillId="8" borderId="0" xfId="1" applyFont="1" applyFill="1"/>
    <xf numFmtId="43" fontId="51" fillId="8" borderId="0" xfId="1" applyFont="1" applyFill="1" applyBorder="1"/>
    <xf numFmtId="43" fontId="20" fillId="8" borderId="64" xfId="1" applyFont="1" applyFill="1" applyBorder="1" applyAlignment="1">
      <alignment horizontal="center" vertical="justify"/>
    </xf>
    <xf numFmtId="43" fontId="20" fillId="8" borderId="9" xfId="1" applyFont="1" applyFill="1" applyBorder="1" applyAlignment="1">
      <alignment horizontal="center"/>
    </xf>
    <xf numFmtId="43" fontId="9" fillId="8" borderId="64" xfId="1" applyFont="1" applyFill="1" applyBorder="1" applyAlignment="1">
      <alignment horizontal="center" vertical="justify"/>
    </xf>
    <xf numFmtId="43" fontId="9" fillId="8" borderId="9" xfId="1" applyFont="1" applyFill="1" applyBorder="1" applyAlignment="1">
      <alignment horizontal="center"/>
    </xf>
    <xf numFmtId="43" fontId="50" fillId="8" borderId="0" xfId="1" applyFont="1" applyFill="1"/>
    <xf numFmtId="43" fontId="9" fillId="8" borderId="84" xfId="1" applyFont="1" applyFill="1" applyBorder="1" applyAlignment="1">
      <alignment horizontal="center" vertical="justify"/>
    </xf>
    <xf numFmtId="43" fontId="9" fillId="8" borderId="30" xfId="1" applyFont="1" applyFill="1" applyBorder="1" applyAlignment="1">
      <alignment horizontal="right"/>
    </xf>
    <xf numFmtId="43" fontId="9" fillId="8" borderId="29" xfId="1" applyFont="1" applyFill="1" applyBorder="1" applyAlignment="1">
      <alignment horizontal="center" vertical="justify"/>
    </xf>
    <xf numFmtId="43" fontId="9" fillId="8" borderId="30" xfId="1" applyFont="1" applyFill="1" applyBorder="1"/>
    <xf numFmtId="43" fontId="9" fillId="8" borderId="30" xfId="1" applyFont="1" applyFill="1" applyBorder="1" applyAlignment="1">
      <alignment horizontal="center"/>
    </xf>
    <xf numFmtId="43" fontId="60" fillId="8" borderId="0" xfId="1" applyFont="1" applyFill="1"/>
    <xf numFmtId="43" fontId="7" fillId="8" borderId="5" xfId="1" applyFont="1" applyFill="1" applyBorder="1" applyAlignment="1">
      <alignment horizontal="center" vertical="justify"/>
    </xf>
    <xf numFmtId="43" fontId="7" fillId="8" borderId="7" xfId="1" applyFont="1" applyFill="1" applyBorder="1"/>
    <xf numFmtId="43" fontId="7" fillId="8" borderId="7" xfId="1" applyFont="1" applyFill="1" applyBorder="1" applyAlignment="1">
      <alignment horizontal="center"/>
    </xf>
    <xf numFmtId="43" fontId="63" fillId="8" borderId="7" xfId="1" applyFont="1" applyFill="1" applyBorder="1"/>
    <xf numFmtId="43" fontId="9" fillId="8" borderId="2" xfId="1" applyFont="1" applyFill="1" applyBorder="1"/>
    <xf numFmtId="43" fontId="9" fillId="8" borderId="81" xfId="1" applyFont="1" applyFill="1" applyBorder="1" applyAlignment="1">
      <alignment horizontal="center" vertical="justify"/>
    </xf>
    <xf numFmtId="43" fontId="9" fillId="8" borderId="50" xfId="1" applyFont="1" applyFill="1" applyBorder="1" applyAlignment="1">
      <alignment horizontal="center"/>
    </xf>
    <xf numFmtId="43" fontId="60" fillId="8" borderId="0" xfId="1" applyFont="1" applyFill="1" applyBorder="1"/>
    <xf numFmtId="43" fontId="7" fillId="8" borderId="85" xfId="1" applyFont="1" applyFill="1" applyBorder="1" applyAlignment="1"/>
    <xf numFmtId="43" fontId="9" fillId="8" borderId="7" xfId="1" applyFont="1" applyFill="1" applyBorder="1"/>
    <xf numFmtId="43" fontId="19" fillId="8" borderId="30" xfId="1" applyFont="1" applyFill="1" applyBorder="1"/>
    <xf numFmtId="43" fontId="9" fillId="8" borderId="86" xfId="1" applyFont="1" applyFill="1" applyBorder="1" applyAlignment="1">
      <alignment horizontal="center"/>
    </xf>
    <xf numFmtId="2" fontId="2" fillId="8" borderId="29" xfId="0" applyNumberFormat="1" applyFont="1" applyFill="1" applyBorder="1" applyAlignment="1">
      <alignment horizontal="center" vertical="justify"/>
    </xf>
    <xf numFmtId="4" fontId="2" fillId="8" borderId="30" xfId="0" applyNumberFormat="1" applyFont="1" applyFill="1" applyBorder="1"/>
    <xf numFmtId="4" fontId="2" fillId="8" borderId="30" xfId="0" applyNumberFormat="1" applyFont="1" applyFill="1" applyBorder="1" applyAlignment="1">
      <alignment horizontal="center"/>
    </xf>
    <xf numFmtId="43" fontId="64" fillId="8" borderId="30" xfId="1" applyFont="1" applyFill="1" applyBorder="1"/>
    <xf numFmtId="43" fontId="65" fillId="8" borderId="30" xfId="1" applyFont="1" applyFill="1" applyBorder="1"/>
    <xf numFmtId="43" fontId="2" fillId="8" borderId="30" xfId="1" applyFont="1" applyFill="1" applyBorder="1"/>
    <xf numFmtId="0" fontId="7" fillId="8" borderId="0" xfId="0" applyFont="1" applyFill="1" applyBorder="1"/>
    <xf numFmtId="4" fontId="7" fillId="8" borderId="64" xfId="0" applyNumberFormat="1" applyFont="1" applyFill="1" applyBorder="1" applyAlignment="1">
      <alignment horizontal="center" vertical="justify"/>
    </xf>
    <xf numFmtId="43" fontId="7" fillId="8" borderId="86" xfId="1" applyFont="1" applyFill="1" applyBorder="1" applyAlignment="1">
      <alignment horizontal="center"/>
    </xf>
    <xf numFmtId="0" fontId="0" fillId="8" borderId="0" xfId="0" applyFill="1"/>
    <xf numFmtId="43" fontId="7" fillId="0" borderId="0" xfId="1" applyFont="1" applyFill="1" applyBorder="1"/>
    <xf numFmtId="43" fontId="52" fillId="0" borderId="0" xfId="1" applyFont="1" applyFill="1"/>
    <xf numFmtId="43" fontId="8" fillId="0" borderId="18" xfId="1" applyFont="1" applyFill="1" applyBorder="1" applyAlignment="1">
      <alignment horizontal="center"/>
    </xf>
    <xf numFmtId="43" fontId="8" fillId="0" borderId="61" xfId="1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43" fontId="8" fillId="0" borderId="23" xfId="1" applyFont="1" applyFill="1" applyBorder="1" applyAlignment="1">
      <alignment horizontal="center"/>
    </xf>
    <xf numFmtId="43" fontId="52" fillId="0" borderId="0" xfId="1" applyFont="1" applyFill="1" applyBorder="1"/>
    <xf numFmtId="43" fontId="8" fillId="0" borderId="0" xfId="1" applyFont="1" applyFill="1" applyBorder="1"/>
    <xf numFmtId="43" fontId="7" fillId="0" borderId="59" xfId="1" applyFont="1" applyFill="1" applyBorder="1"/>
    <xf numFmtId="43" fontId="54" fillId="0" borderId="0" xfId="1" applyFont="1" applyFill="1" applyBorder="1"/>
    <xf numFmtId="43" fontId="51" fillId="0" borderId="0" xfId="1" applyFont="1" applyFill="1"/>
    <xf numFmtId="43" fontId="1" fillId="0" borderId="0" xfId="1" applyFont="1" applyFill="1" applyBorder="1" applyAlignment="1">
      <alignment horizontal="center"/>
    </xf>
    <xf numFmtId="43" fontId="51" fillId="0" borderId="0" xfId="1" applyFont="1" applyFill="1" applyBorder="1"/>
    <xf numFmtId="43" fontId="54" fillId="0" borderId="0" xfId="1" applyFont="1" applyFill="1"/>
    <xf numFmtId="43" fontId="1" fillId="0" borderId="2" xfId="1" applyFont="1" applyFill="1" applyBorder="1" applyAlignment="1">
      <alignment horizontal="center"/>
    </xf>
    <xf numFmtId="43" fontId="1" fillId="0" borderId="23" xfId="1" applyFont="1" applyFill="1" applyBorder="1" applyAlignment="1">
      <alignment horizontal="center"/>
    </xf>
    <xf numFmtId="43" fontId="51" fillId="0" borderId="2" xfId="1" applyFont="1" applyFill="1" applyBorder="1" applyAlignment="1">
      <alignment horizontal="center"/>
    </xf>
    <xf numFmtId="43" fontId="51" fillId="0" borderId="23" xfId="1" applyFont="1" applyFill="1" applyBorder="1" applyAlignment="1">
      <alignment horizontal="center"/>
    </xf>
    <xf numFmtId="43" fontId="1" fillId="0" borderId="21" xfId="1" applyFont="1" applyFill="1" applyBorder="1" applyAlignment="1">
      <alignment horizontal="center"/>
    </xf>
    <xf numFmtId="43" fontId="7" fillId="0" borderId="0" xfId="1" applyFont="1" applyFill="1" applyBorder="1" applyAlignment="1">
      <alignment horizontal="center" vertical="center" wrapText="1"/>
    </xf>
    <xf numFmtId="43" fontId="7" fillId="0" borderId="0" xfId="1" applyFont="1" applyFill="1" applyBorder="1" applyAlignment="1">
      <alignment horizontal="center" vertical="center"/>
    </xf>
    <xf numFmtId="43" fontId="12" fillId="0" borderId="0" xfId="1" applyFont="1" applyFill="1" applyBorder="1" applyAlignment="1">
      <alignment horizontal="center" vertical="center"/>
    </xf>
    <xf numFmtId="43" fontId="50" fillId="0" borderId="0" xfId="1" applyFont="1" applyFill="1"/>
    <xf numFmtId="43" fontId="60" fillId="0" borderId="0" xfId="1" applyFont="1" applyFill="1"/>
    <xf numFmtId="43" fontId="51" fillId="0" borderId="46" xfId="1" applyFont="1" applyFill="1" applyBorder="1"/>
    <xf numFmtId="43" fontId="51" fillId="0" borderId="21" xfId="1" applyFont="1" applyFill="1" applyBorder="1"/>
    <xf numFmtId="43" fontId="51" fillId="0" borderId="32" xfId="1" applyFont="1" applyFill="1" applyBorder="1"/>
    <xf numFmtId="43" fontId="60" fillId="0" borderId="0" xfId="1" applyFont="1" applyFill="1" applyBorder="1"/>
    <xf numFmtId="43" fontId="50" fillId="0" borderId="0" xfId="1" applyFont="1" applyFill="1"/>
    <xf numFmtId="0" fontId="0" fillId="0" borderId="0" xfId="0" applyFill="1"/>
    <xf numFmtId="4" fontId="7" fillId="0" borderId="0" xfId="0" applyNumberFormat="1" applyFont="1" applyFill="1" applyBorder="1"/>
    <xf numFmtId="0" fontId="7" fillId="0" borderId="0" xfId="0" applyFont="1" applyFill="1" applyBorder="1"/>
    <xf numFmtId="43" fontId="8" fillId="0" borderId="24" xfId="1" applyFont="1" applyFill="1" applyBorder="1" applyAlignment="1">
      <alignment horizontal="right" vertical="top"/>
    </xf>
    <xf numFmtId="43" fontId="37" fillId="0" borderId="1" xfId="1" applyFont="1" applyFill="1" applyBorder="1" applyAlignment="1">
      <alignment horizontal="center" vertical="center" wrapText="1"/>
    </xf>
    <xf numFmtId="43" fontId="8" fillId="0" borderId="1" xfId="1" applyFont="1" applyFill="1" applyBorder="1" applyAlignment="1">
      <alignment horizontal="center"/>
    </xf>
    <xf numFmtId="43" fontId="8" fillId="0" borderId="1" xfId="1" applyFont="1" applyFill="1" applyBorder="1" applyAlignment="1">
      <alignment horizontal="right"/>
    </xf>
    <xf numFmtId="0" fontId="21" fillId="0" borderId="17" xfId="0" applyFont="1" applyFill="1" applyBorder="1" applyAlignment="1">
      <alignment horizontal="left" wrapText="1"/>
    </xf>
    <xf numFmtId="0" fontId="21" fillId="0" borderId="17" xfId="0" applyFont="1" applyFill="1" applyBorder="1" applyAlignment="1">
      <alignment horizontal="center"/>
    </xf>
    <xf numFmtId="2" fontId="21" fillId="0" borderId="17" xfId="0" applyNumberFormat="1" applyFont="1" applyFill="1" applyBorder="1" applyAlignment="1">
      <alignment horizontal="center"/>
    </xf>
    <xf numFmtId="43" fontId="23" fillId="0" borderId="17" xfId="1" applyFont="1" applyBorder="1"/>
    <xf numFmtId="43" fontId="21" fillId="0" borderId="17" xfId="1" applyFont="1" applyFill="1" applyBorder="1" applyAlignment="1">
      <alignment horizontal="center"/>
    </xf>
    <xf numFmtId="0" fontId="21" fillId="0" borderId="2" xfId="0" applyFont="1" applyFill="1" applyBorder="1" applyAlignment="1">
      <alignment horizontal="left" wrapText="1"/>
    </xf>
    <xf numFmtId="0" fontId="21" fillId="0" borderId="2" xfId="0" applyFont="1" applyFill="1" applyBorder="1" applyAlignment="1">
      <alignment horizontal="center"/>
    </xf>
    <xf numFmtId="2" fontId="21" fillId="0" borderId="2" xfId="0" applyNumberFormat="1" applyFont="1" applyFill="1" applyBorder="1" applyAlignment="1">
      <alignment horizontal="center"/>
    </xf>
    <xf numFmtId="43" fontId="23" fillId="0" borderId="2" xfId="1" applyFont="1" applyBorder="1"/>
    <xf numFmtId="43" fontId="21" fillId="0" borderId="2" xfId="1" applyFont="1" applyFill="1" applyBorder="1" applyAlignment="1">
      <alignment horizontal="center"/>
    </xf>
    <xf numFmtId="0" fontId="21" fillId="0" borderId="2" xfId="0" applyFont="1" applyFill="1" applyBorder="1" applyAlignment="1">
      <alignment horizontal="justify" wrapText="1"/>
    </xf>
    <xf numFmtId="0" fontId="21" fillId="0" borderId="2" xfId="0" applyFont="1" applyFill="1" applyBorder="1" applyAlignment="1">
      <alignment wrapText="1"/>
    </xf>
    <xf numFmtId="0" fontId="21" fillId="0" borderId="50" xfId="0" applyFont="1" applyFill="1" applyBorder="1" applyAlignment="1">
      <alignment wrapText="1"/>
    </xf>
    <xf numFmtId="0" fontId="21" fillId="0" borderId="50" xfId="0" applyFont="1" applyFill="1" applyBorder="1" applyAlignment="1">
      <alignment horizontal="center"/>
    </xf>
    <xf numFmtId="2" fontId="21" fillId="0" borderId="50" xfId="0" applyNumberFormat="1" applyFont="1" applyFill="1" applyBorder="1" applyAlignment="1">
      <alignment horizontal="center"/>
    </xf>
    <xf numFmtId="43" fontId="23" fillId="0" borderId="50" xfId="1" applyFont="1" applyBorder="1"/>
    <xf numFmtId="43" fontId="21" fillId="0" borderId="50" xfId="1" applyFont="1" applyFill="1" applyBorder="1" applyAlignment="1">
      <alignment horizontal="center"/>
    </xf>
    <xf numFmtId="0" fontId="25" fillId="0" borderId="17" xfId="0" applyFont="1" applyFill="1" applyBorder="1" applyAlignment="1">
      <alignment horizontal="center"/>
    </xf>
    <xf numFmtId="0" fontId="21" fillId="0" borderId="17" xfId="0" applyFont="1" applyFill="1" applyBorder="1"/>
    <xf numFmtId="43" fontId="21" fillId="0" borderId="17" xfId="1" applyFont="1" applyFill="1" applyBorder="1"/>
    <xf numFmtId="43" fontId="18" fillId="0" borderId="17" xfId="1" applyFont="1" applyFill="1" applyBorder="1"/>
    <xf numFmtId="43" fontId="21" fillId="0" borderId="17" xfId="1" applyFont="1" applyFill="1" applyBorder="1" applyAlignment="1">
      <alignment horizontal="right"/>
    </xf>
    <xf numFmtId="43" fontId="50" fillId="0" borderId="2" xfId="1" applyFont="1" applyBorder="1"/>
    <xf numFmtId="43" fontId="55" fillId="0" borderId="2" xfId="1" applyFont="1" applyBorder="1"/>
    <xf numFmtId="0" fontId="21" fillId="0" borderId="50" xfId="0" applyFont="1" applyFill="1" applyBorder="1"/>
    <xf numFmtId="43" fontId="50" fillId="0" borderId="50" xfId="1" applyFont="1" applyBorder="1"/>
    <xf numFmtId="43" fontId="55" fillId="0" borderId="50" xfId="1" applyFont="1" applyBorder="1"/>
    <xf numFmtId="43" fontId="50" fillId="0" borderId="17" xfId="1" applyFont="1" applyBorder="1"/>
    <xf numFmtId="0" fontId="21" fillId="0" borderId="2" xfId="0" applyFont="1" applyFill="1" applyBorder="1"/>
    <xf numFmtId="43" fontId="21" fillId="0" borderId="2" xfId="1" applyFont="1" applyFill="1" applyBorder="1"/>
    <xf numFmtId="43" fontId="18" fillId="0" borderId="2" xfId="1" applyFont="1" applyFill="1" applyBorder="1"/>
    <xf numFmtId="43" fontId="21" fillId="0" borderId="2" xfId="1" applyFont="1" applyFill="1" applyBorder="1" applyAlignment="1">
      <alignment horizontal="right"/>
    </xf>
    <xf numFmtId="43" fontId="18" fillId="0" borderId="2" xfId="1" applyFont="1" applyFill="1" applyBorder="1" applyAlignment="1">
      <alignment horizontal="center"/>
    </xf>
    <xf numFmtId="0" fontId="21" fillId="0" borderId="2" xfId="0" applyFont="1" applyFill="1" applyBorder="1" applyAlignment="1">
      <alignment horizontal="justify"/>
    </xf>
    <xf numFmtId="43" fontId="21" fillId="0" borderId="2" xfId="2" applyFont="1" applyFill="1" applyBorder="1" applyAlignment="1">
      <alignment horizontal="center"/>
    </xf>
    <xf numFmtId="0" fontId="21" fillId="0" borderId="50" xfId="0" applyFont="1" applyFill="1" applyBorder="1" applyAlignment="1">
      <alignment horizontal="justify"/>
    </xf>
    <xf numFmtId="43" fontId="21" fillId="0" borderId="50" xfId="2" applyFont="1" applyFill="1" applyBorder="1" applyAlignment="1">
      <alignment horizontal="center"/>
    </xf>
    <xf numFmtId="43" fontId="2" fillId="7" borderId="30" xfId="1" applyFont="1" applyFill="1" applyBorder="1" applyAlignment="1">
      <alignment horizontal="center" vertical="center" wrapText="1"/>
    </xf>
    <xf numFmtId="43" fontId="55" fillId="8" borderId="63" xfId="1" applyFont="1" applyFill="1" applyBorder="1"/>
    <xf numFmtId="43" fontId="50" fillId="0" borderId="43" xfId="1" applyFont="1" applyBorder="1"/>
    <xf numFmtId="43" fontId="7" fillId="8" borderId="87" xfId="1" applyFont="1" applyFill="1" applyBorder="1" applyAlignment="1">
      <alignment horizontal="center"/>
    </xf>
    <xf numFmtId="43" fontId="7" fillId="8" borderId="88" xfId="1" applyFont="1" applyFill="1" applyBorder="1" applyAlignment="1">
      <alignment horizontal="center" vertical="justify"/>
    </xf>
    <xf numFmtId="43" fontId="7" fillId="8" borderId="40" xfId="1" applyFont="1" applyFill="1" applyBorder="1" applyAlignment="1">
      <alignment horizontal="center"/>
    </xf>
    <xf numFmtId="43" fontId="7" fillId="3" borderId="76" xfId="1" applyFont="1" applyFill="1" applyBorder="1" applyAlignment="1">
      <alignment horizontal="center" vertical="justify"/>
    </xf>
    <xf numFmtId="43" fontId="7" fillId="3" borderId="89" xfId="1" applyFont="1" applyFill="1" applyBorder="1" applyAlignment="1">
      <alignment horizontal="center"/>
    </xf>
    <xf numFmtId="43" fontId="8" fillId="3" borderId="47" xfId="1" applyFont="1" applyFill="1" applyBorder="1" applyAlignment="1">
      <alignment horizontal="center" vertical="justify"/>
    </xf>
    <xf numFmtId="43" fontId="8" fillId="3" borderId="43" xfId="1" applyFont="1" applyFill="1" applyBorder="1" applyAlignment="1">
      <alignment horizontal="left"/>
    </xf>
    <xf numFmtId="43" fontId="9" fillId="3" borderId="89" xfId="1" applyFont="1" applyFill="1" applyBorder="1"/>
    <xf numFmtId="43" fontId="8" fillId="0" borderId="59" xfId="1" applyFont="1" applyFill="1" applyBorder="1" applyAlignment="1">
      <alignment horizontal="center"/>
    </xf>
    <xf numFmtId="43" fontId="52" fillId="3" borderId="16" xfId="1" applyFont="1" applyFill="1" applyBorder="1"/>
    <xf numFmtId="43" fontId="52" fillId="3" borderId="20" xfId="1" applyFont="1" applyFill="1" applyBorder="1"/>
    <xf numFmtId="43" fontId="52" fillId="0" borderId="23" xfId="1" applyFont="1" applyBorder="1"/>
    <xf numFmtId="43" fontId="52" fillId="6" borderId="0" xfId="1" applyFont="1" applyFill="1" applyBorder="1"/>
    <xf numFmtId="43" fontId="7" fillId="8" borderId="50" xfId="1" applyFont="1" applyFill="1" applyBorder="1" applyAlignment="1">
      <alignment horizontal="center" vertical="center"/>
    </xf>
    <xf numFmtId="43" fontId="8" fillId="3" borderId="65" xfId="1" applyFont="1" applyFill="1" applyBorder="1" applyAlignment="1">
      <alignment horizontal="right"/>
    </xf>
    <xf numFmtId="43" fontId="51" fillId="3" borderId="23" xfId="1" applyFont="1" applyFill="1" applyBorder="1"/>
    <xf numFmtId="43" fontId="8" fillId="0" borderId="20" xfId="1" applyFont="1" applyFill="1" applyBorder="1" applyAlignment="1">
      <alignment horizontal="center"/>
    </xf>
    <xf numFmtId="43" fontId="8" fillId="0" borderId="42" xfId="1" applyFont="1" applyFill="1" applyBorder="1" applyAlignment="1">
      <alignment horizontal="center"/>
    </xf>
    <xf numFmtId="43" fontId="66" fillId="3" borderId="14" xfId="1" applyFont="1" applyFill="1" applyBorder="1"/>
    <xf numFmtId="43" fontId="66" fillId="3" borderId="13" xfId="1" applyFont="1" applyFill="1" applyBorder="1"/>
    <xf numFmtId="43" fontId="66" fillId="3" borderId="17" xfId="1" applyFont="1" applyFill="1" applyBorder="1" applyAlignment="1">
      <alignment horizontal="center"/>
    </xf>
    <xf numFmtId="43" fontId="66" fillId="3" borderId="17" xfId="1" applyFont="1" applyFill="1" applyBorder="1"/>
    <xf numFmtId="43" fontId="66" fillId="3" borderId="20" xfId="1" applyFont="1" applyFill="1" applyBorder="1"/>
    <xf numFmtId="43" fontId="57" fillId="3" borderId="15" xfId="1" applyFont="1" applyFill="1" applyBorder="1"/>
    <xf numFmtId="43" fontId="57" fillId="3" borderId="2" xfId="1" applyFont="1" applyFill="1" applyBorder="1" applyAlignment="1">
      <alignment horizontal="center"/>
    </xf>
    <xf numFmtId="43" fontId="66" fillId="3" borderId="2" xfId="1" applyFont="1" applyFill="1" applyBorder="1"/>
    <xf numFmtId="43" fontId="57" fillId="3" borderId="47" xfId="1" applyFont="1" applyFill="1" applyBorder="1"/>
    <xf numFmtId="43" fontId="57" fillId="3" borderId="2" xfId="1" applyFont="1" applyFill="1" applyBorder="1" applyAlignment="1">
      <alignment horizontal="right"/>
    </xf>
    <xf numFmtId="43" fontId="55" fillId="3" borderId="75" xfId="1" applyFont="1" applyFill="1" applyBorder="1"/>
    <xf numFmtId="43" fontId="9" fillId="3" borderId="17" xfId="1" applyFont="1" applyFill="1" applyBorder="1"/>
    <xf numFmtId="43" fontId="9" fillId="3" borderId="0" xfId="1" applyFont="1" applyFill="1" applyBorder="1" applyAlignment="1">
      <alignment horizontal="center" vertical="justify"/>
    </xf>
    <xf numFmtId="43" fontId="9" fillId="3" borderId="0" xfId="1" applyFont="1" applyFill="1" applyBorder="1" applyAlignment="1">
      <alignment horizontal="center"/>
    </xf>
    <xf numFmtId="43" fontId="2" fillId="3" borderId="0" xfId="1" applyFont="1" applyFill="1" applyBorder="1" applyAlignment="1">
      <alignment horizontal="center"/>
    </xf>
    <xf numFmtId="43" fontId="55" fillId="3" borderId="0" xfId="1" applyFont="1" applyFill="1" applyBorder="1"/>
    <xf numFmtId="43" fontId="55" fillId="0" borderId="43" xfId="1" applyFont="1" applyBorder="1"/>
    <xf numFmtId="43" fontId="54" fillId="3" borderId="70" xfId="1" applyFont="1" applyFill="1" applyBorder="1" applyAlignment="1">
      <alignment horizontal="right"/>
    </xf>
    <xf numFmtId="43" fontId="67" fillId="3" borderId="71" xfId="1" applyFont="1" applyFill="1" applyBorder="1" applyAlignment="1">
      <alignment wrapText="1"/>
    </xf>
    <xf numFmtId="43" fontId="54" fillId="3" borderId="17" xfId="1" applyFont="1" applyFill="1" applyBorder="1" applyAlignment="1">
      <alignment horizontal="center" vertical="center"/>
    </xf>
    <xf numFmtId="43" fontId="5" fillId="3" borderId="17" xfId="1" applyFont="1" applyFill="1" applyBorder="1"/>
    <xf numFmtId="43" fontId="7" fillId="3" borderId="17" xfId="1" applyFont="1" applyFill="1" applyBorder="1" applyAlignment="1">
      <alignment horizontal="center"/>
    </xf>
    <xf numFmtId="43" fontId="7" fillId="3" borderId="17" xfId="1" applyFont="1" applyFill="1" applyBorder="1" applyAlignment="1">
      <alignment horizontal="center" vertical="center"/>
    </xf>
    <xf numFmtId="43" fontId="12" fillId="3" borderId="37" xfId="1" applyFont="1" applyFill="1" applyBorder="1" applyAlignment="1">
      <alignment horizontal="center" vertical="center"/>
    </xf>
    <xf numFmtId="43" fontId="54" fillId="3" borderId="66" xfId="1" applyFont="1" applyFill="1" applyBorder="1" applyAlignment="1">
      <alignment horizontal="right"/>
    </xf>
    <xf numFmtId="43" fontId="54" fillId="3" borderId="18" xfId="1" applyFont="1" applyFill="1" applyBorder="1" applyAlignment="1">
      <alignment wrapText="1"/>
    </xf>
    <xf numFmtId="43" fontId="54" fillId="3" borderId="2" xfId="1" applyFont="1" applyFill="1" applyBorder="1" applyAlignment="1">
      <alignment horizontal="center" vertical="center"/>
    </xf>
    <xf numFmtId="43" fontId="5" fillId="3" borderId="2" xfId="1" applyFont="1" applyFill="1" applyBorder="1"/>
    <xf numFmtId="43" fontId="7" fillId="3" borderId="2" xfId="1" applyFont="1" applyFill="1" applyBorder="1" applyAlignment="1">
      <alignment horizontal="center" vertical="center"/>
    </xf>
    <xf numFmtId="43" fontId="12" fillId="3" borderId="41" xfId="1" applyFont="1" applyFill="1" applyBorder="1" applyAlignment="1">
      <alignment horizontal="center" vertical="center"/>
    </xf>
    <xf numFmtId="43" fontId="51" fillId="3" borderId="66" xfId="1" applyFont="1" applyFill="1" applyBorder="1" applyAlignment="1">
      <alignment horizontal="right"/>
    </xf>
    <xf numFmtId="43" fontId="51" fillId="3" borderId="18" xfId="1" applyFont="1" applyFill="1" applyBorder="1" applyAlignment="1">
      <alignment wrapText="1"/>
    </xf>
    <xf numFmtId="43" fontId="51" fillId="3" borderId="2" xfId="1" applyFont="1" applyFill="1" applyBorder="1" applyAlignment="1">
      <alignment horizontal="center" vertical="center"/>
    </xf>
    <xf numFmtId="43" fontId="50" fillId="3" borderId="2" xfId="1" applyFont="1" applyFill="1" applyBorder="1"/>
    <xf numFmtId="43" fontId="8" fillId="3" borderId="41" xfId="1" applyFont="1" applyFill="1" applyBorder="1" applyAlignment="1">
      <alignment horizontal="center" vertical="center"/>
    </xf>
    <xf numFmtId="43" fontId="51" fillId="3" borderId="69" xfId="1" applyFont="1" applyFill="1" applyBorder="1" applyAlignment="1">
      <alignment horizontal="right"/>
    </xf>
    <xf numFmtId="43" fontId="51" fillId="3" borderId="61" xfId="1" applyFont="1" applyFill="1" applyBorder="1" applyAlignment="1">
      <alignment wrapText="1"/>
    </xf>
    <xf numFmtId="43" fontId="51" fillId="3" borderId="23" xfId="1" applyFont="1" applyFill="1" applyBorder="1" applyAlignment="1">
      <alignment horizontal="center" vertical="center"/>
    </xf>
    <xf numFmtId="43" fontId="50" fillId="3" borderId="23" xfId="1" applyFont="1" applyFill="1" applyBorder="1"/>
    <xf numFmtId="43" fontId="7" fillId="3" borderId="83" xfId="1" applyFont="1" applyFill="1" applyBorder="1" applyAlignment="1">
      <alignment horizontal="center" vertical="justify"/>
    </xf>
    <xf numFmtId="43" fontId="7" fillId="9" borderId="86" xfId="1" applyFont="1" applyFill="1" applyBorder="1" applyAlignment="1">
      <alignment horizontal="center"/>
    </xf>
    <xf numFmtId="43" fontId="54" fillId="3" borderId="72" xfId="1" applyFont="1" applyFill="1" applyBorder="1" applyAlignment="1">
      <alignment horizontal="right"/>
    </xf>
    <xf numFmtId="43" fontId="54" fillId="3" borderId="73" xfId="1" applyFont="1" applyFill="1" applyBorder="1" applyAlignment="1">
      <alignment wrapText="1"/>
    </xf>
    <xf numFmtId="43" fontId="54" fillId="3" borderId="1" xfId="1" applyFont="1" applyFill="1" applyBorder="1" applyAlignment="1">
      <alignment horizontal="center" vertical="center"/>
    </xf>
    <xf numFmtId="43" fontId="50" fillId="3" borderId="1" xfId="1" applyFont="1" applyFill="1" applyBorder="1"/>
    <xf numFmtId="43" fontId="54" fillId="3" borderId="1" xfId="1" applyFont="1" applyFill="1" applyBorder="1"/>
    <xf numFmtId="43" fontId="7" fillId="3" borderId="1" xfId="1" applyFont="1" applyFill="1" applyBorder="1" applyAlignment="1">
      <alignment horizontal="center" vertical="center"/>
    </xf>
    <xf numFmtId="43" fontId="12" fillId="3" borderId="26" xfId="1" applyFont="1" applyFill="1" applyBorder="1" applyAlignment="1">
      <alignment horizontal="center" vertical="center"/>
    </xf>
    <xf numFmtId="0" fontId="2" fillId="3" borderId="59" xfId="0" applyFont="1" applyFill="1" applyBorder="1"/>
    <xf numFmtId="0" fontId="18" fillId="3" borderId="87" xfId="0" applyFont="1" applyFill="1" applyBorder="1"/>
    <xf numFmtId="0" fontId="51" fillId="3" borderId="0" xfId="0" applyFont="1" applyFill="1" applyBorder="1"/>
    <xf numFmtId="0" fontId="2" fillId="3" borderId="40" xfId="0" applyFont="1" applyFill="1" applyBorder="1"/>
    <xf numFmtId="0" fontId="2" fillId="3" borderId="15" xfId="0" applyFont="1" applyFill="1" applyBorder="1"/>
    <xf numFmtId="0" fontId="1" fillId="3" borderId="0" xfId="0" applyFont="1" applyFill="1" applyAlignment="1">
      <alignment wrapText="1"/>
    </xf>
    <xf numFmtId="0" fontId="40" fillId="3" borderId="0" xfId="0" applyFont="1" applyFill="1"/>
    <xf numFmtId="43" fontId="7" fillId="7" borderId="40" xfId="1" applyFont="1" applyFill="1" applyBorder="1" applyAlignment="1">
      <alignment horizontal="center" vertical="center" wrapText="1"/>
    </xf>
    <xf numFmtId="4" fontId="7" fillId="7" borderId="40" xfId="0" applyNumberFormat="1" applyFont="1" applyFill="1" applyBorder="1" applyAlignment="1">
      <alignment horizontal="center" vertical="center" wrapText="1"/>
    </xf>
    <xf numFmtId="43" fontId="7" fillId="3" borderId="15" xfId="1" applyFont="1" applyFill="1" applyBorder="1" applyAlignment="1">
      <alignment horizontal="center" vertical="justify"/>
    </xf>
    <xf numFmtId="43" fontId="7" fillId="3" borderId="41" xfId="1" applyFont="1" applyFill="1" applyBorder="1"/>
    <xf numFmtId="43" fontId="7" fillId="3" borderId="14" xfId="1" applyFont="1" applyFill="1" applyBorder="1"/>
    <xf numFmtId="43" fontId="8" fillId="3" borderId="75" xfId="1" applyFont="1" applyFill="1" applyBorder="1" applyAlignment="1">
      <alignment horizontal="center"/>
    </xf>
    <xf numFmtId="43" fontId="8" fillId="3" borderId="75" xfId="1" applyFont="1" applyFill="1" applyBorder="1"/>
    <xf numFmtId="43" fontId="8" fillId="3" borderId="42" xfId="1" applyFont="1" applyFill="1" applyBorder="1"/>
    <xf numFmtId="43" fontId="52" fillId="3" borderId="25" xfId="1" applyFont="1" applyFill="1" applyBorder="1"/>
    <xf numFmtId="43" fontId="7" fillId="3" borderId="81" xfId="1" applyFont="1" applyFill="1" applyBorder="1" applyAlignment="1">
      <alignment horizontal="center" vertical="justify"/>
    </xf>
    <xf numFmtId="43" fontId="7" fillId="9" borderId="50" xfId="1" applyFont="1" applyFill="1" applyBorder="1" applyAlignment="1">
      <alignment horizontal="center"/>
    </xf>
    <xf numFmtId="43" fontId="8" fillId="3" borderId="90" xfId="1" applyFont="1" applyFill="1" applyBorder="1" applyAlignment="1">
      <alignment horizontal="center"/>
    </xf>
    <xf numFmtId="43" fontId="7" fillId="3" borderId="65" xfId="1" applyFont="1" applyFill="1" applyBorder="1"/>
    <xf numFmtId="43" fontId="7" fillId="9" borderId="82" xfId="1" applyFont="1" applyFill="1" applyBorder="1" applyAlignment="1">
      <alignment horizontal="center" vertical="justify"/>
    </xf>
    <xf numFmtId="43" fontId="7" fillId="3" borderId="66" xfId="1" applyFont="1" applyFill="1" applyBorder="1" applyAlignment="1">
      <alignment horizontal="right" vertical="justify"/>
    </xf>
    <xf numFmtId="43" fontId="52" fillId="3" borderId="75" xfId="1" applyFont="1" applyFill="1" applyBorder="1"/>
    <xf numFmtId="43" fontId="8" fillId="3" borderId="66" xfId="1" applyFont="1" applyFill="1" applyBorder="1" applyAlignment="1">
      <alignment horizontal="right" vertical="justify"/>
    </xf>
    <xf numFmtId="43" fontId="8" fillId="3" borderId="18" xfId="1" applyFont="1" applyFill="1" applyBorder="1" applyAlignment="1">
      <alignment vertical="top" wrapText="1"/>
    </xf>
    <xf numFmtId="43" fontId="7" fillId="3" borderId="82" xfId="1" applyFont="1" applyFill="1" applyBorder="1" applyAlignment="1">
      <alignment horizontal="center" vertical="justify"/>
    </xf>
    <xf numFmtId="43" fontId="7" fillId="9" borderId="50" xfId="1" applyFont="1" applyFill="1" applyBorder="1" applyAlignment="1">
      <alignment horizontal="center" vertical="center"/>
    </xf>
    <xf numFmtId="43" fontId="1" fillId="3" borderId="66" xfId="1" applyFont="1" applyFill="1" applyBorder="1" applyAlignment="1">
      <alignment horizontal="right" vertical="justify"/>
    </xf>
    <xf numFmtId="43" fontId="1" fillId="3" borderId="18" xfId="1" applyFont="1" applyFill="1" applyBorder="1" applyAlignment="1">
      <alignment vertical="top" wrapText="1"/>
    </xf>
    <xf numFmtId="43" fontId="19" fillId="3" borderId="91" xfId="1" applyFont="1" applyFill="1" applyBorder="1" applyAlignment="1">
      <alignment horizontal="right" vertical="justify"/>
    </xf>
    <xf numFmtId="43" fontId="19" fillId="3" borderId="61" xfId="1" applyFont="1" applyFill="1" applyBorder="1" applyAlignment="1">
      <alignment vertical="top" wrapText="1"/>
    </xf>
    <xf numFmtId="43" fontId="18" fillId="3" borderId="69" xfId="1" applyFont="1" applyFill="1" applyBorder="1" applyAlignment="1">
      <alignment horizontal="right" vertical="justify"/>
    </xf>
    <xf numFmtId="43" fontId="51" fillId="3" borderId="16" xfId="1" applyFont="1" applyFill="1" applyBorder="1"/>
    <xf numFmtId="43" fontId="18" fillId="3" borderId="66" xfId="1" applyFont="1" applyFill="1" applyBorder="1" applyAlignment="1">
      <alignment horizontal="right"/>
    </xf>
    <xf numFmtId="43" fontId="18" fillId="3" borderId="41" xfId="1" applyFont="1" applyFill="1" applyBorder="1" applyAlignment="1">
      <alignment horizontal="right" vertical="justify"/>
    </xf>
    <xf numFmtId="43" fontId="18" fillId="3" borderId="92" xfId="1" applyFont="1" applyFill="1" applyBorder="1" applyAlignment="1">
      <alignment horizontal="right" vertical="justify"/>
    </xf>
    <xf numFmtId="43" fontId="2" fillId="8" borderId="81" xfId="1" applyFont="1" applyFill="1" applyBorder="1" applyAlignment="1">
      <alignment horizontal="center" vertical="justify"/>
    </xf>
    <xf numFmtId="43" fontId="1" fillId="3" borderId="43" xfId="1" applyFont="1" applyFill="1" applyBorder="1" applyAlignment="1">
      <alignment horizontal="center"/>
    </xf>
    <xf numFmtId="43" fontId="5" fillId="0" borderId="0" xfId="1" applyFont="1"/>
    <xf numFmtId="43" fontId="51" fillId="6" borderId="0" xfId="1" applyFont="1" applyFill="1" applyBorder="1"/>
    <xf numFmtId="43" fontId="1" fillId="0" borderId="93" xfId="1" applyFont="1" applyBorder="1" applyAlignment="1">
      <alignment horizontal="center"/>
    </xf>
    <xf numFmtId="43" fontId="1" fillId="0" borderId="2" xfId="1" applyFont="1" applyBorder="1"/>
    <xf numFmtId="43" fontId="1" fillId="0" borderId="2" xfId="1" applyFont="1" applyBorder="1" applyAlignment="1">
      <alignment horizontal="center"/>
    </xf>
    <xf numFmtId="43" fontId="1" fillId="0" borderId="1" xfId="1" applyFont="1" applyBorder="1"/>
    <xf numFmtId="43" fontId="18" fillId="0" borderId="2" xfId="1" applyFont="1" applyBorder="1"/>
    <xf numFmtId="43" fontId="7" fillId="0" borderId="0" xfId="1" applyFont="1"/>
    <xf numFmtId="43" fontId="1" fillId="0" borderId="2" xfId="1" applyFont="1" applyFill="1" applyBorder="1"/>
    <xf numFmtId="43" fontId="1" fillId="2" borderId="93" xfId="1" applyFont="1" applyFill="1" applyBorder="1" applyAlignment="1">
      <alignment horizontal="center"/>
    </xf>
    <xf numFmtId="43" fontId="12" fillId="6" borderId="0" xfId="1" applyFont="1" applyFill="1" applyBorder="1" applyAlignment="1">
      <alignment horizontal="center" vertical="center"/>
    </xf>
    <xf numFmtId="43" fontId="1" fillId="0" borderId="27" xfId="1" applyFont="1" applyBorder="1" applyAlignment="1">
      <alignment horizontal="center"/>
    </xf>
    <xf numFmtId="43" fontId="1" fillId="0" borderId="23" xfId="1" applyFont="1" applyBorder="1" applyAlignment="1">
      <alignment horizontal="left"/>
    </xf>
    <xf numFmtId="43" fontId="1" fillId="0" borderId="23" xfId="1" applyFont="1" applyBorder="1" applyAlignment="1">
      <alignment horizontal="center"/>
    </xf>
    <xf numFmtId="43" fontId="1" fillId="0" borderId="23" xfId="1" applyFont="1" applyBorder="1"/>
    <xf numFmtId="43" fontId="1" fillId="0" borderId="94" xfId="1" applyFont="1" applyBorder="1" applyAlignment="1">
      <alignment horizontal="center"/>
    </xf>
    <xf numFmtId="43" fontId="1" fillId="0" borderId="95" xfId="1" applyFont="1" applyBorder="1" applyAlignment="1">
      <alignment horizontal="center"/>
    </xf>
    <xf numFmtId="43" fontId="9" fillId="3" borderId="24" xfId="1" applyFont="1" applyFill="1" applyBorder="1" applyAlignment="1">
      <alignment horizontal="right" vertical="top"/>
    </xf>
    <xf numFmtId="43" fontId="33" fillId="3" borderId="1" xfId="1" applyFont="1" applyFill="1" applyBorder="1" applyAlignment="1">
      <alignment horizontal="center" vertical="center" wrapText="1"/>
    </xf>
    <xf numFmtId="43" fontId="9" fillId="0" borderId="1" xfId="1" applyFont="1" applyFill="1" applyBorder="1"/>
    <xf numFmtId="43" fontId="36" fillId="3" borderId="1" xfId="1" applyFont="1" applyFill="1" applyBorder="1"/>
    <xf numFmtId="43" fontId="9" fillId="0" borderId="26" xfId="1" applyFont="1" applyFill="1" applyBorder="1"/>
    <xf numFmtId="43" fontId="18" fillId="3" borderId="15" xfId="1" quotePrefix="1" applyFont="1" applyFill="1" applyBorder="1" applyAlignment="1">
      <alignment horizontal="right" vertical="top"/>
    </xf>
    <xf numFmtId="43" fontId="18" fillId="3" borderId="2" xfId="1" applyFont="1" applyFill="1" applyBorder="1" applyAlignment="1">
      <alignment horizontal="justify" vertical="top" wrapText="1"/>
    </xf>
    <xf numFmtId="43" fontId="18" fillId="3" borderId="2" xfId="1" applyFont="1" applyFill="1" applyBorder="1" applyAlignment="1">
      <alignment horizontal="right"/>
    </xf>
    <xf numFmtId="43" fontId="18" fillId="3" borderId="27" xfId="1" quotePrefix="1" applyFont="1" applyFill="1" applyBorder="1" applyAlignment="1">
      <alignment horizontal="right" vertical="top"/>
    </xf>
    <xf numFmtId="43" fontId="18" fillId="3" borderId="23" xfId="1" applyFont="1" applyFill="1" applyBorder="1" applyAlignment="1">
      <alignment horizontal="justify" vertical="top" wrapText="1"/>
    </xf>
    <xf numFmtId="43" fontId="18" fillId="0" borderId="23" xfId="1" applyFont="1" applyFill="1" applyBorder="1"/>
    <xf numFmtId="43" fontId="18" fillId="3" borderId="23" xfId="1" applyFont="1" applyFill="1" applyBorder="1" applyAlignment="1">
      <alignment horizontal="right"/>
    </xf>
    <xf numFmtId="43" fontId="9" fillId="0" borderId="0" xfId="1" applyFont="1" applyBorder="1"/>
    <xf numFmtId="43" fontId="20" fillId="3" borderId="24" xfId="1" applyFont="1" applyFill="1" applyBorder="1" applyAlignment="1">
      <alignment horizontal="right" vertical="top"/>
    </xf>
    <xf numFmtId="43" fontId="47" fillId="3" borderId="1" xfId="1" applyFont="1" applyFill="1" applyBorder="1" applyAlignment="1">
      <alignment horizontal="center" vertical="center" wrapText="1"/>
    </xf>
    <xf numFmtId="43" fontId="20" fillId="3" borderId="1" xfId="1" applyFont="1" applyFill="1" applyBorder="1" applyAlignment="1">
      <alignment horizontal="right"/>
    </xf>
    <xf numFmtId="43" fontId="18" fillId="0" borderId="1" xfId="1" applyFont="1" applyFill="1" applyBorder="1"/>
    <xf numFmtId="43" fontId="20" fillId="0" borderId="1" xfId="1" applyFont="1" applyFill="1" applyBorder="1"/>
    <xf numFmtId="43" fontId="20" fillId="0" borderId="26" xfId="1" applyFont="1" applyFill="1" applyBorder="1"/>
    <xf numFmtId="43" fontId="18" fillId="3" borderId="23" xfId="1" applyFont="1" applyFill="1" applyBorder="1" applyAlignment="1">
      <alignment horizontal="left" vertical="top" wrapText="1"/>
    </xf>
    <xf numFmtId="43" fontId="18" fillId="3" borderId="15" xfId="1" applyFont="1" applyFill="1" applyBorder="1" applyAlignment="1">
      <alignment horizontal="right" vertical="top"/>
    </xf>
    <xf numFmtId="43" fontId="18" fillId="3" borderId="2" xfId="1" applyFont="1" applyFill="1" applyBorder="1" applyAlignment="1">
      <alignment horizontal="left" vertical="top" wrapText="1"/>
    </xf>
    <xf numFmtId="43" fontId="20" fillId="0" borderId="2" xfId="1" applyFont="1" applyFill="1" applyBorder="1"/>
    <xf numFmtId="43" fontId="20" fillId="0" borderId="41" xfId="1" applyFont="1" applyFill="1" applyBorder="1"/>
    <xf numFmtId="43" fontId="57" fillId="0" borderId="0" xfId="1" applyFont="1"/>
    <xf numFmtId="43" fontId="20" fillId="10" borderId="29" xfId="1" applyFont="1" applyFill="1" applyBorder="1" applyAlignment="1">
      <alignment horizontal="center" vertical="justify"/>
    </xf>
    <xf numFmtId="43" fontId="20" fillId="10" borderId="30" xfId="1" applyFont="1" applyFill="1" applyBorder="1"/>
    <xf numFmtId="43" fontId="9" fillId="3" borderId="30" xfId="1" applyFont="1" applyFill="1" applyBorder="1"/>
    <xf numFmtId="43" fontId="8" fillId="3" borderId="15" xfId="1" applyFont="1" applyFill="1" applyBorder="1" applyAlignment="1">
      <alignment horizontal="right" vertical="top"/>
    </xf>
    <xf numFmtId="43" fontId="8" fillId="3" borderId="27" xfId="1" applyFont="1" applyFill="1" applyBorder="1" applyAlignment="1">
      <alignment horizontal="right" vertical="top"/>
    </xf>
    <xf numFmtId="43" fontId="9" fillId="3" borderId="1" xfId="1" applyFont="1" applyFill="1" applyBorder="1" applyAlignment="1">
      <alignment horizontal="right"/>
    </xf>
    <xf numFmtId="43" fontId="9" fillId="3" borderId="2" xfId="1" applyFont="1" applyFill="1" applyBorder="1"/>
    <xf numFmtId="43" fontId="19" fillId="0" borderId="41" xfId="1" applyFont="1" applyFill="1" applyBorder="1"/>
    <xf numFmtId="43" fontId="55" fillId="0" borderId="0" xfId="1" applyFont="1" applyBorder="1"/>
    <xf numFmtId="43" fontId="9" fillId="3" borderId="24" xfId="1" quotePrefix="1" applyFont="1" applyFill="1" applyBorder="1" applyAlignment="1">
      <alignment horizontal="right" vertical="top"/>
    </xf>
    <xf numFmtId="43" fontId="56" fillId="0" borderId="0" xfId="1" applyFont="1"/>
    <xf numFmtId="43" fontId="2" fillId="0" borderId="0" xfId="1" applyFont="1" applyBorder="1"/>
    <xf numFmtId="43" fontId="8" fillId="3" borderId="27" xfId="1" quotePrefix="1" applyFont="1" applyFill="1" applyBorder="1" applyAlignment="1">
      <alignment horizontal="right" vertical="top"/>
    </xf>
    <xf numFmtId="43" fontId="2" fillId="3" borderId="24" xfId="1" quotePrefix="1" applyFont="1" applyFill="1" applyBorder="1" applyAlignment="1">
      <alignment horizontal="right" vertical="top"/>
    </xf>
    <xf numFmtId="43" fontId="48" fillId="3" borderId="1" xfId="1" applyFont="1" applyFill="1" applyBorder="1" applyAlignment="1">
      <alignment horizontal="center" vertical="center" wrapText="1"/>
    </xf>
    <xf numFmtId="43" fontId="2" fillId="0" borderId="1" xfId="1" applyFont="1" applyFill="1" applyBorder="1"/>
    <xf numFmtId="43" fontId="2" fillId="0" borderId="26" xfId="1" applyFont="1" applyFill="1" applyBorder="1"/>
    <xf numFmtId="43" fontId="1" fillId="3" borderId="15" xfId="1" applyFont="1" applyFill="1" applyBorder="1" applyAlignment="1">
      <alignment horizontal="right" vertical="top"/>
    </xf>
    <xf numFmtId="43" fontId="1" fillId="3" borderId="27" xfId="1" applyFont="1" applyFill="1" applyBorder="1" applyAlignment="1">
      <alignment horizontal="right" vertical="top"/>
    </xf>
    <xf numFmtId="43" fontId="2" fillId="10" borderId="52" xfId="1" applyFont="1" applyFill="1" applyBorder="1" applyAlignment="1">
      <alignment horizontal="center" vertical="justify"/>
    </xf>
    <xf numFmtId="43" fontId="2" fillId="10" borderId="50" xfId="1" applyFont="1" applyFill="1" applyBorder="1"/>
    <xf numFmtId="43" fontId="7" fillId="10" borderId="8" xfId="1" applyFont="1" applyFill="1" applyBorder="1" applyAlignment="1">
      <alignment horizontal="center" vertical="justify"/>
    </xf>
    <xf numFmtId="43" fontId="7" fillId="10" borderId="9" xfId="1" applyFont="1" applyFill="1" applyBorder="1"/>
    <xf numFmtId="43" fontId="7" fillId="10" borderId="29" xfId="1" applyFont="1" applyFill="1" applyBorder="1" applyAlignment="1">
      <alignment horizontal="center" vertical="justify"/>
    </xf>
    <xf numFmtId="43" fontId="7" fillId="10" borderId="30" xfId="1" applyFont="1" applyFill="1" applyBorder="1" applyAlignment="1"/>
    <xf numFmtId="43" fontId="51" fillId="3" borderId="42" xfId="1" applyFont="1" applyFill="1" applyBorder="1"/>
    <xf numFmtId="0" fontId="18" fillId="3" borderId="23" xfId="0" applyFont="1" applyFill="1" applyBorder="1"/>
    <xf numFmtId="0" fontId="18" fillId="3" borderId="47" xfId="0" applyFont="1" applyFill="1" applyBorder="1"/>
    <xf numFmtId="0" fontId="18" fillId="3" borderId="43" xfId="0" applyFont="1" applyFill="1" applyBorder="1"/>
    <xf numFmtId="43" fontId="18" fillId="3" borderId="43" xfId="1" applyFont="1" applyFill="1" applyBorder="1"/>
    <xf numFmtId="43" fontId="18" fillId="11" borderId="2" xfId="1" applyFont="1" applyFill="1" applyBorder="1" applyAlignment="1">
      <alignment horizontal="center"/>
    </xf>
    <xf numFmtId="43" fontId="57" fillId="0" borderId="28" xfId="1" applyFont="1" applyFill="1" applyBorder="1"/>
    <xf numFmtId="43" fontId="50" fillId="0" borderId="23" xfId="1" applyFont="1" applyFill="1" applyBorder="1"/>
    <xf numFmtId="43" fontId="50" fillId="0" borderId="2" xfId="1" applyFont="1" applyFill="1" applyBorder="1"/>
    <xf numFmtId="43" fontId="51" fillId="0" borderId="2" xfId="1" applyFont="1" applyFill="1" applyBorder="1"/>
    <xf numFmtId="43" fontId="52" fillId="0" borderId="20" xfId="1" applyFont="1" applyFill="1" applyBorder="1"/>
    <xf numFmtId="43" fontId="57" fillId="0" borderId="2" xfId="1" applyFont="1" applyFill="1" applyBorder="1" applyAlignment="1">
      <alignment horizontal="center"/>
    </xf>
    <xf numFmtId="43" fontId="55" fillId="0" borderId="2" xfId="1" applyFont="1" applyFill="1" applyBorder="1"/>
    <xf numFmtId="43" fontId="18" fillId="0" borderId="23" xfId="1" applyFont="1" applyFill="1" applyBorder="1" applyAlignment="1">
      <alignment horizontal="center"/>
    </xf>
    <xf numFmtId="43" fontId="56" fillId="0" borderId="2" xfId="1" applyFont="1" applyFill="1" applyBorder="1"/>
    <xf numFmtId="43" fontId="57" fillId="0" borderId="2" xfId="1" applyFont="1" applyFill="1" applyBorder="1"/>
    <xf numFmtId="43" fontId="50" fillId="0" borderId="1" xfId="1" applyFont="1" applyFill="1" applyBorder="1"/>
    <xf numFmtId="43" fontId="7" fillId="7" borderId="40" xfId="1" applyFont="1" applyFill="1" applyBorder="1" applyAlignment="1">
      <alignment horizontal="center" vertical="center" wrapText="1"/>
    </xf>
    <xf numFmtId="43" fontId="20" fillId="7" borderId="40" xfId="1" applyFont="1" applyFill="1" applyBorder="1" applyAlignment="1">
      <alignment horizontal="center" vertical="center" wrapText="1"/>
    </xf>
    <xf numFmtId="43" fontId="1" fillId="0" borderId="13" xfId="1" applyFont="1" applyFill="1" applyBorder="1"/>
    <xf numFmtId="43" fontId="9" fillId="3" borderId="75" xfId="1" applyFont="1" applyFill="1" applyBorder="1" applyAlignment="1">
      <alignment vertical="top" wrapText="1"/>
    </xf>
    <xf numFmtId="43" fontId="19" fillId="3" borderId="75" xfId="1" applyFont="1" applyFill="1" applyBorder="1" applyAlignment="1">
      <alignment vertical="top" wrapText="1"/>
    </xf>
    <xf numFmtId="43" fontId="19" fillId="3" borderId="96" xfId="1" applyFont="1" applyFill="1" applyBorder="1" applyAlignment="1">
      <alignment vertical="top" wrapText="1"/>
    </xf>
    <xf numFmtId="43" fontId="1" fillId="0" borderId="15" xfId="1" applyFont="1" applyFill="1" applyBorder="1"/>
    <xf numFmtId="43" fontId="19" fillId="3" borderId="23" xfId="1" applyFont="1" applyFill="1" applyBorder="1" applyAlignment="1">
      <alignment vertical="top" wrapText="1"/>
    </xf>
    <xf numFmtId="43" fontId="19" fillId="3" borderId="28" xfId="1" applyFont="1" applyFill="1" applyBorder="1" applyAlignment="1">
      <alignment vertical="top" wrapText="1"/>
    </xf>
    <xf numFmtId="43" fontId="1" fillId="0" borderId="15" xfId="1" applyFont="1" applyFill="1" applyBorder="1" applyAlignment="1">
      <alignment vertical="top"/>
    </xf>
    <xf numFmtId="43" fontId="56" fillId="0" borderId="2" xfId="1" applyFont="1" applyBorder="1"/>
    <xf numFmtId="43" fontId="62" fillId="0" borderId="41" xfId="1" applyFont="1" applyBorder="1"/>
    <xf numFmtId="43" fontId="2" fillId="10" borderId="97" xfId="1" applyFont="1" applyFill="1" applyBorder="1"/>
    <xf numFmtId="43" fontId="1" fillId="0" borderId="24" xfId="1" applyFont="1" applyFill="1" applyBorder="1" applyAlignment="1">
      <alignment horizontal="center"/>
    </xf>
    <xf numFmtId="43" fontId="1" fillId="0" borderId="15" xfId="1" applyFont="1" applyFill="1" applyBorder="1" applyAlignment="1">
      <alignment horizontal="center"/>
    </xf>
    <xf numFmtId="43" fontId="1" fillId="0" borderId="15" xfId="1" applyFont="1" applyFill="1" applyBorder="1" applyAlignment="1">
      <alignment horizontal="center" vertical="top"/>
    </xf>
    <xf numFmtId="43" fontId="19" fillId="0" borderId="23" xfId="1" applyFont="1" applyFill="1" applyBorder="1" applyAlignment="1">
      <alignment vertical="top" wrapText="1"/>
    </xf>
    <xf numFmtId="43" fontId="8" fillId="3" borderId="15" xfId="1" applyFont="1" applyFill="1" applyBorder="1" applyAlignment="1">
      <alignment horizontal="justify" vertical="top" wrapText="1"/>
    </xf>
    <xf numFmtId="43" fontId="7" fillId="10" borderId="63" xfId="1" applyFont="1" applyFill="1" applyBorder="1"/>
    <xf numFmtId="43" fontId="7" fillId="10" borderId="31" xfId="1" applyFont="1" applyFill="1" applyBorder="1" applyAlignment="1"/>
    <xf numFmtId="43" fontId="21" fillId="0" borderId="13" xfId="1" applyFont="1" applyFill="1" applyBorder="1" applyAlignment="1">
      <alignment horizontal="center" vertical="top"/>
    </xf>
    <xf numFmtId="43" fontId="55" fillId="0" borderId="17" xfId="1" applyFont="1" applyBorder="1"/>
    <xf numFmtId="43" fontId="62" fillId="0" borderId="37" xfId="1" applyFont="1" applyBorder="1"/>
    <xf numFmtId="43" fontId="21" fillId="0" borderId="15" xfId="1" applyFont="1" applyFill="1" applyBorder="1" applyAlignment="1">
      <alignment horizontal="center" vertical="top"/>
    </xf>
    <xf numFmtId="43" fontId="21" fillId="0" borderId="52" xfId="1" applyFont="1" applyFill="1" applyBorder="1" applyAlignment="1">
      <alignment horizontal="center" vertical="top"/>
    </xf>
    <xf numFmtId="43" fontId="62" fillId="0" borderId="97" xfId="1" applyFont="1" applyBorder="1"/>
    <xf numFmtId="43" fontId="25" fillId="8" borderId="31" xfId="1" applyFont="1" applyFill="1" applyBorder="1"/>
    <xf numFmtId="165" fontId="21" fillId="0" borderId="13" xfId="0" applyNumberFormat="1" applyFont="1" applyFill="1" applyBorder="1"/>
    <xf numFmtId="43" fontId="21" fillId="0" borderId="15" xfId="1" applyFont="1" applyFill="1" applyBorder="1" applyAlignment="1">
      <alignment vertical="top"/>
    </xf>
    <xf numFmtId="43" fontId="21" fillId="0" borderId="52" xfId="1" applyFont="1" applyFill="1" applyBorder="1" applyAlignment="1">
      <alignment vertical="top"/>
    </xf>
    <xf numFmtId="43" fontId="21" fillId="0" borderId="13" xfId="1" applyFont="1" applyFill="1" applyBorder="1"/>
    <xf numFmtId="43" fontId="21" fillId="0" borderId="15" xfId="1" applyFont="1" applyFill="1" applyBorder="1"/>
    <xf numFmtId="43" fontId="21" fillId="0" borderId="15" xfId="1" applyFont="1" applyFill="1" applyBorder="1" applyAlignment="1">
      <alignment vertical="top" wrapText="1"/>
    </xf>
    <xf numFmtId="43" fontId="21" fillId="0" borderId="52" xfId="1" applyFont="1" applyFill="1" applyBorder="1"/>
    <xf numFmtId="0" fontId="68" fillId="0" borderId="7" xfId="0" applyFont="1" applyBorder="1"/>
    <xf numFmtId="43" fontId="68" fillId="0" borderId="7" xfId="1" applyFont="1" applyBorder="1"/>
    <xf numFmtId="0" fontId="69" fillId="0" borderId="7" xfId="0" applyFont="1" applyBorder="1"/>
    <xf numFmtId="43" fontId="69" fillId="0" borderId="7" xfId="1" applyFont="1" applyBorder="1"/>
    <xf numFmtId="43" fontId="69" fillId="0" borderId="0" xfId="1" applyFont="1"/>
    <xf numFmtId="0" fontId="70" fillId="0" borderId="7" xfId="0" applyFont="1" applyBorder="1" applyAlignment="1">
      <alignment horizontal="right"/>
    </xf>
    <xf numFmtId="43" fontId="69" fillId="0" borderId="7" xfId="0" applyNumberFormat="1" applyFont="1" applyBorder="1"/>
    <xf numFmtId="0" fontId="70" fillId="0" borderId="7" xfId="0" applyFont="1" applyBorder="1"/>
    <xf numFmtId="43" fontId="70" fillId="0" borderId="7" xfId="1" applyFont="1" applyBorder="1"/>
    <xf numFmtId="43" fontId="70" fillId="0" borderId="7" xfId="0" applyNumberFormat="1" applyFont="1" applyBorder="1"/>
    <xf numFmtId="43" fontId="19" fillId="3" borderId="61" xfId="1" applyFont="1" applyFill="1" applyBorder="1" applyAlignment="1">
      <alignment vertical="center" wrapText="1"/>
    </xf>
    <xf numFmtId="43" fontId="55" fillId="3" borderId="23" xfId="1" applyFont="1" applyFill="1" applyBorder="1"/>
    <xf numFmtId="43" fontId="20" fillId="8" borderId="50" xfId="1" applyFont="1" applyFill="1" applyBorder="1" applyAlignment="1">
      <alignment horizontal="center"/>
    </xf>
    <xf numFmtId="43" fontId="2" fillId="5" borderId="7" xfId="1" applyNumberFormat="1" applyFont="1" applyFill="1" applyBorder="1"/>
    <xf numFmtId="43" fontId="8" fillId="3" borderId="69" xfId="1" applyFont="1" applyFill="1" applyBorder="1" applyAlignment="1">
      <alignment horizontal="left"/>
    </xf>
    <xf numFmtId="43" fontId="18" fillId="0" borderId="0" xfId="0" applyNumberFormat="1" applyFont="1"/>
    <xf numFmtId="43" fontId="1" fillId="11" borderId="35" xfId="1" applyFont="1" applyFill="1" applyBorder="1"/>
    <xf numFmtId="43" fontId="8" fillId="3" borderId="69" xfId="1" applyFont="1" applyFill="1" applyBorder="1" applyAlignment="1">
      <alignment horizontal="right" vertical="justify"/>
    </xf>
    <xf numFmtId="43" fontId="8" fillId="3" borderId="27" xfId="1" applyFont="1" applyFill="1" applyBorder="1" applyAlignment="1">
      <alignment horizontal="right"/>
    </xf>
    <xf numFmtId="43" fontId="1" fillId="3" borderId="15" xfId="1" applyFont="1" applyFill="1" applyBorder="1" applyAlignment="1">
      <alignment horizontal="right" vertical="justify"/>
    </xf>
    <xf numFmtId="43" fontId="1" fillId="3" borderId="2" xfId="1" applyFont="1" applyFill="1" applyBorder="1" applyAlignment="1">
      <alignment vertical="top" wrapText="1"/>
    </xf>
    <xf numFmtId="43" fontId="19" fillId="3" borderId="61" xfId="1" applyFont="1" applyFill="1" applyBorder="1" applyAlignment="1">
      <alignment wrapText="1"/>
    </xf>
    <xf numFmtId="43" fontId="19" fillId="3" borderId="23" xfId="1" applyFont="1" applyFill="1" applyBorder="1" applyAlignment="1">
      <alignment horizontal="right" vertical="justify"/>
    </xf>
    <xf numFmtId="43" fontId="55" fillId="0" borderId="23" xfId="1" applyFont="1" applyFill="1" applyBorder="1"/>
    <xf numFmtId="43" fontId="19" fillId="3" borderId="2" xfId="1" applyFont="1" applyFill="1" applyBorder="1" applyAlignment="1">
      <alignment horizontal="right" vertical="justify"/>
    </xf>
    <xf numFmtId="43" fontId="19" fillId="3" borderId="2" xfId="1" applyFont="1" applyFill="1" applyBorder="1" applyAlignment="1">
      <alignment vertical="top" wrapText="1"/>
    </xf>
    <xf numFmtId="43" fontId="19" fillId="3" borderId="2" xfId="1" applyFont="1" applyFill="1" applyBorder="1" applyAlignment="1">
      <alignment wrapText="1"/>
    </xf>
    <xf numFmtId="43" fontId="57" fillId="3" borderId="27" xfId="1" applyFont="1" applyFill="1" applyBorder="1"/>
    <xf numFmtId="43" fontId="9" fillId="0" borderId="28" xfId="1" applyFont="1" applyFill="1" applyBorder="1"/>
    <xf numFmtId="43" fontId="18" fillId="3" borderId="52" xfId="1" quotePrefix="1" applyFont="1" applyFill="1" applyBorder="1" applyAlignment="1">
      <alignment horizontal="right" vertical="top"/>
    </xf>
    <xf numFmtId="43" fontId="18" fillId="3" borderId="50" xfId="1" applyFont="1" applyFill="1" applyBorder="1" applyAlignment="1">
      <alignment horizontal="left" vertical="top" wrapText="1"/>
    </xf>
    <xf numFmtId="43" fontId="18" fillId="3" borderId="50" xfId="1" applyFont="1" applyFill="1" applyBorder="1" applyAlignment="1">
      <alignment horizontal="right"/>
    </xf>
    <xf numFmtId="43" fontId="18" fillId="0" borderId="50" xfId="1" applyFont="1" applyFill="1" applyBorder="1"/>
    <xf numFmtId="43" fontId="18" fillId="3" borderId="50" xfId="1" applyFont="1" applyFill="1" applyBorder="1"/>
    <xf numFmtId="43" fontId="19" fillId="0" borderId="50" xfId="1" applyFont="1" applyFill="1" applyBorder="1"/>
    <xf numFmtId="43" fontId="9" fillId="0" borderId="50" xfId="1" applyFont="1" applyFill="1" applyBorder="1"/>
    <xf numFmtId="43" fontId="18" fillId="3" borderId="23" xfId="1" applyFont="1" applyFill="1" applyBorder="1" applyAlignment="1">
      <alignment horizontal="justify" wrapText="1"/>
    </xf>
    <xf numFmtId="43" fontId="18" fillId="3" borderId="27" xfId="1" applyFont="1" applyFill="1" applyBorder="1" applyAlignment="1">
      <alignment horizontal="right"/>
    </xf>
    <xf numFmtId="43" fontId="18" fillId="3" borderId="2" xfId="1" applyFont="1" applyFill="1" applyBorder="1" applyAlignment="1">
      <alignment horizontal="justify" wrapText="1"/>
    </xf>
    <xf numFmtId="43" fontId="18" fillId="3" borderId="15" xfId="1" applyFont="1" applyFill="1" applyBorder="1" applyAlignment="1">
      <alignment horizontal="right"/>
    </xf>
    <xf numFmtId="43" fontId="18" fillId="3" borderId="38" xfId="1" applyFont="1" applyFill="1" applyBorder="1" applyAlignment="1">
      <alignment horizontal="right"/>
    </xf>
    <xf numFmtId="43" fontId="18" fillId="3" borderId="40" xfId="1" applyFont="1" applyFill="1" applyBorder="1" applyAlignment="1">
      <alignment horizontal="justify" wrapText="1"/>
    </xf>
    <xf numFmtId="43" fontId="18" fillId="3" borderId="50" xfId="1" applyFont="1" applyFill="1" applyBorder="1" applyAlignment="1">
      <alignment horizontal="center"/>
    </xf>
    <xf numFmtId="43" fontId="19" fillId="3" borderId="61" xfId="1" applyFont="1" applyFill="1" applyBorder="1"/>
    <xf numFmtId="43" fontId="8" fillId="0" borderId="28" xfId="1" applyFont="1" applyFill="1" applyBorder="1"/>
    <xf numFmtId="43" fontId="9" fillId="8" borderId="1" xfId="1" applyFont="1" applyFill="1" applyBorder="1"/>
    <xf numFmtId="43" fontId="19" fillId="3" borderId="43" xfId="1" applyFont="1" applyFill="1" applyBorder="1"/>
    <xf numFmtId="43" fontId="49" fillId="3" borderId="1" xfId="1" applyFont="1" applyFill="1" applyBorder="1" applyAlignment="1">
      <alignment horizontal="center" vertical="center" wrapText="1"/>
    </xf>
    <xf numFmtId="43" fontId="18" fillId="3" borderId="47" xfId="1" applyFont="1" applyFill="1" applyBorder="1" applyAlignment="1">
      <alignment horizontal="center"/>
    </xf>
    <xf numFmtId="43" fontId="18" fillId="3" borderId="43" xfId="1" applyFont="1" applyFill="1" applyBorder="1" applyAlignment="1">
      <alignment horizontal="center"/>
    </xf>
    <xf numFmtId="43" fontId="18" fillId="0" borderId="43" xfId="1" applyFont="1" applyFill="1" applyBorder="1" applyAlignment="1">
      <alignment horizontal="center"/>
    </xf>
    <xf numFmtId="43" fontId="19" fillId="3" borderId="0" xfId="1" applyFont="1" applyFill="1" applyBorder="1"/>
    <xf numFmtId="43" fontId="57" fillId="3" borderId="23" xfId="1" applyFont="1" applyFill="1" applyBorder="1" applyAlignment="1">
      <alignment horizontal="right"/>
    </xf>
    <xf numFmtId="43" fontId="19" fillId="3" borderId="47" xfId="1" applyFont="1" applyFill="1" applyBorder="1" applyAlignment="1">
      <alignment horizontal="center"/>
    </xf>
    <xf numFmtId="43" fontId="19" fillId="3" borderId="43" xfId="1" applyFont="1" applyFill="1" applyBorder="1" applyAlignment="1">
      <alignment horizontal="center"/>
    </xf>
    <xf numFmtId="43" fontId="57" fillId="3" borderId="43" xfId="1" applyFont="1" applyFill="1" applyBorder="1" applyAlignment="1">
      <alignment horizontal="right"/>
    </xf>
    <xf numFmtId="43" fontId="57" fillId="3" borderId="32" xfId="1" applyFont="1" applyFill="1" applyBorder="1"/>
    <xf numFmtId="43" fontId="19" fillId="3" borderId="43" xfId="1" applyFont="1" applyFill="1" applyBorder="1" applyAlignment="1"/>
    <xf numFmtId="43" fontId="57" fillId="3" borderId="23" xfId="1" applyFont="1" applyFill="1" applyBorder="1"/>
    <xf numFmtId="0" fontId="18" fillId="3" borderId="0" xfId="0" applyFont="1" applyFill="1" applyBorder="1" applyAlignment="1">
      <alignment horizontal="right" wrapText="1"/>
    </xf>
    <xf numFmtId="4" fontId="28" fillId="3" borderId="0" xfId="0" applyNumberFormat="1" applyFont="1" applyFill="1" applyBorder="1" applyAlignment="1">
      <alignment horizontal="left" wrapText="1"/>
    </xf>
    <xf numFmtId="43" fontId="0" fillId="0" borderId="0" xfId="0" applyNumberFormat="1"/>
    <xf numFmtId="0" fontId="19" fillId="0" borderId="2" xfId="1" applyNumberFormat="1" applyFont="1" applyFill="1" applyBorder="1"/>
    <xf numFmtId="0" fontId="2" fillId="3" borderId="0" xfId="0" applyFont="1" applyFill="1" applyAlignment="1">
      <alignment horizontal="center"/>
    </xf>
    <xf numFmtId="0" fontId="16" fillId="3" borderId="0" xfId="0" applyFont="1" applyFill="1" applyAlignment="1">
      <alignment horizontal="left" vertical="center"/>
    </xf>
    <xf numFmtId="0" fontId="16" fillId="3" borderId="60" xfId="0" applyFont="1" applyFill="1" applyBorder="1" applyAlignment="1">
      <alignment horizontal="left" vertical="center"/>
    </xf>
    <xf numFmtId="4" fontId="16" fillId="3" borderId="98" xfId="0" applyNumberFormat="1" applyFont="1" applyFill="1" applyBorder="1" applyAlignment="1">
      <alignment horizontal="center" vertical="center"/>
    </xf>
    <xf numFmtId="4" fontId="16" fillId="3" borderId="99" xfId="0" applyNumberFormat="1" applyFont="1" applyFill="1" applyBorder="1" applyAlignment="1">
      <alignment horizontal="center" vertical="center"/>
    </xf>
    <xf numFmtId="4" fontId="16" fillId="3" borderId="22" xfId="0" applyNumberFormat="1" applyFont="1" applyFill="1" applyBorder="1" applyAlignment="1">
      <alignment horizontal="center" vertical="center"/>
    </xf>
    <xf numFmtId="4" fontId="16" fillId="3" borderId="100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16" fillId="3" borderId="0" xfId="0" applyFont="1" applyFill="1" applyAlignment="1">
      <alignment horizontal="left"/>
    </xf>
    <xf numFmtId="0" fontId="16" fillId="3" borderId="101" xfId="0" applyFont="1" applyFill="1" applyBorder="1" applyAlignment="1">
      <alignment horizontal="center"/>
    </xf>
    <xf numFmtId="0" fontId="16" fillId="3" borderId="78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43" fontId="2" fillId="3" borderId="19" xfId="1" applyFont="1" applyFill="1" applyBorder="1" applyAlignment="1">
      <alignment horizontal="center" vertical="center"/>
    </xf>
    <xf numFmtId="43" fontId="2" fillId="3" borderId="92" xfId="1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3" borderId="102" xfId="0" applyFont="1" applyFill="1" applyBorder="1" applyAlignment="1">
      <alignment horizontal="center" vertical="center"/>
    </xf>
    <xf numFmtId="0" fontId="16" fillId="3" borderId="103" xfId="0" applyFont="1" applyFill="1" applyBorder="1" applyAlignment="1">
      <alignment horizontal="center" vertical="center"/>
    </xf>
    <xf numFmtId="0" fontId="16" fillId="3" borderId="10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43" fontId="1" fillId="3" borderId="19" xfId="1" applyFont="1" applyFill="1" applyBorder="1" applyAlignment="1">
      <alignment horizontal="center" vertical="center"/>
    </xf>
    <xf numFmtId="43" fontId="1" fillId="3" borderId="92" xfId="1" applyFont="1" applyFill="1" applyBorder="1" applyAlignment="1">
      <alignment horizontal="center" vertical="center"/>
    </xf>
    <xf numFmtId="43" fontId="1" fillId="3" borderId="65" xfId="1" applyFont="1" applyFill="1" applyBorder="1" applyAlignment="1">
      <alignment horizontal="center" vertical="center"/>
    </xf>
    <xf numFmtId="43" fontId="1" fillId="3" borderId="91" xfId="1" applyFont="1" applyFill="1" applyBorder="1" applyAlignment="1">
      <alignment horizontal="center" vertical="center"/>
    </xf>
    <xf numFmtId="0" fontId="16" fillId="3" borderId="105" xfId="0" applyFont="1" applyFill="1" applyBorder="1" applyAlignment="1">
      <alignment horizontal="center" vertical="center"/>
    </xf>
    <xf numFmtId="0" fontId="16" fillId="3" borderId="106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40" fillId="3" borderId="0" xfId="0" applyFont="1" applyFill="1" applyAlignment="1">
      <alignment wrapText="1"/>
    </xf>
    <xf numFmtId="4" fontId="40" fillId="3" borderId="0" xfId="0" applyNumberFormat="1" applyFont="1" applyFill="1" applyAlignment="1">
      <alignment wrapText="1"/>
    </xf>
    <xf numFmtId="0" fontId="27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 wrapText="1"/>
    </xf>
    <xf numFmtId="0" fontId="18" fillId="3" borderId="60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left" vertical="center"/>
    </xf>
    <xf numFmtId="0" fontId="18" fillId="3" borderId="60" xfId="0" applyFont="1" applyFill="1" applyBorder="1" applyAlignment="1">
      <alignment horizontal="left" vertical="center"/>
    </xf>
    <xf numFmtId="4" fontId="27" fillId="3" borderId="85" xfId="0" applyNumberFormat="1" applyFont="1" applyFill="1" applyBorder="1" applyAlignment="1">
      <alignment horizontal="center" vertical="center"/>
    </xf>
    <xf numFmtId="4" fontId="27" fillId="3" borderId="107" xfId="0" applyNumberFormat="1" applyFont="1" applyFill="1" applyBorder="1" applyAlignment="1">
      <alignment horizontal="center" vertical="center"/>
    </xf>
    <xf numFmtId="4" fontId="18" fillId="3" borderId="85" xfId="0" applyNumberFormat="1" applyFont="1" applyFill="1" applyBorder="1" applyAlignment="1">
      <alignment horizontal="center" vertical="center"/>
    </xf>
    <xf numFmtId="4" fontId="18" fillId="3" borderId="107" xfId="0" applyNumberFormat="1" applyFont="1" applyFill="1" applyBorder="1" applyAlignment="1">
      <alignment horizontal="center" vertical="center"/>
    </xf>
    <xf numFmtId="0" fontId="16" fillId="3" borderId="0" xfId="0" applyFont="1" applyFill="1" applyAlignment="1"/>
    <xf numFmtId="0" fontId="1" fillId="3" borderId="0" xfId="0" applyFont="1" applyFill="1" applyAlignment="1"/>
    <xf numFmtId="0" fontId="27" fillId="3" borderId="59" xfId="0" applyFont="1" applyFill="1" applyBorder="1" applyAlignment="1">
      <alignment horizontal="center" vertical="center"/>
    </xf>
    <xf numFmtId="4" fontId="16" fillId="3" borderId="10" xfId="0" applyNumberFormat="1" applyFont="1" applyFill="1" applyBorder="1" applyAlignment="1">
      <alignment horizontal="center" vertical="center"/>
    </xf>
    <xf numFmtId="4" fontId="16" fillId="3" borderId="36" xfId="0" applyNumberFormat="1" applyFont="1" applyFill="1" applyBorder="1" applyAlignment="1">
      <alignment horizontal="center" vertical="center"/>
    </xf>
    <xf numFmtId="4" fontId="16" fillId="3" borderId="105" xfId="0" applyNumberFormat="1" applyFont="1" applyFill="1" applyBorder="1" applyAlignment="1">
      <alignment horizontal="center" vertical="center"/>
    </xf>
    <xf numFmtId="4" fontId="16" fillId="3" borderId="106" xfId="0" applyNumberFormat="1" applyFont="1" applyFill="1" applyBorder="1" applyAlignment="1">
      <alignment horizontal="center" vertical="center"/>
    </xf>
    <xf numFmtId="0" fontId="1" fillId="3" borderId="108" xfId="0" applyFont="1" applyFill="1" applyBorder="1" applyAlignment="1">
      <alignment horizontal="center"/>
    </xf>
    <xf numFmtId="0" fontId="27" fillId="3" borderId="0" xfId="0" applyFont="1" applyFill="1" applyAlignment="1">
      <alignment horizontal="center"/>
    </xf>
    <xf numFmtId="4" fontId="18" fillId="3" borderId="101" xfId="0" applyNumberFormat="1" applyFont="1" applyFill="1" applyBorder="1" applyAlignment="1">
      <alignment horizontal="center" vertical="center"/>
    </xf>
    <xf numFmtId="4" fontId="18" fillId="3" borderId="78" xfId="0" applyNumberFormat="1" applyFont="1" applyFill="1" applyBorder="1" applyAlignment="1">
      <alignment horizontal="center" vertical="center"/>
    </xf>
    <xf numFmtId="0" fontId="27" fillId="3" borderId="49" xfId="0" applyFont="1" applyFill="1" applyBorder="1" applyAlignment="1">
      <alignment horizontal="center" vertical="center" wrapText="1"/>
    </xf>
    <xf numFmtId="0" fontId="27" fillId="3" borderId="109" xfId="0" applyFont="1" applyFill="1" applyBorder="1" applyAlignment="1">
      <alignment horizontal="center" vertical="center" wrapText="1"/>
    </xf>
    <xf numFmtId="4" fontId="29" fillId="3" borderId="39" xfId="0" applyNumberFormat="1" applyFont="1" applyFill="1" applyBorder="1" applyAlignment="1">
      <alignment horizontal="center"/>
    </xf>
    <xf numFmtId="0" fontId="29" fillId="3" borderId="106" xfId="0" applyFont="1" applyFill="1" applyBorder="1" applyAlignment="1">
      <alignment horizontal="center"/>
    </xf>
    <xf numFmtId="0" fontId="27" fillId="3" borderId="60" xfId="0" applyFont="1" applyFill="1" applyBorder="1" applyAlignment="1">
      <alignment horizontal="center" vertical="center"/>
    </xf>
    <xf numFmtId="0" fontId="27" fillId="3" borderId="110" xfId="0" applyFont="1" applyFill="1" applyBorder="1" applyAlignment="1">
      <alignment horizontal="center" vertical="center"/>
    </xf>
    <xf numFmtId="0" fontId="27" fillId="3" borderId="111" xfId="0" applyFont="1" applyFill="1" applyBorder="1" applyAlignment="1">
      <alignment horizontal="center" vertical="center"/>
    </xf>
    <xf numFmtId="0" fontId="27" fillId="3" borderId="112" xfId="0" applyFont="1" applyFill="1" applyBorder="1" applyAlignment="1">
      <alignment horizontal="center" vertical="center"/>
    </xf>
    <xf numFmtId="4" fontId="27" fillId="3" borderId="64" xfId="0" applyNumberFormat="1" applyFont="1" applyFill="1" applyBorder="1" applyAlignment="1">
      <alignment horizontal="center" vertical="center"/>
    </xf>
    <xf numFmtId="4" fontId="27" fillId="3" borderId="113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4" fontId="20" fillId="3" borderId="59" xfId="0" applyNumberFormat="1" applyFont="1" applyFill="1" applyBorder="1" applyAlignment="1">
      <alignment horizontal="center"/>
    </xf>
    <xf numFmtId="4" fontId="20" fillId="3" borderId="60" xfId="0" applyNumberFormat="1" applyFont="1" applyFill="1" applyBorder="1" applyAlignment="1">
      <alignment horizontal="center"/>
    </xf>
    <xf numFmtId="4" fontId="20" fillId="3" borderId="105" xfId="0" applyNumberFormat="1" applyFont="1" applyFill="1" applyBorder="1" applyAlignment="1">
      <alignment horizontal="center"/>
    </xf>
    <xf numFmtId="4" fontId="20" fillId="3" borderId="106" xfId="0" applyNumberFormat="1" applyFont="1" applyFill="1" applyBorder="1" applyAlignment="1">
      <alignment horizontal="center"/>
    </xf>
    <xf numFmtId="4" fontId="18" fillId="3" borderId="20" xfId="0" applyNumberFormat="1" applyFont="1" applyFill="1" applyBorder="1" applyAlignment="1">
      <alignment horizontal="center" vertical="center"/>
    </xf>
    <xf numFmtId="4" fontId="18" fillId="3" borderId="92" xfId="0" applyNumberFormat="1" applyFont="1" applyFill="1" applyBorder="1" applyAlignment="1">
      <alignment horizontal="center" vertical="center"/>
    </xf>
    <xf numFmtId="4" fontId="18" fillId="3" borderId="114" xfId="0" applyNumberFormat="1" applyFont="1" applyFill="1" applyBorder="1" applyAlignment="1">
      <alignment horizontal="center" vertical="center"/>
    </xf>
    <xf numFmtId="4" fontId="18" fillId="3" borderId="115" xfId="0" applyNumberFormat="1" applyFont="1" applyFill="1" applyBorder="1" applyAlignment="1">
      <alignment horizontal="center" vertical="center"/>
    </xf>
    <xf numFmtId="4" fontId="18" fillId="3" borderId="2" xfId="0" applyNumberFormat="1" applyFont="1" applyFill="1" applyBorder="1" applyAlignment="1">
      <alignment horizontal="center" vertical="center"/>
    </xf>
    <xf numFmtId="4" fontId="18" fillId="3" borderId="41" xfId="0" applyNumberFormat="1" applyFont="1" applyFill="1" applyBorder="1" applyAlignment="1">
      <alignment horizontal="center" vertical="center"/>
    </xf>
    <xf numFmtId="4" fontId="27" fillId="3" borderId="50" xfId="0" applyNumberFormat="1" applyFont="1" applyFill="1" applyBorder="1" applyAlignment="1">
      <alignment horizontal="center" vertical="center"/>
    </xf>
    <xf numFmtId="4" fontId="27" fillId="3" borderId="97" xfId="0" applyNumberFormat="1" applyFont="1" applyFill="1" applyBorder="1" applyAlignment="1">
      <alignment horizontal="center" vertical="center"/>
    </xf>
    <xf numFmtId="4" fontId="27" fillId="3" borderId="84" xfId="0" applyNumberFormat="1" applyFont="1" applyFill="1" applyBorder="1" applyAlignment="1">
      <alignment horizontal="center" vertical="center"/>
    </xf>
    <xf numFmtId="0" fontId="27" fillId="3" borderId="116" xfId="0" applyFont="1" applyFill="1" applyBorder="1" applyAlignment="1">
      <alignment horizontal="center" vertical="center"/>
    </xf>
    <xf numFmtId="0" fontId="27" fillId="3" borderId="108" xfId="0" applyFont="1" applyFill="1" applyBorder="1" applyAlignment="1">
      <alignment horizontal="left" vertical="center" indent="14"/>
    </xf>
    <xf numFmtId="0" fontId="27" fillId="3" borderId="108" xfId="0" applyFont="1" applyFill="1" applyBorder="1" applyAlignment="1">
      <alignment horizontal="center" vertical="center"/>
    </xf>
    <xf numFmtId="0" fontId="27" fillId="3" borderId="117" xfId="0" applyFont="1" applyFill="1" applyBorder="1" applyAlignment="1">
      <alignment horizontal="center" vertical="center" wrapText="1"/>
    </xf>
    <xf numFmtId="0" fontId="27" fillId="3" borderId="49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right" wrapText="1"/>
    </xf>
    <xf numFmtId="4" fontId="28" fillId="3" borderId="11" xfId="0" applyNumberFormat="1" applyFont="1" applyFill="1" applyBorder="1" applyAlignment="1">
      <alignment horizontal="left" wrapText="1"/>
    </xf>
    <xf numFmtId="0" fontId="16" fillId="3" borderId="59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6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/>
    </xf>
    <xf numFmtId="0" fontId="27" fillId="3" borderId="0" xfId="0" applyFont="1" applyFill="1" applyAlignment="1">
      <alignment horizontal="right"/>
    </xf>
    <xf numFmtId="4" fontId="27" fillId="3" borderId="118" xfId="0" applyNumberFormat="1" applyFont="1" applyFill="1" applyBorder="1" applyAlignment="1">
      <alignment horizontal="center" vertical="center"/>
    </xf>
    <xf numFmtId="4" fontId="27" fillId="3" borderId="75" xfId="0" applyNumberFormat="1" applyFont="1" applyFill="1" applyBorder="1" applyAlignment="1">
      <alignment horizontal="center" vertical="center"/>
    </xf>
    <xf numFmtId="4" fontId="27" fillId="3" borderId="80" xfId="0" applyNumberFormat="1" applyFont="1" applyFill="1" applyBorder="1" applyAlignment="1">
      <alignment horizontal="center" vertical="center"/>
    </xf>
    <xf numFmtId="4" fontId="27" fillId="3" borderId="16" xfId="0" applyNumberFormat="1" applyFont="1" applyFill="1" applyBorder="1" applyAlignment="1">
      <alignment horizontal="center" vertical="center"/>
    </xf>
    <xf numFmtId="4" fontId="27" fillId="3" borderId="38" xfId="0" applyNumberFormat="1" applyFont="1" applyFill="1" applyBorder="1" applyAlignment="1">
      <alignment horizontal="center" vertical="center"/>
    </xf>
    <xf numFmtId="4" fontId="27" fillId="3" borderId="40" xfId="0" applyNumberFormat="1" applyFont="1" applyFill="1" applyBorder="1" applyAlignment="1">
      <alignment horizontal="center" vertical="center"/>
    </xf>
    <xf numFmtId="4" fontId="18" fillId="11" borderId="20" xfId="0" applyNumberFormat="1" applyFont="1" applyFill="1" applyBorder="1" applyAlignment="1">
      <alignment horizontal="center" vertical="center"/>
    </xf>
    <xf numFmtId="4" fontId="18" fillId="11" borderId="92" xfId="0" applyNumberFormat="1" applyFont="1" applyFill="1" applyBorder="1" applyAlignment="1">
      <alignment horizontal="center" vertical="center"/>
    </xf>
    <xf numFmtId="4" fontId="10" fillId="3" borderId="0" xfId="0" applyNumberFormat="1" applyFont="1" applyFill="1" applyAlignment="1">
      <alignment horizontal="center" vertical="center"/>
    </xf>
    <xf numFmtId="4" fontId="10" fillId="3" borderId="0" xfId="0" applyNumberFormat="1" applyFont="1" applyFill="1" applyBorder="1" applyAlignment="1">
      <alignment horizontal="center" vertical="center"/>
    </xf>
    <xf numFmtId="4" fontId="9" fillId="3" borderId="90" xfId="0" applyNumberFormat="1" applyFont="1" applyFill="1" applyBorder="1" applyAlignment="1">
      <alignment horizontal="center" vertical="center"/>
    </xf>
    <xf numFmtId="4" fontId="9" fillId="3" borderId="88" xfId="0" applyNumberFormat="1" applyFont="1" applyFill="1" applyBorder="1" applyAlignment="1">
      <alignment horizontal="center" vertical="center"/>
    </xf>
    <xf numFmtId="4" fontId="9" fillId="3" borderId="118" xfId="0" applyNumberFormat="1" applyFont="1" applyFill="1" applyBorder="1" applyAlignment="1">
      <alignment horizontal="center" vertical="center"/>
    </xf>
    <xf numFmtId="4" fontId="9" fillId="3" borderId="38" xfId="0" applyNumberFormat="1" applyFont="1" applyFill="1" applyBorder="1" applyAlignment="1">
      <alignment horizontal="center" vertical="center"/>
    </xf>
    <xf numFmtId="4" fontId="9" fillId="3" borderId="119" xfId="0" applyNumberFormat="1" applyFont="1" applyFill="1" applyBorder="1" applyAlignment="1">
      <alignment horizontal="center" vertical="center"/>
    </xf>
    <xf numFmtId="4" fontId="9" fillId="3" borderId="120" xfId="0" applyNumberFormat="1" applyFont="1" applyFill="1" applyBorder="1" applyAlignment="1">
      <alignment horizontal="center" vertical="center"/>
    </xf>
    <xf numFmtId="4" fontId="9" fillId="3" borderId="116" xfId="0" applyNumberFormat="1" applyFont="1" applyFill="1" applyBorder="1" applyAlignment="1">
      <alignment horizontal="center" vertical="center"/>
    </xf>
    <xf numFmtId="0" fontId="68" fillId="0" borderId="0" xfId="0" applyFont="1" applyAlignment="1">
      <alignment horizontal="center"/>
    </xf>
    <xf numFmtId="0" fontId="7" fillId="12" borderId="108" xfId="0" applyFont="1" applyFill="1" applyBorder="1" applyAlignment="1">
      <alignment horizontal="center" vertical="center"/>
    </xf>
    <xf numFmtId="0" fontId="9" fillId="7" borderId="118" xfId="0" applyFont="1" applyFill="1" applyBorder="1" applyAlignment="1">
      <alignment horizontal="center" vertical="center"/>
    </xf>
    <xf numFmtId="0" fontId="9" fillId="7" borderId="80" xfId="0" applyFont="1" applyFill="1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9" fillId="7" borderId="121" xfId="0" applyFont="1" applyFill="1" applyBorder="1" applyAlignment="1">
      <alignment horizontal="center" vertical="center"/>
    </xf>
    <xf numFmtId="0" fontId="9" fillId="7" borderId="62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/>
    </xf>
    <xf numFmtId="43" fontId="9" fillId="7" borderId="4" xfId="1" applyFont="1" applyFill="1" applyBorder="1" applyAlignment="1">
      <alignment horizontal="center" vertical="center"/>
    </xf>
    <xf numFmtId="43" fontId="9" fillId="7" borderId="122" xfId="1" applyFont="1" applyFill="1" applyBorder="1" applyAlignment="1">
      <alignment horizontal="center" vertical="center"/>
    </xf>
    <xf numFmtId="43" fontId="9" fillId="7" borderId="87" xfId="1" applyFont="1" applyFill="1" applyBorder="1" applyAlignment="1">
      <alignment horizontal="center" vertical="center"/>
    </xf>
    <xf numFmtId="43" fontId="9" fillId="7" borderId="40" xfId="1" applyFont="1" applyFill="1" applyBorder="1" applyAlignment="1">
      <alignment horizontal="center" vertical="center"/>
    </xf>
    <xf numFmtId="43" fontId="9" fillId="7" borderId="6" xfId="1" applyFont="1" applyFill="1" applyBorder="1" applyAlignment="1">
      <alignment horizontal="center" vertical="center"/>
    </xf>
    <xf numFmtId="43" fontId="9" fillId="7" borderId="123" xfId="1" applyFont="1" applyFill="1" applyBorder="1" applyAlignment="1">
      <alignment horizontal="center" vertical="center"/>
    </xf>
    <xf numFmtId="43" fontId="9" fillId="7" borderId="124" xfId="1" applyFont="1" applyFill="1" applyBorder="1" applyAlignment="1">
      <alignment horizontal="center" vertical="center"/>
    </xf>
    <xf numFmtId="43" fontId="9" fillId="7" borderId="125" xfId="1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43" fontId="7" fillId="9" borderId="51" xfId="1" applyFont="1" applyFill="1" applyBorder="1" applyAlignment="1">
      <alignment horizontal="center"/>
    </xf>
    <xf numFmtId="43" fontId="7" fillId="9" borderId="126" xfId="1" applyFont="1" applyFill="1" applyBorder="1" applyAlignment="1">
      <alignment horizontal="center"/>
    </xf>
    <xf numFmtId="43" fontId="7" fillId="9" borderId="127" xfId="1" applyFont="1" applyFill="1" applyBorder="1" applyAlignment="1">
      <alignment horizontal="center"/>
    </xf>
    <xf numFmtId="43" fontId="7" fillId="8" borderId="64" xfId="1" applyFont="1" applyFill="1" applyBorder="1" applyAlignment="1">
      <alignment horizontal="center"/>
    </xf>
    <xf numFmtId="43" fontId="7" fillId="8" borderId="128" xfId="1" applyFont="1" applyFill="1" applyBorder="1" applyAlignment="1">
      <alignment horizontal="center"/>
    </xf>
    <xf numFmtId="43" fontId="7" fillId="8" borderId="79" xfId="1" applyFont="1" applyFill="1" applyBorder="1" applyAlignment="1">
      <alignment horizontal="center"/>
    </xf>
    <xf numFmtId="43" fontId="7" fillId="8" borderId="81" xfId="1" applyFont="1" applyFill="1" applyBorder="1" applyAlignment="1">
      <alignment horizontal="center"/>
    </xf>
    <xf numFmtId="43" fontId="7" fillId="8" borderId="126" xfId="1" applyFont="1" applyFill="1" applyBorder="1" applyAlignment="1">
      <alignment horizontal="center"/>
    </xf>
    <xf numFmtId="43" fontId="7" fillId="8" borderId="127" xfId="1" applyFont="1" applyFill="1" applyBorder="1" applyAlignment="1">
      <alignment horizontal="center"/>
    </xf>
    <xf numFmtId="43" fontId="7" fillId="7" borderId="118" xfId="1" applyFont="1" applyFill="1" applyBorder="1" applyAlignment="1">
      <alignment horizontal="center" vertical="center"/>
    </xf>
    <xf numFmtId="43" fontId="7" fillId="7" borderId="80" xfId="1" applyFont="1" applyFill="1" applyBorder="1" applyAlignment="1">
      <alignment horizontal="center" vertical="center"/>
    </xf>
    <xf numFmtId="43" fontId="7" fillId="7" borderId="38" xfId="1" applyFont="1" applyFill="1" applyBorder="1" applyAlignment="1">
      <alignment horizontal="center" vertical="center"/>
    </xf>
    <xf numFmtId="43" fontId="58" fillId="7" borderId="75" xfId="1" applyFont="1" applyFill="1" applyBorder="1" applyAlignment="1">
      <alignment horizontal="center" vertical="center"/>
    </xf>
    <xf numFmtId="43" fontId="58" fillId="7" borderId="129" xfId="1" applyFont="1" applyFill="1" applyBorder="1" applyAlignment="1">
      <alignment horizontal="center" vertical="center"/>
    </xf>
    <xf numFmtId="43" fontId="58" fillId="7" borderId="40" xfId="1" applyFont="1" applyFill="1" applyBorder="1" applyAlignment="1">
      <alignment horizontal="center" vertical="center"/>
    </xf>
    <xf numFmtId="43" fontId="7" fillId="8" borderId="105" xfId="1" applyFont="1" applyFill="1" applyBorder="1" applyAlignment="1">
      <alignment horizontal="center"/>
    </xf>
    <xf numFmtId="43" fontId="7" fillId="8" borderId="108" xfId="1" applyFont="1" applyFill="1" applyBorder="1" applyAlignment="1">
      <alignment horizontal="center"/>
    </xf>
    <xf numFmtId="43" fontId="7" fillId="8" borderId="130" xfId="1" applyFont="1" applyFill="1" applyBorder="1" applyAlignment="1">
      <alignment horizontal="center"/>
    </xf>
    <xf numFmtId="43" fontId="7" fillId="0" borderId="0" xfId="1" applyFont="1" applyFill="1" applyBorder="1" applyAlignment="1">
      <alignment horizontal="center"/>
    </xf>
    <xf numFmtId="43" fontId="7" fillId="7" borderId="4" xfId="1" applyFont="1" applyFill="1" applyBorder="1" applyAlignment="1">
      <alignment horizontal="center" vertical="center"/>
    </xf>
    <xf numFmtId="43" fontId="7" fillId="7" borderId="11" xfId="1" applyFont="1" applyFill="1" applyBorder="1" applyAlignment="1">
      <alignment horizontal="center" vertical="center"/>
    </xf>
    <xf numFmtId="43" fontId="7" fillId="7" borderId="131" xfId="1" applyFont="1" applyFill="1" applyBorder="1" applyAlignment="1">
      <alignment horizontal="center" vertical="center"/>
    </xf>
    <xf numFmtId="43" fontId="7" fillId="7" borderId="6" xfId="1" applyFont="1" applyFill="1" applyBorder="1" applyAlignment="1">
      <alignment horizontal="center" vertical="center" wrapText="1"/>
    </xf>
    <xf numFmtId="43" fontId="7" fillId="7" borderId="123" xfId="1" applyFont="1" applyFill="1" applyBorder="1" applyAlignment="1">
      <alignment horizontal="center" vertical="center" wrapText="1"/>
    </xf>
    <xf numFmtId="43" fontId="7" fillId="7" borderId="132" xfId="1" applyFont="1" applyFill="1" applyBorder="1" applyAlignment="1">
      <alignment horizontal="center" vertical="center"/>
    </xf>
    <xf numFmtId="43" fontId="7" fillId="7" borderId="40" xfId="1" applyFont="1" applyFill="1" applyBorder="1" applyAlignment="1">
      <alignment horizontal="center" vertical="center"/>
    </xf>
    <xf numFmtId="43" fontId="7" fillId="8" borderId="98" xfId="1" applyFont="1" applyFill="1" applyBorder="1" applyAlignment="1">
      <alignment horizontal="center"/>
    </xf>
    <xf numFmtId="43" fontId="7" fillId="8" borderId="133" xfId="1" applyFont="1" applyFill="1" applyBorder="1" applyAlignment="1">
      <alignment horizontal="center"/>
    </xf>
    <xf numFmtId="43" fontId="7" fillId="8" borderId="134" xfId="1" applyFont="1" applyFill="1" applyBorder="1" applyAlignment="1">
      <alignment horizontal="center"/>
    </xf>
    <xf numFmtId="43" fontId="7" fillId="3" borderId="108" xfId="1" applyFont="1" applyFill="1" applyBorder="1" applyAlignment="1">
      <alignment horizontal="center"/>
    </xf>
    <xf numFmtId="43" fontId="7" fillId="7" borderId="75" xfId="1" applyFont="1" applyFill="1" applyBorder="1" applyAlignment="1">
      <alignment horizontal="center" vertical="center"/>
    </xf>
    <xf numFmtId="43" fontId="7" fillId="7" borderId="16" xfId="1" applyFont="1" applyFill="1" applyBorder="1" applyAlignment="1">
      <alignment horizontal="center" vertical="center"/>
    </xf>
    <xf numFmtId="43" fontId="7" fillId="7" borderId="132" xfId="1" applyFont="1" applyFill="1" applyBorder="1" applyAlignment="1">
      <alignment horizontal="center" vertical="center" wrapText="1"/>
    </xf>
    <xf numFmtId="43" fontId="7" fillId="7" borderId="40" xfId="1" applyFont="1" applyFill="1" applyBorder="1" applyAlignment="1">
      <alignment horizontal="center" vertical="center" wrapText="1"/>
    </xf>
    <xf numFmtId="43" fontId="7" fillId="7" borderId="124" xfId="1" applyFont="1" applyFill="1" applyBorder="1" applyAlignment="1">
      <alignment horizontal="center" vertical="center"/>
    </xf>
    <xf numFmtId="43" fontId="7" fillId="7" borderId="125" xfId="1" applyFont="1" applyFill="1" applyBorder="1" applyAlignment="1">
      <alignment horizontal="center" vertical="center"/>
    </xf>
    <xf numFmtId="43" fontId="7" fillId="7" borderId="6" xfId="1" applyFont="1" applyFill="1" applyBorder="1" applyAlignment="1">
      <alignment horizontal="center" vertical="center"/>
    </xf>
    <xf numFmtId="43" fontId="7" fillId="7" borderId="123" xfId="1" applyFont="1" applyFill="1" applyBorder="1" applyAlignment="1">
      <alignment horizontal="center" vertical="center"/>
    </xf>
    <xf numFmtId="43" fontId="7" fillId="7" borderId="121" xfId="1" applyFont="1" applyFill="1" applyBorder="1" applyAlignment="1">
      <alignment horizontal="center" vertical="center"/>
    </xf>
    <xf numFmtId="43" fontId="7" fillId="9" borderId="81" xfId="1" applyFont="1" applyFill="1" applyBorder="1" applyAlignment="1">
      <alignment horizontal="center"/>
    </xf>
    <xf numFmtId="43" fontId="9" fillId="3" borderId="108" xfId="1" applyFont="1" applyFill="1" applyBorder="1" applyAlignment="1">
      <alignment horizontal="center"/>
    </xf>
    <xf numFmtId="43" fontId="8" fillId="0" borderId="0" xfId="1" applyFont="1" applyFill="1" applyBorder="1" applyAlignment="1">
      <alignment horizontal="center"/>
    </xf>
    <xf numFmtId="43" fontId="8" fillId="7" borderId="75" xfId="1" applyFont="1" applyFill="1" applyBorder="1" applyAlignment="1">
      <alignment horizontal="center" vertical="center"/>
    </xf>
    <xf numFmtId="43" fontId="8" fillId="7" borderId="16" xfId="1" applyFont="1" applyFill="1" applyBorder="1" applyAlignment="1">
      <alignment horizontal="center" vertical="center"/>
    </xf>
    <xf numFmtId="43" fontId="8" fillId="7" borderId="40" xfId="1" applyFont="1" applyFill="1" applyBorder="1" applyAlignment="1">
      <alignment horizontal="center" vertical="center"/>
    </xf>
    <xf numFmtId="43" fontId="20" fillId="7" borderId="132" xfId="1" applyFont="1" applyFill="1" applyBorder="1" applyAlignment="1">
      <alignment horizontal="center" vertical="center"/>
    </xf>
    <xf numFmtId="43" fontId="20" fillId="7" borderId="40" xfId="1" applyFont="1" applyFill="1" applyBorder="1" applyAlignment="1">
      <alignment horizontal="center" vertical="center"/>
    </xf>
    <xf numFmtId="43" fontId="20" fillId="7" borderId="6" xfId="1" applyFont="1" applyFill="1" applyBorder="1" applyAlignment="1">
      <alignment horizontal="center" vertical="center"/>
    </xf>
    <xf numFmtId="43" fontId="20" fillId="7" borderId="123" xfId="1" applyFont="1" applyFill="1" applyBorder="1" applyAlignment="1">
      <alignment horizontal="center" vertical="center"/>
    </xf>
    <xf numFmtId="43" fontId="20" fillId="7" borderId="124" xfId="1" applyFont="1" applyFill="1" applyBorder="1" applyAlignment="1">
      <alignment horizontal="center" vertical="center"/>
    </xf>
    <xf numFmtId="43" fontId="20" fillId="7" borderId="125" xfId="1" applyFont="1" applyFill="1" applyBorder="1" applyAlignment="1">
      <alignment horizontal="center" vertical="center"/>
    </xf>
    <xf numFmtId="43" fontId="20" fillId="3" borderId="108" xfId="1" applyFont="1" applyFill="1" applyBorder="1" applyAlignment="1">
      <alignment horizontal="center"/>
    </xf>
    <xf numFmtId="43" fontId="20" fillId="7" borderId="118" xfId="1" applyFont="1" applyFill="1" applyBorder="1" applyAlignment="1">
      <alignment horizontal="center" vertical="center"/>
    </xf>
    <xf numFmtId="43" fontId="20" fillId="7" borderId="80" xfId="1" applyFont="1" applyFill="1" applyBorder="1" applyAlignment="1">
      <alignment horizontal="center" vertical="center"/>
    </xf>
    <xf numFmtId="43" fontId="20" fillId="7" borderId="38" xfId="1" applyFont="1" applyFill="1" applyBorder="1" applyAlignment="1">
      <alignment horizontal="center" vertical="center"/>
    </xf>
    <xf numFmtId="43" fontId="20" fillId="7" borderId="75" xfId="1" applyFont="1" applyFill="1" applyBorder="1" applyAlignment="1">
      <alignment horizontal="center" vertical="center"/>
    </xf>
    <xf numFmtId="43" fontId="20" fillId="7" borderId="16" xfId="1" applyFont="1" applyFill="1" applyBorder="1" applyAlignment="1">
      <alignment horizontal="center" vertical="center"/>
    </xf>
    <xf numFmtId="43" fontId="20" fillId="7" borderId="4" xfId="1" applyFont="1" applyFill="1" applyBorder="1" applyAlignment="1">
      <alignment horizontal="center" vertical="center"/>
    </xf>
    <xf numFmtId="43" fontId="20" fillId="7" borderId="11" xfId="1" applyFont="1" applyFill="1" applyBorder="1" applyAlignment="1">
      <alignment horizontal="center" vertical="center"/>
    </xf>
    <xf numFmtId="43" fontId="20" fillId="7" borderId="131" xfId="1" applyFont="1" applyFill="1" applyBorder="1" applyAlignment="1">
      <alignment horizontal="center" vertical="center"/>
    </xf>
    <xf numFmtId="43" fontId="61" fillId="7" borderId="75" xfId="1" applyFont="1" applyFill="1" applyBorder="1" applyAlignment="1">
      <alignment horizontal="center" vertical="center"/>
    </xf>
    <xf numFmtId="43" fontId="61" fillId="7" borderId="129" xfId="1" applyFont="1" applyFill="1" applyBorder="1" applyAlignment="1">
      <alignment horizontal="center" vertical="center"/>
    </xf>
    <xf numFmtId="43" fontId="61" fillId="7" borderId="40" xfId="1" applyFont="1" applyFill="1" applyBorder="1" applyAlignment="1">
      <alignment horizontal="center" vertical="center"/>
    </xf>
    <xf numFmtId="43" fontId="20" fillId="7" borderId="121" xfId="1" applyFont="1" applyFill="1" applyBorder="1" applyAlignment="1">
      <alignment horizontal="center" vertical="center"/>
    </xf>
    <xf numFmtId="43" fontId="20" fillId="7" borderId="132" xfId="1" applyFont="1" applyFill="1" applyBorder="1" applyAlignment="1">
      <alignment horizontal="center" vertical="center" wrapText="1"/>
    </xf>
    <xf numFmtId="43" fontId="20" fillId="7" borderId="40" xfId="1" applyFont="1" applyFill="1" applyBorder="1" applyAlignment="1">
      <alignment horizontal="center" vertical="center" wrapText="1"/>
    </xf>
    <xf numFmtId="43" fontId="20" fillId="7" borderId="6" xfId="1" applyFont="1" applyFill="1" applyBorder="1" applyAlignment="1">
      <alignment horizontal="center" vertical="center" wrapText="1"/>
    </xf>
    <xf numFmtId="43" fontId="20" fillId="7" borderId="123" xfId="1" applyFont="1" applyFill="1" applyBorder="1" applyAlignment="1">
      <alignment horizontal="center" vertical="center" wrapText="1"/>
    </xf>
    <xf numFmtId="43" fontId="20" fillId="8" borderId="64" xfId="1" applyFont="1" applyFill="1" applyBorder="1" applyAlignment="1">
      <alignment horizontal="center"/>
    </xf>
    <xf numFmtId="43" fontId="20" fillId="8" borderId="128" xfId="1" applyFont="1" applyFill="1" applyBorder="1" applyAlignment="1">
      <alignment horizontal="center"/>
    </xf>
    <xf numFmtId="43" fontId="20" fillId="8" borderId="79" xfId="1" applyFont="1" applyFill="1" applyBorder="1" applyAlignment="1">
      <alignment horizontal="center"/>
    </xf>
    <xf numFmtId="43" fontId="7" fillId="3" borderId="0" xfId="1" applyFont="1" applyFill="1" applyBorder="1" applyAlignment="1">
      <alignment horizontal="center"/>
    </xf>
    <xf numFmtId="43" fontId="7" fillId="7" borderId="129" xfId="1" applyFont="1" applyFill="1" applyBorder="1" applyAlignment="1">
      <alignment horizontal="center" vertical="center"/>
    </xf>
    <xf numFmtId="43" fontId="9" fillId="8" borderId="81" xfId="1" applyFont="1" applyFill="1" applyBorder="1" applyAlignment="1">
      <alignment horizontal="center"/>
    </xf>
    <xf numFmtId="43" fontId="9" fillId="8" borderId="126" xfId="1" applyFont="1" applyFill="1" applyBorder="1" applyAlignment="1">
      <alignment horizontal="center"/>
    </xf>
    <xf numFmtId="43" fontId="9" fillId="8" borderId="127" xfId="1" applyFont="1" applyFill="1" applyBorder="1" applyAlignment="1">
      <alignment horizontal="center"/>
    </xf>
    <xf numFmtId="43" fontId="9" fillId="8" borderId="64" xfId="1" applyFont="1" applyFill="1" applyBorder="1" applyAlignment="1">
      <alignment horizontal="center"/>
    </xf>
    <xf numFmtId="43" fontId="9" fillId="8" borderId="128" xfId="1" applyFont="1" applyFill="1" applyBorder="1" applyAlignment="1">
      <alignment horizontal="center"/>
    </xf>
    <xf numFmtId="43" fontId="9" fillId="8" borderId="79" xfId="1" applyFont="1" applyFill="1" applyBorder="1" applyAlignment="1">
      <alignment horizontal="center"/>
    </xf>
    <xf numFmtId="43" fontId="20" fillId="8" borderId="81" xfId="1" applyFont="1" applyFill="1" applyBorder="1" applyAlignment="1">
      <alignment horizontal="center"/>
    </xf>
    <xf numFmtId="43" fontId="20" fillId="8" borderId="126" xfId="1" applyFont="1" applyFill="1" applyBorder="1" applyAlignment="1">
      <alignment horizontal="center"/>
    </xf>
    <xf numFmtId="43" fontId="20" fillId="8" borderId="127" xfId="1" applyFont="1" applyFill="1" applyBorder="1" applyAlignment="1">
      <alignment horizontal="center"/>
    </xf>
    <xf numFmtId="43" fontId="20" fillId="10" borderId="119" xfId="1" applyFont="1" applyFill="1" applyBorder="1" applyAlignment="1">
      <alignment horizontal="center"/>
    </xf>
    <xf numFmtId="43" fontId="20" fillId="10" borderId="120" xfId="1" applyFont="1" applyFill="1" applyBorder="1" applyAlignment="1">
      <alignment horizontal="center"/>
    </xf>
    <xf numFmtId="43" fontId="20" fillId="10" borderId="135" xfId="1" applyFont="1" applyFill="1" applyBorder="1" applyAlignment="1">
      <alignment horizontal="center"/>
    </xf>
    <xf numFmtId="43" fontId="9" fillId="7" borderId="132" xfId="1" applyFont="1" applyFill="1" applyBorder="1" applyAlignment="1">
      <alignment horizontal="center" vertical="center"/>
    </xf>
    <xf numFmtId="43" fontId="9" fillId="8" borderId="84" xfId="1" applyFont="1" applyFill="1" applyBorder="1" applyAlignment="1">
      <alignment horizontal="center"/>
    </xf>
    <xf numFmtId="43" fontId="9" fillId="8" borderId="120" xfId="1" applyFont="1" applyFill="1" applyBorder="1" applyAlignment="1">
      <alignment horizontal="center"/>
    </xf>
    <xf numFmtId="43" fontId="9" fillId="8" borderId="135" xfId="1" applyFont="1" applyFill="1" applyBorder="1" applyAlignment="1">
      <alignment horizontal="center"/>
    </xf>
    <xf numFmtId="43" fontId="9" fillId="7" borderId="121" xfId="1" applyFont="1" applyFill="1" applyBorder="1" applyAlignment="1">
      <alignment horizontal="center" vertical="center"/>
    </xf>
    <xf numFmtId="43" fontId="9" fillId="7" borderId="11" xfId="1" applyFont="1" applyFill="1" applyBorder="1" applyAlignment="1">
      <alignment horizontal="center" vertical="center"/>
    </xf>
    <xf numFmtId="43" fontId="9" fillId="7" borderId="131" xfId="1" applyFont="1" applyFill="1" applyBorder="1" applyAlignment="1">
      <alignment horizontal="center" vertical="center"/>
    </xf>
    <xf numFmtId="43" fontId="9" fillId="7" borderId="132" xfId="1" applyFont="1" applyFill="1" applyBorder="1" applyAlignment="1">
      <alignment horizontal="center" vertical="center" wrapText="1"/>
    </xf>
    <xf numFmtId="43" fontId="9" fillId="7" borderId="40" xfId="1" applyFont="1" applyFill="1" applyBorder="1" applyAlignment="1">
      <alignment horizontal="center" vertical="center" wrapText="1"/>
    </xf>
    <xf numFmtId="43" fontId="9" fillId="7" borderId="6" xfId="1" applyFont="1" applyFill="1" applyBorder="1" applyAlignment="1">
      <alignment horizontal="center" vertical="center" wrapText="1"/>
    </xf>
    <xf numFmtId="43" fontId="9" fillId="7" borderId="123" xfId="1" applyFont="1" applyFill="1" applyBorder="1" applyAlignment="1">
      <alignment horizontal="center" vertical="center" wrapText="1"/>
    </xf>
    <xf numFmtId="43" fontId="9" fillId="7" borderId="118" xfId="1" applyFont="1" applyFill="1" applyBorder="1" applyAlignment="1">
      <alignment horizontal="center" vertical="center"/>
    </xf>
    <xf numFmtId="43" fontId="9" fillId="7" borderId="80" xfId="1" applyFont="1" applyFill="1" applyBorder="1" applyAlignment="1">
      <alignment horizontal="center" vertical="center"/>
    </xf>
    <xf numFmtId="43" fontId="9" fillId="7" borderId="38" xfId="1" applyFont="1" applyFill="1" applyBorder="1" applyAlignment="1">
      <alignment horizontal="center" vertical="center"/>
    </xf>
    <xf numFmtId="43" fontId="9" fillId="7" borderId="75" xfId="1" applyFont="1" applyFill="1" applyBorder="1" applyAlignment="1">
      <alignment horizontal="center" vertical="center"/>
    </xf>
    <xf numFmtId="43" fontId="9" fillId="7" borderId="16" xfId="1" applyFont="1" applyFill="1" applyBorder="1" applyAlignment="1">
      <alignment horizontal="center" vertical="center"/>
    </xf>
    <xf numFmtId="43" fontId="59" fillId="7" borderId="75" xfId="1" applyFont="1" applyFill="1" applyBorder="1" applyAlignment="1">
      <alignment horizontal="center" vertical="center"/>
    </xf>
    <xf numFmtId="43" fontId="59" fillId="7" borderId="129" xfId="1" applyFont="1" applyFill="1" applyBorder="1" applyAlignment="1">
      <alignment horizontal="center" vertical="center"/>
    </xf>
    <xf numFmtId="43" fontId="59" fillId="7" borderId="40" xfId="1" applyFont="1" applyFill="1" applyBorder="1" applyAlignment="1">
      <alignment horizontal="center" vertical="center"/>
    </xf>
    <xf numFmtId="43" fontId="19" fillId="3" borderId="0" xfId="1" applyFont="1" applyFill="1" applyBorder="1" applyAlignment="1">
      <alignment horizontal="center"/>
    </xf>
    <xf numFmtId="43" fontId="9" fillId="3" borderId="64" xfId="1" applyFont="1" applyFill="1" applyBorder="1" applyAlignment="1">
      <alignment horizontal="center"/>
    </xf>
    <xf numFmtId="43" fontId="9" fillId="3" borderId="128" xfId="1" applyFont="1" applyFill="1" applyBorder="1" applyAlignment="1">
      <alignment horizontal="center"/>
    </xf>
    <xf numFmtId="43" fontId="9" fillId="3" borderId="79" xfId="1" applyFont="1" applyFill="1" applyBorder="1" applyAlignment="1">
      <alignment horizontal="center"/>
    </xf>
    <xf numFmtId="43" fontId="2" fillId="7" borderId="75" xfId="1" applyFont="1" applyFill="1" applyBorder="1" applyAlignment="1">
      <alignment horizontal="center" vertical="center"/>
    </xf>
    <xf numFmtId="43" fontId="2" fillId="7" borderId="16" xfId="1" applyFont="1" applyFill="1" applyBorder="1" applyAlignment="1">
      <alignment horizontal="center" vertical="center"/>
    </xf>
    <xf numFmtId="43" fontId="39" fillId="7" borderId="124" xfId="1" applyFont="1" applyFill="1" applyBorder="1" applyAlignment="1">
      <alignment horizontal="center" vertical="center"/>
    </xf>
    <xf numFmtId="43" fontId="39" fillId="7" borderId="125" xfId="1" applyFont="1" applyFill="1" applyBorder="1" applyAlignment="1">
      <alignment horizontal="center" vertical="center"/>
    </xf>
    <xf numFmtId="4" fontId="7" fillId="7" borderId="6" xfId="0" applyNumberFormat="1" applyFont="1" applyFill="1" applyBorder="1" applyAlignment="1">
      <alignment horizontal="center" vertical="center" wrapText="1"/>
    </xf>
    <xf numFmtId="4" fontId="7" fillId="7" borderId="123" xfId="0" applyNumberFormat="1" applyFont="1" applyFill="1" applyBorder="1" applyAlignment="1">
      <alignment horizontal="center" vertical="center" wrapText="1"/>
    </xf>
    <xf numFmtId="43" fontId="7" fillId="3" borderId="9" xfId="1" applyFont="1" applyFill="1" applyBorder="1" applyAlignment="1">
      <alignment horizontal="center"/>
    </xf>
    <xf numFmtId="4" fontId="7" fillId="7" borderId="132" xfId="0" applyNumberFormat="1" applyFont="1" applyFill="1" applyBorder="1" applyAlignment="1">
      <alignment horizontal="center" vertical="center" wrapText="1"/>
    </xf>
    <xf numFmtId="4" fontId="7" fillId="7" borderId="40" xfId="0" applyNumberFormat="1" applyFont="1" applyFill="1" applyBorder="1" applyAlignment="1">
      <alignment horizontal="center" vertical="center" wrapText="1"/>
    </xf>
    <xf numFmtId="4" fontId="7" fillId="3" borderId="0" xfId="0" applyNumberFormat="1" applyFont="1" applyFill="1" applyBorder="1" applyAlignment="1">
      <alignment horizontal="center"/>
    </xf>
    <xf numFmtId="43" fontId="7" fillId="10" borderId="30" xfId="1" applyFont="1" applyFill="1" applyBorder="1" applyAlignment="1">
      <alignment horizontal="center"/>
    </xf>
    <xf numFmtId="4" fontId="7" fillId="7" borderId="75" xfId="0" applyNumberFormat="1" applyFont="1" applyFill="1" applyBorder="1" applyAlignment="1">
      <alignment horizontal="center" vertical="center"/>
    </xf>
    <xf numFmtId="4" fontId="7" fillId="7" borderId="16" xfId="0" applyNumberFormat="1" applyFont="1" applyFill="1" applyBorder="1" applyAlignment="1">
      <alignment horizontal="center" vertical="center"/>
    </xf>
    <xf numFmtId="4" fontId="7" fillId="7" borderId="40" xfId="0" applyNumberFormat="1" applyFont="1" applyFill="1" applyBorder="1" applyAlignment="1">
      <alignment horizontal="center" vertical="center"/>
    </xf>
    <xf numFmtId="4" fontId="7" fillId="7" borderId="4" xfId="0" applyNumberFormat="1" applyFont="1" applyFill="1" applyBorder="1" applyAlignment="1">
      <alignment horizontal="center" vertical="center"/>
    </xf>
    <xf numFmtId="4" fontId="7" fillId="7" borderId="11" xfId="0" applyNumberFormat="1" applyFont="1" applyFill="1" applyBorder="1" applyAlignment="1">
      <alignment horizontal="center" vertical="center"/>
    </xf>
    <xf numFmtId="4" fontId="7" fillId="7" borderId="131" xfId="0" applyNumberFormat="1" applyFont="1" applyFill="1" applyBorder="1" applyAlignment="1">
      <alignment horizontal="center" vertical="center"/>
    </xf>
    <xf numFmtId="43" fontId="2" fillId="10" borderId="50" xfId="1" applyFont="1" applyFill="1" applyBorder="1" applyAlignment="1">
      <alignment horizontal="center"/>
    </xf>
    <xf numFmtId="165" fontId="7" fillId="7" borderId="118" xfId="0" applyNumberFormat="1" applyFont="1" applyFill="1" applyBorder="1" applyAlignment="1">
      <alignment horizontal="center" vertical="center"/>
    </xf>
    <xf numFmtId="165" fontId="7" fillId="7" borderId="80" xfId="0" applyNumberFormat="1" applyFont="1" applyFill="1" applyBorder="1" applyAlignment="1">
      <alignment horizontal="center" vertical="center"/>
    </xf>
    <xf numFmtId="165" fontId="7" fillId="7" borderId="38" xfId="0" applyNumberFormat="1" applyFont="1" applyFill="1" applyBorder="1" applyAlignment="1">
      <alignment horizontal="center" vertical="center"/>
    </xf>
    <xf numFmtId="43" fontId="7" fillId="9" borderId="64" xfId="1" applyFont="1" applyFill="1" applyBorder="1" applyAlignment="1">
      <alignment horizontal="center"/>
    </xf>
    <xf numFmtId="43" fontId="7" fillId="9" borderId="128" xfId="1" applyFont="1" applyFill="1" applyBorder="1" applyAlignment="1">
      <alignment horizontal="center"/>
    </xf>
    <xf numFmtId="43" fontId="7" fillId="9" borderId="79" xfId="1" applyFont="1" applyFill="1" applyBorder="1" applyAlignment="1">
      <alignment horizontal="center"/>
    </xf>
    <xf numFmtId="4" fontId="7" fillId="7" borderId="132" xfId="3" applyNumberFormat="1" applyFont="1" applyFill="1" applyBorder="1" applyAlignment="1">
      <alignment horizontal="center" vertical="center"/>
    </xf>
    <xf numFmtId="4" fontId="7" fillId="7" borderId="40" xfId="3" applyNumberFormat="1" applyFont="1" applyFill="1" applyBorder="1" applyAlignment="1">
      <alignment horizontal="center" vertical="center"/>
    </xf>
    <xf numFmtId="4" fontId="7" fillId="7" borderId="6" xfId="0" applyNumberFormat="1" applyFont="1" applyFill="1" applyBorder="1" applyAlignment="1">
      <alignment horizontal="center" vertical="center"/>
    </xf>
    <xf numFmtId="4" fontId="7" fillId="7" borderId="123" xfId="0" applyNumberFormat="1" applyFont="1" applyFill="1" applyBorder="1" applyAlignment="1">
      <alignment horizontal="center" vertical="center"/>
    </xf>
    <xf numFmtId="4" fontId="7" fillId="8" borderId="64" xfId="0" applyNumberFormat="1" applyFont="1" applyFill="1" applyBorder="1" applyAlignment="1">
      <alignment horizontal="center"/>
    </xf>
    <xf numFmtId="4" fontId="7" fillId="8" borderId="128" xfId="0" applyNumberFormat="1" applyFont="1" applyFill="1" applyBorder="1" applyAlignment="1">
      <alignment horizontal="center"/>
    </xf>
    <xf numFmtId="4" fontId="7" fillId="8" borderId="79" xfId="0" applyNumberFormat="1" applyFont="1" applyFill="1" applyBorder="1" applyAlignment="1">
      <alignment horizontal="center"/>
    </xf>
    <xf numFmtId="4" fontId="7" fillId="7" borderId="118" xfId="0" applyNumberFormat="1" applyFont="1" applyFill="1" applyBorder="1" applyAlignment="1">
      <alignment horizontal="center" vertical="center"/>
    </xf>
    <xf numFmtId="4" fontId="7" fillId="7" borderId="80" xfId="0" applyNumberFormat="1" applyFont="1" applyFill="1" applyBorder="1" applyAlignment="1">
      <alignment horizontal="center" vertical="center"/>
    </xf>
    <xf numFmtId="4" fontId="7" fillId="7" borderId="38" xfId="0" applyNumberFormat="1" applyFont="1" applyFill="1" applyBorder="1" applyAlignment="1">
      <alignment horizontal="center" vertical="center"/>
    </xf>
    <xf numFmtId="4" fontId="58" fillId="7" borderId="75" xfId="0" applyNumberFormat="1" applyFont="1" applyFill="1" applyBorder="1" applyAlignment="1">
      <alignment horizontal="center" vertical="center"/>
    </xf>
    <xf numFmtId="4" fontId="58" fillId="7" borderId="129" xfId="0" applyNumberFormat="1" applyFont="1" applyFill="1" applyBorder="1" applyAlignment="1">
      <alignment horizontal="center" vertical="center"/>
    </xf>
    <xf numFmtId="4" fontId="58" fillId="7" borderId="40" xfId="0" applyNumberFormat="1" applyFont="1" applyFill="1" applyBorder="1" applyAlignment="1">
      <alignment horizontal="center" vertical="center"/>
    </xf>
    <xf numFmtId="4" fontId="7" fillId="7" borderId="121" xfId="3" applyNumberFormat="1" applyFont="1" applyFill="1" applyBorder="1" applyAlignment="1">
      <alignment horizontal="center" vertical="center"/>
    </xf>
    <xf numFmtId="4" fontId="7" fillId="7" borderId="11" xfId="3" applyNumberFormat="1" applyFont="1" applyFill="1" applyBorder="1" applyAlignment="1">
      <alignment horizontal="center" vertical="center"/>
    </xf>
    <xf numFmtId="4" fontId="7" fillId="7" borderId="131" xfId="3" applyNumberFormat="1" applyFont="1" applyFill="1" applyBorder="1" applyAlignment="1">
      <alignment horizontal="center" vertical="center"/>
    </xf>
  </cellXfs>
  <cellStyles count="12">
    <cellStyle name="Comma" xfId="1" builtinId="3"/>
    <cellStyle name="Comma 2" xfId="2" xr:uid="{00000000-0005-0000-0000-000001000000}"/>
    <cellStyle name="Comma 2 2" xfId="3" xr:uid="{00000000-0005-0000-0000-000002000000}"/>
    <cellStyle name="Comma 2 3" xfId="4" xr:uid="{00000000-0005-0000-0000-000003000000}"/>
    <cellStyle name="Comma 2 4" xfId="5" xr:uid="{00000000-0005-0000-0000-000004000000}"/>
    <cellStyle name="Comma 2 5" xfId="6" xr:uid="{00000000-0005-0000-0000-000005000000}"/>
    <cellStyle name="Comma 3" xfId="7" xr:uid="{00000000-0005-0000-0000-000006000000}"/>
    <cellStyle name="Comma 6" xfId="8" xr:uid="{00000000-0005-0000-0000-000007000000}"/>
    <cellStyle name="Normal" xfId="0" builtinId="0"/>
    <cellStyle name="Normal 2 2" xfId="9" xr:uid="{00000000-0005-0000-0000-000009000000}"/>
    <cellStyle name="Normal 2 3" xfId="10" xr:uid="{00000000-0005-0000-0000-00000A000000}"/>
    <cellStyle name="Normal 2 4" xfId="11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3" Type="http://schemas.openxmlformats.org/officeDocument/2006/relationships/worksheet" Target="worksheets/sheet3.xml" /><Relationship Id="rId21" Type="http://schemas.openxmlformats.org/officeDocument/2006/relationships/externalLink" Target="externalLinks/externalLink1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calcChain" Target="calcChain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styles" Target="styles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theme" Target="theme/theme1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esources/directory/181e65c2-a554-4ddf-9abc-762180a0fe12.ExcelAutomationServiceFrontend.WorkingDir/NoAVScans/d96da125-ee48-4d71-927e-d33ba65dc1be/in/Super%20structure%20%206th%20%20CHORA%20rvw%20tkof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D"/>
      <sheetName val="IPD"/>
      <sheetName val="TKO OPD"/>
      <sheetName val="OPDT (2)"/>
      <sheetName val="OPD REB (2)"/>
      <sheetName val="Emergecy"/>
      <sheetName val="WGH T"/>
      <sheetName val="Re bar wai (2)"/>
      <sheetName val="IPDT (2)"/>
      <sheetName val="REBAR IPD"/>
      <sheetName val="OR T (2)"/>
      <sheetName val="REBAR OR"/>
      <sheetName val="Eme T (2)"/>
      <sheetName val="REBAR EMERGENCY"/>
      <sheetName val="Dia T (2)"/>
      <sheetName val="REBAR DIAG"/>
      <sheetName val="Admi T  (3)"/>
      <sheetName val="Admin rebar"/>
      <sheetName val="Staff T (2)"/>
      <sheetName val="Staff re bar (2)"/>
      <sheetName val="Serv T (2)"/>
      <sheetName val="Serv re bar (2)"/>
      <sheetName val="Gen T  (2)"/>
      <sheetName val="Pump H"/>
      <sheetName val="G .rebar (2)"/>
      <sheetName val="Trans T  (2)"/>
      <sheetName val="re bar trans (2)"/>
      <sheetName val="kit T (2)"/>
      <sheetName val="kitchen reb (2)"/>
      <sheetName val="store T  (2)"/>
      <sheetName val="store rebar (2)"/>
      <sheetName val="Mour T (2)"/>
      <sheetName val="re b morg (2)"/>
      <sheetName val="Guard house T (2)"/>
      <sheetName val="re b Guard"/>
      <sheetName val="drylatrin T"/>
      <sheetName val="re b dry l (3)"/>
      <sheetName val="Civil RD ,FN,ST,RET &amp; COV"/>
      <sheetName val="uncover"/>
      <sheetName val="inclinator"/>
      <sheetName val="placen t"/>
      <sheetName val="ash t "/>
      <sheetName val="san site t"/>
      <sheetName val="sanittakeoff"/>
      <sheetName val="elect 2a"/>
      <sheetName val="sitework"/>
      <sheetName val="Placental pit"/>
      <sheetName val="site sanitory (2)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368">
          <cell r="G368">
            <v>5.4899999999999984</v>
          </cell>
        </row>
        <row r="372">
          <cell r="C372">
            <v>152.96000000000004</v>
          </cell>
        </row>
        <row r="373">
          <cell r="G373">
            <v>43.899999999999977</v>
          </cell>
        </row>
        <row r="379">
          <cell r="G379">
            <v>43.899999999999977</v>
          </cell>
        </row>
        <row r="380">
          <cell r="C380">
            <v>23.049999999999983</v>
          </cell>
        </row>
        <row r="387">
          <cell r="C387">
            <v>35.120000000000005</v>
          </cell>
        </row>
        <row r="393">
          <cell r="C393">
            <v>-34.009999999999991</v>
          </cell>
          <cell r="G393">
            <v>331.75999999999976</v>
          </cell>
        </row>
        <row r="407">
          <cell r="G407">
            <v>374.18200000000024</v>
          </cell>
        </row>
        <row r="408">
          <cell r="C408">
            <v>87.799999999999955</v>
          </cell>
        </row>
        <row r="416">
          <cell r="G416">
            <v>-226.97640000000001</v>
          </cell>
        </row>
        <row r="417">
          <cell r="C417">
            <v>43.899999999999977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6.bin" 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 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 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topLeftCell="A10" zoomScale="85" zoomScaleNormal="85" workbookViewId="0">
      <selection activeCell="D40" sqref="D40:E44"/>
    </sheetView>
  </sheetViews>
  <sheetFormatPr defaultColWidth="9.14453125" defaultRowHeight="14.25" x14ac:dyDescent="0.15"/>
  <cols>
    <col min="1" max="1" width="11.43359375" style="2" customWidth="1"/>
    <col min="2" max="2" width="19.7734375" style="2" customWidth="1"/>
    <col min="3" max="3" width="21.65625" style="2" customWidth="1"/>
    <col min="4" max="4" width="6.1875" style="2" customWidth="1"/>
    <col min="5" max="5" width="19.90625" style="2" customWidth="1"/>
    <col min="6" max="6" width="13.71875" style="2" customWidth="1"/>
    <col min="7" max="7" width="25.55859375" style="2" customWidth="1"/>
    <col min="8" max="8" width="19.50390625" style="2" customWidth="1"/>
    <col min="9" max="9" width="7.93359375" style="2" customWidth="1"/>
    <col min="10" max="10" width="21.65625" style="2" customWidth="1"/>
    <col min="11" max="12" width="9.14453125" style="2" customWidth="1"/>
    <col min="13" max="13" width="45.0625" style="2" customWidth="1"/>
    <col min="14" max="16384" width="9.14453125" style="2"/>
  </cols>
  <sheetData>
    <row r="1" spans="1:10" ht="21" customHeight="1" x14ac:dyDescent="0.15">
      <c r="A1" s="222"/>
      <c r="B1" s="984" t="s">
        <v>38</v>
      </c>
      <c r="C1" s="984"/>
      <c r="D1" s="984"/>
      <c r="E1" s="984"/>
      <c r="F1" s="984"/>
      <c r="G1" s="984"/>
      <c r="H1" s="984"/>
      <c r="I1" s="222"/>
      <c r="J1" s="222"/>
    </row>
    <row r="2" spans="1:10" ht="24" customHeight="1" thickBot="1" x14ac:dyDescent="0.2">
      <c r="A2" s="985" t="s">
        <v>128</v>
      </c>
      <c r="B2" s="985"/>
      <c r="C2" s="985"/>
      <c r="D2" s="222"/>
      <c r="E2" s="985" t="s">
        <v>129</v>
      </c>
      <c r="F2" s="985"/>
      <c r="G2" s="985"/>
      <c r="H2" s="984" t="s">
        <v>130</v>
      </c>
      <c r="I2" s="984"/>
      <c r="J2" s="984"/>
    </row>
    <row r="3" spans="1:10" ht="23.25" customHeight="1" x14ac:dyDescent="0.15">
      <c r="A3" s="222"/>
      <c r="B3" s="984" t="s">
        <v>571</v>
      </c>
      <c r="C3" s="984"/>
      <c r="D3" s="984"/>
      <c r="E3" s="984"/>
      <c r="F3" s="984"/>
      <c r="G3" s="222"/>
      <c r="H3" s="222"/>
      <c r="I3" s="986" t="s">
        <v>131</v>
      </c>
      <c r="J3" s="987"/>
    </row>
    <row r="4" spans="1:10" x14ac:dyDescent="0.15">
      <c r="A4" s="222"/>
      <c r="B4" s="222"/>
      <c r="C4" s="977"/>
      <c r="D4" s="977"/>
      <c r="E4" s="977"/>
      <c r="F4" s="222"/>
      <c r="G4" s="978" t="s">
        <v>132</v>
      </c>
      <c r="H4" s="979"/>
      <c r="I4" s="980">
        <v>31628014.210000001</v>
      </c>
      <c r="J4" s="981"/>
    </row>
    <row r="5" spans="1:10" x14ac:dyDescent="0.15">
      <c r="A5" s="222"/>
      <c r="B5" s="984" t="s">
        <v>572</v>
      </c>
      <c r="C5" s="984"/>
      <c r="D5" s="984"/>
      <c r="E5" s="984"/>
      <c r="F5" s="984"/>
      <c r="G5" s="978"/>
      <c r="H5" s="979"/>
      <c r="I5" s="982"/>
      <c r="J5" s="983"/>
    </row>
    <row r="6" spans="1:10" x14ac:dyDescent="0.15">
      <c r="A6" s="222"/>
      <c r="B6" s="222"/>
      <c r="C6" s="988"/>
      <c r="D6" s="988"/>
      <c r="E6" s="988"/>
      <c r="F6" s="988"/>
      <c r="G6" s="978" t="s">
        <v>133</v>
      </c>
      <c r="H6" s="979"/>
      <c r="I6" s="989">
        <v>0</v>
      </c>
      <c r="J6" s="990"/>
    </row>
    <row r="7" spans="1:10" x14ac:dyDescent="0.15">
      <c r="A7" s="985" t="s">
        <v>284</v>
      </c>
      <c r="B7" s="985"/>
      <c r="C7" s="985"/>
      <c r="D7" s="985"/>
      <c r="E7" s="222"/>
      <c r="F7" s="222"/>
      <c r="G7" s="978"/>
      <c r="H7" s="979"/>
      <c r="I7" s="989"/>
      <c r="J7" s="990"/>
    </row>
    <row r="8" spans="1:10" x14ac:dyDescent="0.15">
      <c r="A8" s="997"/>
      <c r="B8" s="997"/>
      <c r="C8" s="23"/>
      <c r="D8" s="23"/>
      <c r="E8" s="23"/>
      <c r="F8" s="23"/>
      <c r="G8" s="978" t="s">
        <v>134</v>
      </c>
      <c r="H8" s="979"/>
      <c r="I8" s="998">
        <v>0</v>
      </c>
      <c r="J8" s="999"/>
    </row>
    <row r="9" spans="1:10" x14ac:dyDescent="0.15">
      <c r="A9" s="102" t="s">
        <v>285</v>
      </c>
      <c r="B9" s="23"/>
      <c r="C9" s="23"/>
      <c r="D9" s="23"/>
      <c r="E9" s="23"/>
      <c r="F9" s="23"/>
      <c r="G9" s="978"/>
      <c r="H9" s="979"/>
      <c r="I9" s="998"/>
      <c r="J9" s="999"/>
    </row>
    <row r="10" spans="1:10" x14ac:dyDescent="0.15">
      <c r="A10" s="997"/>
      <c r="B10" s="997"/>
      <c r="C10" s="23"/>
      <c r="D10" s="23"/>
      <c r="E10" s="23"/>
      <c r="F10" s="23"/>
      <c r="G10" s="978" t="s">
        <v>135</v>
      </c>
      <c r="H10" s="979"/>
      <c r="I10" s="998">
        <v>0</v>
      </c>
      <c r="J10" s="999"/>
    </row>
    <row r="11" spans="1:10" x14ac:dyDescent="0.15">
      <c r="A11" s="1017" t="s">
        <v>136</v>
      </c>
      <c r="B11" s="1018"/>
      <c r="C11" s="1018"/>
      <c r="D11" s="1018"/>
      <c r="E11" s="23"/>
      <c r="F11" s="23"/>
      <c r="G11" s="978"/>
      <c r="H11" s="979"/>
      <c r="I11" s="998"/>
      <c r="J11" s="999"/>
    </row>
    <row r="12" spans="1:10" x14ac:dyDescent="0.15">
      <c r="A12" s="997"/>
      <c r="B12" s="997"/>
      <c r="C12" s="23"/>
      <c r="D12" s="23"/>
      <c r="E12" s="23"/>
      <c r="F12" s="23"/>
      <c r="G12" s="978" t="s">
        <v>137</v>
      </c>
      <c r="H12" s="979"/>
      <c r="I12" s="998">
        <v>0</v>
      </c>
      <c r="J12" s="999"/>
    </row>
    <row r="13" spans="1:10" ht="15" thickBot="1" x14ac:dyDescent="0.2">
      <c r="A13" s="102" t="s">
        <v>164</v>
      </c>
      <c r="B13" s="102"/>
      <c r="C13" s="23"/>
      <c r="D13" s="23"/>
      <c r="E13" s="23"/>
      <c r="F13" s="23"/>
      <c r="G13" s="978"/>
      <c r="H13" s="979"/>
      <c r="I13" s="1000"/>
      <c r="J13" s="1001"/>
    </row>
    <row r="14" spans="1:10" x14ac:dyDescent="0.15">
      <c r="A14" s="997"/>
      <c r="B14" s="997"/>
      <c r="C14" s="23"/>
      <c r="D14" s="23"/>
      <c r="E14" s="23"/>
      <c r="F14" s="23"/>
      <c r="G14" s="978" t="s">
        <v>138</v>
      </c>
      <c r="H14" s="979"/>
      <c r="I14" s="1020">
        <f>I4+I6+I8+I10+I12</f>
        <v>31628014.210000001</v>
      </c>
      <c r="J14" s="1021"/>
    </row>
    <row r="15" spans="1:10" ht="15" thickBot="1" x14ac:dyDescent="0.2">
      <c r="A15" s="23"/>
      <c r="B15" s="23"/>
      <c r="C15" s="23"/>
      <c r="D15" s="23"/>
      <c r="E15" s="23"/>
      <c r="F15" s="23"/>
      <c r="G15" s="978"/>
      <c r="H15" s="979"/>
      <c r="I15" s="1022"/>
      <c r="J15" s="1023"/>
    </row>
    <row r="16" spans="1:10" ht="21.75" x14ac:dyDescent="0.25">
      <c r="A16" s="764" t="s">
        <v>287</v>
      </c>
      <c r="B16" s="764"/>
      <c r="C16" s="764"/>
      <c r="D16" s="764"/>
      <c r="E16" s="764"/>
      <c r="F16" s="764"/>
      <c r="G16" s="764"/>
      <c r="H16" s="23"/>
      <c r="I16" s="23"/>
      <c r="J16" s="23"/>
    </row>
    <row r="17" spans="1:13" ht="32.25" customHeight="1" x14ac:dyDescent="0.25">
      <c r="A17" s="1006" t="s">
        <v>383</v>
      </c>
      <c r="B17" s="1006"/>
      <c r="C17" s="1006"/>
      <c r="D17" s="1006"/>
      <c r="E17" s="1006"/>
      <c r="F17" s="1007">
        <f>J21</f>
        <v>14577950.89775</v>
      </c>
      <c r="G17" s="1007"/>
      <c r="H17" s="763"/>
      <c r="I17" s="763"/>
      <c r="J17" s="763"/>
    </row>
    <row r="18" spans="1:13" ht="25.5" customHeight="1" x14ac:dyDescent="0.15">
      <c r="A18" s="1005"/>
      <c r="B18" s="1005"/>
      <c r="C18" s="1005"/>
      <c r="D18" s="763"/>
      <c r="E18" s="763"/>
      <c r="F18" s="763"/>
      <c r="G18" s="763"/>
      <c r="H18" s="763"/>
      <c r="I18" s="763"/>
      <c r="J18" s="763"/>
    </row>
    <row r="19" spans="1:13" ht="27" customHeight="1" x14ac:dyDescent="0.15">
      <c r="A19" s="23"/>
      <c r="B19" s="23"/>
      <c r="C19" s="23"/>
      <c r="D19" s="23"/>
      <c r="E19" s="23"/>
      <c r="F19" s="23"/>
      <c r="G19" s="23"/>
      <c r="H19" s="23"/>
      <c r="I19" s="23"/>
      <c r="J19" s="23"/>
    </row>
    <row r="20" spans="1:13" ht="27" customHeight="1" thickBot="1" x14ac:dyDescent="0.2">
      <c r="A20" s="23"/>
      <c r="B20" s="23"/>
      <c r="C20" s="23"/>
      <c r="D20" s="23"/>
      <c r="E20" s="23"/>
      <c r="F20" s="23"/>
      <c r="G20" s="23"/>
      <c r="H20" s="23"/>
      <c r="I20" s="1024"/>
      <c r="J20" s="1024"/>
    </row>
    <row r="21" spans="1:13" ht="27" customHeight="1" thickBot="1" x14ac:dyDescent="0.25">
      <c r="A21" s="991" t="s">
        <v>139</v>
      </c>
      <c r="B21" s="992"/>
      <c r="C21" s="993"/>
      <c r="D21" s="23"/>
      <c r="E21" s="23"/>
      <c r="F21" s="23"/>
      <c r="G21" s="23"/>
      <c r="H21" s="23"/>
      <c r="I21" s="192" t="s">
        <v>140</v>
      </c>
      <c r="J21" s="193">
        <f>summary!F24</f>
        <v>14577950.89775</v>
      </c>
    </row>
    <row r="22" spans="1:13" ht="27" customHeight="1" thickBot="1" x14ac:dyDescent="0.25">
      <c r="A22" s="994"/>
      <c r="B22" s="995"/>
      <c r="C22" s="996"/>
      <c r="D22" s="135"/>
      <c r="E22" s="1025" t="s">
        <v>45</v>
      </c>
      <c r="F22" s="1025"/>
      <c r="G22" s="991" t="s">
        <v>141</v>
      </c>
      <c r="H22" s="993"/>
      <c r="I22" s="194" t="s">
        <v>39</v>
      </c>
      <c r="J22" s="195">
        <f>J21*0.15</f>
        <v>2186692.6346624997</v>
      </c>
      <c r="M22" s="6"/>
    </row>
    <row r="23" spans="1:13" ht="27" customHeight="1" thickTop="1" thickBot="1" x14ac:dyDescent="0.25">
      <c r="A23" s="103" t="s">
        <v>142</v>
      </c>
      <c r="B23" s="104" t="s">
        <v>39</v>
      </c>
      <c r="C23" s="105" t="s">
        <v>44</v>
      </c>
      <c r="D23" s="135"/>
      <c r="E23" s="1004"/>
      <c r="F23" s="1004"/>
      <c r="G23" s="1002"/>
      <c r="H23" s="1003"/>
      <c r="I23" s="196" t="s">
        <v>143</v>
      </c>
      <c r="J23" s="197">
        <f>J21+J22</f>
        <v>16764643.532412499</v>
      </c>
    </row>
    <row r="24" spans="1:13" ht="27" customHeight="1" x14ac:dyDescent="0.2">
      <c r="A24" s="106" t="s">
        <v>144</v>
      </c>
      <c r="B24" s="107">
        <f>C24*0.15</f>
        <v>825078.63150000002</v>
      </c>
      <c r="C24" s="223">
        <v>5500524.21</v>
      </c>
      <c r="D24" s="1019">
        <v>1</v>
      </c>
      <c r="E24" s="1011" t="s">
        <v>139</v>
      </c>
      <c r="F24" s="1012"/>
      <c r="G24" s="1026">
        <f>B36</f>
        <v>9589947.7899999991</v>
      </c>
      <c r="H24" s="1027"/>
      <c r="I24" s="198"/>
      <c r="J24" s="199"/>
    </row>
    <row r="25" spans="1:13" ht="27" customHeight="1" x14ac:dyDescent="0.2">
      <c r="A25" s="173">
        <v>1</v>
      </c>
      <c r="B25" s="174">
        <v>321735.57</v>
      </c>
      <c r="C25" s="175">
        <f>2332582.91-321735.57</f>
        <v>2010847.34</v>
      </c>
      <c r="D25" s="1019"/>
      <c r="E25" s="1011"/>
      <c r="F25" s="1012"/>
      <c r="G25" s="1015"/>
      <c r="H25" s="1016"/>
      <c r="I25" s="200"/>
      <c r="J25" s="201"/>
    </row>
    <row r="26" spans="1:13" ht="27" customHeight="1" x14ac:dyDescent="0.2">
      <c r="A26" s="173">
        <v>2</v>
      </c>
      <c r="B26" s="174">
        <v>267186.28000000003</v>
      </c>
      <c r="C26" s="175">
        <v>1669914.27</v>
      </c>
      <c r="D26" s="1019">
        <v>2</v>
      </c>
      <c r="E26" s="1011" t="s">
        <v>145</v>
      </c>
      <c r="F26" s="1012"/>
      <c r="G26" s="1015"/>
      <c r="H26" s="1016"/>
      <c r="I26" s="200"/>
      <c r="J26" s="201"/>
    </row>
    <row r="27" spans="1:13" ht="27" customHeight="1" x14ac:dyDescent="0.2">
      <c r="A27" s="173">
        <v>3</v>
      </c>
      <c r="B27" s="174">
        <v>279006.40000000002</v>
      </c>
      <c r="C27" s="175">
        <f>2022796.37-B27</f>
        <v>1743789.9700000002</v>
      </c>
      <c r="D27" s="1019"/>
      <c r="E27" s="1011"/>
      <c r="F27" s="1012"/>
      <c r="G27" s="1015"/>
      <c r="H27" s="1016"/>
      <c r="I27" s="200"/>
      <c r="J27" s="201"/>
    </row>
    <row r="28" spans="1:13" ht="27" customHeight="1" x14ac:dyDescent="0.2">
      <c r="A28" s="173">
        <v>4</v>
      </c>
      <c r="B28" s="174">
        <v>221707.21</v>
      </c>
      <c r="C28" s="176">
        <f>1607377.33-B28</f>
        <v>1385670.12</v>
      </c>
      <c r="D28" s="1019">
        <v>3</v>
      </c>
      <c r="E28" s="1011" t="s">
        <v>280</v>
      </c>
      <c r="F28" s="1012"/>
      <c r="G28" s="1015">
        <f>J21*0.05</f>
        <v>728897.5448875</v>
      </c>
      <c r="H28" s="1016"/>
      <c r="I28" s="200"/>
      <c r="J28" s="201"/>
    </row>
    <row r="29" spans="1:13" ht="27" customHeight="1" x14ac:dyDescent="0.2">
      <c r="A29" s="173">
        <v>5</v>
      </c>
      <c r="B29" s="174">
        <v>233155.95</v>
      </c>
      <c r="C29" s="176">
        <f>1690090.63-B29</f>
        <v>1456934.68</v>
      </c>
      <c r="D29" s="1019"/>
      <c r="E29" s="1011"/>
      <c r="F29" s="1012"/>
      <c r="G29" s="1015"/>
      <c r="H29" s="1016"/>
      <c r="I29" s="200"/>
      <c r="J29" s="201"/>
    </row>
    <row r="30" spans="1:13" ht="27" customHeight="1" x14ac:dyDescent="0.2">
      <c r="A30" s="173">
        <v>6</v>
      </c>
      <c r="B30" s="174"/>
      <c r="C30" s="175"/>
      <c r="D30" s="1019">
        <v>4</v>
      </c>
      <c r="E30" s="1011" t="s">
        <v>146</v>
      </c>
      <c r="F30" s="1012"/>
      <c r="G30" s="1013"/>
      <c r="H30" s="1014"/>
      <c r="I30" s="200"/>
      <c r="J30" s="201"/>
    </row>
    <row r="31" spans="1:13" ht="27" customHeight="1" x14ac:dyDescent="0.2">
      <c r="A31" s="108"/>
      <c r="B31" s="109"/>
      <c r="C31" s="110"/>
      <c r="D31" s="1019"/>
      <c r="E31" s="1011"/>
      <c r="F31" s="1012"/>
      <c r="G31" s="1013"/>
      <c r="H31" s="1014"/>
      <c r="I31" s="200"/>
      <c r="J31" s="201"/>
    </row>
    <row r="32" spans="1:13" ht="27" customHeight="1" x14ac:dyDescent="0.2">
      <c r="A32" s="108"/>
      <c r="B32" s="109"/>
      <c r="C32" s="110"/>
      <c r="D32" s="1008">
        <v>5</v>
      </c>
      <c r="E32" s="1009" t="s">
        <v>281</v>
      </c>
      <c r="F32" s="1010"/>
      <c r="G32" s="1015">
        <f>J23*0.2</f>
        <v>3352928.7064824998</v>
      </c>
      <c r="H32" s="1016"/>
      <c r="I32" s="200"/>
      <c r="J32" s="201"/>
    </row>
    <row r="33" spans="1:13" ht="27" customHeight="1" x14ac:dyDescent="0.2">
      <c r="A33" s="30"/>
      <c r="B33" s="109"/>
      <c r="C33" s="110"/>
      <c r="D33" s="1008"/>
      <c r="E33" s="1009"/>
      <c r="F33" s="1010"/>
      <c r="G33" s="1015"/>
      <c r="H33" s="1016"/>
      <c r="I33" s="200"/>
      <c r="J33" s="201"/>
    </row>
    <row r="34" spans="1:13" ht="27" customHeight="1" x14ac:dyDescent="0.2">
      <c r="A34" s="30"/>
      <c r="B34" s="109"/>
      <c r="C34" s="110"/>
      <c r="D34" s="135"/>
      <c r="E34" s="1008" t="s">
        <v>147</v>
      </c>
      <c r="F34" s="1032"/>
      <c r="G34" s="1013">
        <f>SUM(G24:H33)</f>
        <v>13671774.041369999</v>
      </c>
      <c r="H34" s="1014"/>
      <c r="I34" s="1039"/>
      <c r="J34" s="1040"/>
    </row>
    <row r="35" spans="1:13" ht="27" customHeight="1" thickBot="1" x14ac:dyDescent="0.25">
      <c r="A35" s="169" t="s">
        <v>148</v>
      </c>
      <c r="B35" s="177">
        <f>SUM(B25:B34)</f>
        <v>1322791.4100000001</v>
      </c>
      <c r="C35" s="178">
        <f>SUM(C25:C34)</f>
        <v>8267156.3799999999</v>
      </c>
      <c r="D35" s="135"/>
      <c r="E35" s="1008"/>
      <c r="F35" s="1032"/>
      <c r="G35" s="1036"/>
      <c r="H35" s="1037"/>
      <c r="I35" s="1041"/>
      <c r="J35" s="1042"/>
    </row>
    <row r="36" spans="1:13" ht="38.25" customHeight="1" thickBot="1" x14ac:dyDescent="0.3">
      <c r="A36" s="168" t="s">
        <v>149</v>
      </c>
      <c r="B36" s="1030">
        <f>B35+C35</f>
        <v>9589947.7899999991</v>
      </c>
      <c r="C36" s="1031"/>
      <c r="D36" s="1059" t="s">
        <v>150</v>
      </c>
      <c r="E36" s="1060"/>
      <c r="F36" s="1060"/>
      <c r="G36" s="1060"/>
      <c r="H36" s="1061"/>
      <c r="I36" s="1051">
        <f>J23-G34</f>
        <v>3092869.4910425004</v>
      </c>
      <c r="J36" s="1052"/>
      <c r="M36" s="6"/>
    </row>
    <row r="37" spans="1:13" ht="30.75" customHeight="1" x14ac:dyDescent="0.15">
      <c r="A37" s="1038"/>
      <c r="B37" s="1038"/>
      <c r="C37" s="1038"/>
      <c r="D37" s="23"/>
      <c r="E37" s="23"/>
      <c r="F37" s="23"/>
      <c r="G37" s="23"/>
      <c r="H37" s="23"/>
      <c r="I37" s="23"/>
      <c r="J37" s="23"/>
    </row>
    <row r="38" spans="1:13" s="179" customFormat="1" ht="33" customHeight="1" thickBot="1" x14ac:dyDescent="0.25">
      <c r="A38" s="1053" t="s">
        <v>151</v>
      </c>
      <c r="B38" s="1053"/>
      <c r="C38" s="1053"/>
      <c r="D38" s="1053"/>
      <c r="E38" s="1053"/>
      <c r="F38" s="1053"/>
      <c r="G38" s="1053"/>
      <c r="H38" s="1054" t="s">
        <v>152</v>
      </c>
      <c r="I38" s="1054"/>
      <c r="J38" s="1054"/>
    </row>
    <row r="39" spans="1:13" s="179" customFormat="1" ht="51" customHeight="1" thickBot="1" x14ac:dyDescent="0.25">
      <c r="A39" s="1055" t="s">
        <v>153</v>
      </c>
      <c r="B39" s="1028"/>
      <c r="C39" s="180" t="s">
        <v>154</v>
      </c>
      <c r="D39" s="1056" t="s">
        <v>155</v>
      </c>
      <c r="E39" s="1056"/>
      <c r="F39" s="1028" t="s">
        <v>156</v>
      </c>
      <c r="G39" s="1029"/>
      <c r="H39" s="1033" t="s">
        <v>152</v>
      </c>
      <c r="I39" s="1034"/>
      <c r="J39" s="1035"/>
      <c r="M39" s="929">
        <f>G34-M36</f>
        <v>13671774.041369999</v>
      </c>
    </row>
    <row r="40" spans="1:13" s="179" customFormat="1" ht="26.25" customHeight="1" thickTop="1" x14ac:dyDescent="0.2">
      <c r="A40" s="1064">
        <v>11022928.5</v>
      </c>
      <c r="B40" s="1065"/>
      <c r="C40" s="1065">
        <f>J21</f>
        <v>14577950.89775</v>
      </c>
      <c r="D40" s="1065">
        <f>C40-A40</f>
        <v>3555022.3977499995</v>
      </c>
      <c r="E40" s="1065"/>
      <c r="F40" s="181" t="s">
        <v>1</v>
      </c>
      <c r="G40" s="182">
        <f>B24+C24</f>
        <v>6325602.8415000001</v>
      </c>
      <c r="H40" s="183" t="s">
        <v>157</v>
      </c>
      <c r="I40" s="1045">
        <f>J22</f>
        <v>2186692.6346624997</v>
      </c>
      <c r="J40" s="1046"/>
      <c r="M40" s="929"/>
    </row>
    <row r="41" spans="1:13" s="179" customFormat="1" ht="39.75" customHeight="1" x14ac:dyDescent="0.2">
      <c r="A41" s="1066"/>
      <c r="B41" s="1067"/>
      <c r="C41" s="1067"/>
      <c r="D41" s="1067"/>
      <c r="E41" s="1067"/>
      <c r="F41" s="184" t="s">
        <v>158</v>
      </c>
      <c r="G41" s="185">
        <f>G32</f>
        <v>3352928.7064824998</v>
      </c>
      <c r="H41" s="186" t="s">
        <v>290</v>
      </c>
      <c r="I41" s="1047">
        <f>B35+0</f>
        <v>1322791.4100000001</v>
      </c>
      <c r="J41" s="1048"/>
      <c r="M41" s="929"/>
    </row>
    <row r="42" spans="1:13" s="179" customFormat="1" ht="39.75" customHeight="1" x14ac:dyDescent="0.2">
      <c r="A42" s="1066"/>
      <c r="B42" s="1067"/>
      <c r="C42" s="1067"/>
      <c r="D42" s="1067"/>
      <c r="E42" s="1067"/>
      <c r="F42" s="225"/>
      <c r="G42" s="226"/>
      <c r="H42" s="227" t="s">
        <v>289</v>
      </c>
      <c r="I42" s="1070">
        <v>434112.49</v>
      </c>
      <c r="J42" s="1071"/>
      <c r="M42" s="929">
        <f>(G32/1.15)*0.15</f>
        <v>437338.52693250001</v>
      </c>
    </row>
    <row r="43" spans="1:13" s="179" customFormat="1" ht="39.75" customHeight="1" x14ac:dyDescent="0.2">
      <c r="A43" s="1066"/>
      <c r="B43" s="1067"/>
      <c r="C43" s="1067"/>
      <c r="D43" s="1067"/>
      <c r="E43" s="1067"/>
      <c r="F43" s="225"/>
      <c r="G43" s="226"/>
      <c r="H43" s="227" t="s">
        <v>291</v>
      </c>
      <c r="I43" s="1043">
        <f>I42+I41</f>
        <v>1756903.9000000001</v>
      </c>
      <c r="J43" s="1044"/>
      <c r="M43" s="929"/>
    </row>
    <row r="44" spans="1:13" s="179" customFormat="1" ht="54.75" customHeight="1" thickBot="1" x14ac:dyDescent="0.25">
      <c r="A44" s="1068"/>
      <c r="B44" s="1069"/>
      <c r="C44" s="1069"/>
      <c r="D44" s="1069"/>
      <c r="E44" s="1069"/>
      <c r="F44" s="187" t="s">
        <v>159</v>
      </c>
      <c r="G44" s="188">
        <f>G40-G41</f>
        <v>2972674.1350175003</v>
      </c>
      <c r="H44" s="189" t="s">
        <v>99</v>
      </c>
      <c r="I44" s="1049">
        <f>I40-I43</f>
        <v>429788.73466249951</v>
      </c>
      <c r="J44" s="1050"/>
      <c r="M44" s="929"/>
    </row>
    <row r="45" spans="1:13" s="179" customFormat="1" ht="41.25" customHeight="1" thickBot="1" x14ac:dyDescent="0.25">
      <c r="H45" s="190"/>
      <c r="I45" s="190"/>
      <c r="J45" s="190"/>
      <c r="M45" s="929"/>
    </row>
    <row r="46" spans="1:13" s="179" customFormat="1" ht="26.25" customHeight="1" x14ac:dyDescent="0.25">
      <c r="A46" s="1057" t="s">
        <v>160</v>
      </c>
      <c r="B46" s="1057"/>
      <c r="C46" s="1057"/>
      <c r="D46" s="1057"/>
      <c r="E46" s="1057"/>
      <c r="F46" s="1058">
        <f>I36</f>
        <v>3092869.4910425004</v>
      </c>
      <c r="G46" s="1058"/>
      <c r="H46" s="191"/>
      <c r="I46" s="191"/>
      <c r="J46" s="191"/>
      <c r="M46" s="929"/>
    </row>
    <row r="47" spans="1:13" s="179" customFormat="1" ht="26.25" customHeight="1" x14ac:dyDescent="0.25">
      <c r="A47" s="973"/>
      <c r="B47" s="973"/>
      <c r="C47" s="973"/>
      <c r="D47" s="973"/>
      <c r="E47" s="973"/>
      <c r="F47" s="974"/>
      <c r="G47" s="974"/>
      <c r="H47" s="191"/>
      <c r="I47" s="191"/>
      <c r="J47" s="191"/>
      <c r="M47" s="929"/>
    </row>
    <row r="48" spans="1:13" s="179" customFormat="1" ht="26.25" customHeight="1" x14ac:dyDescent="0.2">
      <c r="A48" s="1062" t="s">
        <v>161</v>
      </c>
      <c r="B48" s="1062"/>
      <c r="C48" s="1062"/>
      <c r="D48" s="1063" t="s">
        <v>162</v>
      </c>
      <c r="E48" s="1063"/>
      <c r="F48" s="1063"/>
      <c r="G48" s="1063" t="s">
        <v>163</v>
      </c>
      <c r="H48" s="1063"/>
      <c r="I48" s="1063"/>
      <c r="J48" s="1063"/>
      <c r="M48" s="929"/>
    </row>
    <row r="49" spans="1:13" ht="17.25" customHeigh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M49" s="929"/>
    </row>
    <row r="50" spans="1:13" ht="18" x14ac:dyDescent="0.2">
      <c r="M50" s="929"/>
    </row>
    <row r="51" spans="1:13" ht="18" x14ac:dyDescent="0.2">
      <c r="M51" s="929"/>
    </row>
    <row r="52" spans="1:13" ht="18" x14ac:dyDescent="0.2">
      <c r="M52" s="929"/>
    </row>
    <row r="53" spans="1:13" ht="18" x14ac:dyDescent="0.2">
      <c r="M53" s="929"/>
    </row>
    <row r="54" spans="1:13" ht="18" x14ac:dyDescent="0.2">
      <c r="M54" s="929"/>
    </row>
    <row r="55" spans="1:13" ht="18" x14ac:dyDescent="0.2">
      <c r="M55" s="929"/>
    </row>
    <row r="56" spans="1:13" ht="18" x14ac:dyDescent="0.2">
      <c r="M56" s="929"/>
    </row>
    <row r="57" spans="1:13" ht="18" x14ac:dyDescent="0.2">
      <c r="M57" s="929"/>
    </row>
  </sheetData>
  <mergeCells count="76">
    <mergeCell ref="A46:E46"/>
    <mergeCell ref="F46:G46"/>
    <mergeCell ref="D36:H36"/>
    <mergeCell ref="A48:C48"/>
    <mergeCell ref="D48:F48"/>
    <mergeCell ref="G48:J48"/>
    <mergeCell ref="A40:B44"/>
    <mergeCell ref="C40:C44"/>
    <mergeCell ref="D40:E44"/>
    <mergeCell ref="I42:J42"/>
    <mergeCell ref="I43:J43"/>
    <mergeCell ref="I40:J40"/>
    <mergeCell ref="E28:F29"/>
    <mergeCell ref="I41:J41"/>
    <mergeCell ref="I44:J44"/>
    <mergeCell ref="I36:J36"/>
    <mergeCell ref="A38:G38"/>
    <mergeCell ref="H38:J38"/>
    <mergeCell ref="A39:B39"/>
    <mergeCell ref="D39:E39"/>
    <mergeCell ref="F39:G39"/>
    <mergeCell ref="B36:C36"/>
    <mergeCell ref="E34:F35"/>
    <mergeCell ref="H39:J39"/>
    <mergeCell ref="G34:H35"/>
    <mergeCell ref="A37:C37"/>
    <mergeCell ref="I34:J35"/>
    <mergeCell ref="I14:J15"/>
    <mergeCell ref="I20:J20"/>
    <mergeCell ref="D28:D29"/>
    <mergeCell ref="E22:F22"/>
    <mergeCell ref="G24:H25"/>
    <mergeCell ref="G28:H29"/>
    <mergeCell ref="D24:D25"/>
    <mergeCell ref="E24:F25"/>
    <mergeCell ref="A18:C18"/>
    <mergeCell ref="A17:E17"/>
    <mergeCell ref="F17:G17"/>
    <mergeCell ref="G10:H11"/>
    <mergeCell ref="D32:D33"/>
    <mergeCell ref="E32:F33"/>
    <mergeCell ref="E30:F31"/>
    <mergeCell ref="G30:H31"/>
    <mergeCell ref="E26:F27"/>
    <mergeCell ref="G26:H27"/>
    <mergeCell ref="A11:D11"/>
    <mergeCell ref="D26:D27"/>
    <mergeCell ref="A12:B12"/>
    <mergeCell ref="G32:H33"/>
    <mergeCell ref="D30:D31"/>
    <mergeCell ref="C6:F6"/>
    <mergeCell ref="G6:H7"/>
    <mergeCell ref="I6:J7"/>
    <mergeCell ref="A7:D7"/>
    <mergeCell ref="A21:C22"/>
    <mergeCell ref="A8:B8"/>
    <mergeCell ref="G8:H9"/>
    <mergeCell ref="I8:J9"/>
    <mergeCell ref="A10:B10"/>
    <mergeCell ref="I10:J11"/>
    <mergeCell ref="G12:H13"/>
    <mergeCell ref="I12:J13"/>
    <mergeCell ref="A14:B14"/>
    <mergeCell ref="G14:H15"/>
    <mergeCell ref="G22:H23"/>
    <mergeCell ref="E23:F23"/>
    <mergeCell ref="C4:E4"/>
    <mergeCell ref="G4:H5"/>
    <mergeCell ref="I4:J5"/>
    <mergeCell ref="B1:H1"/>
    <mergeCell ref="A2:C2"/>
    <mergeCell ref="E2:G2"/>
    <mergeCell ref="H2:J2"/>
    <mergeCell ref="B3:F3"/>
    <mergeCell ref="I3:J3"/>
    <mergeCell ref="B5:F5"/>
  </mergeCells>
  <pageMargins left="0.13" right="0.13" top="0.55000000000000004" bottom="0.13" header="0.3" footer="0.13"/>
  <pageSetup paperSize="9" scal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01"/>
  <sheetViews>
    <sheetView showWhiteSpace="0" zoomScale="70" zoomScaleNormal="70" zoomScaleSheetLayoutView="70" workbookViewId="0">
      <pane ySplit="4" topLeftCell="A83" activePane="bottomLeft" state="frozen"/>
      <selection pane="bottomLeft" activeCell="A95" sqref="A95:IV95"/>
    </sheetView>
  </sheetViews>
  <sheetFormatPr defaultColWidth="9.14453125" defaultRowHeight="14.25" x14ac:dyDescent="0.15"/>
  <cols>
    <col min="1" max="1" width="9.4140625" style="71" customWidth="1"/>
    <col min="2" max="2" width="49.234375" style="71" customWidth="1"/>
    <col min="3" max="3" width="6.3203125" style="345" bestFit="1" customWidth="1"/>
    <col min="4" max="4" width="13.31640625" style="71" customWidth="1"/>
    <col min="5" max="5" width="12.5078125" style="71" bestFit="1" customWidth="1"/>
    <col min="6" max="6" width="14.796875" style="71" customWidth="1"/>
    <col min="7" max="7" width="13.98828125" style="71" customWidth="1"/>
    <col min="8" max="8" width="14.125" style="71" bestFit="1" customWidth="1"/>
    <col min="9" max="10" width="19.1015625" style="71" bestFit="1" customWidth="1"/>
    <col min="11" max="11" width="18.83203125" style="71" customWidth="1"/>
    <col min="12" max="12" width="21.25390625" style="71" customWidth="1"/>
    <col min="13" max="13" width="14.2578125" style="626" customWidth="1"/>
    <col min="14" max="29" width="9.14453125" style="626"/>
    <col min="30" max="16384" width="9.14453125" style="71"/>
  </cols>
  <sheetData>
    <row r="1" spans="1:29" s="254" customFormat="1" ht="19.5" customHeight="1" thickBot="1" x14ac:dyDescent="0.2">
      <c r="A1" s="279"/>
      <c r="B1" s="1169" t="s">
        <v>70</v>
      </c>
      <c r="C1" s="1169"/>
      <c r="D1" s="1169"/>
      <c r="E1" s="1169"/>
      <c r="F1" s="1169"/>
      <c r="G1" s="1169"/>
      <c r="H1" s="1169"/>
      <c r="I1" s="1169"/>
      <c r="J1" s="1169"/>
      <c r="K1" s="1169"/>
      <c r="L1" s="90"/>
      <c r="M1" s="616"/>
      <c r="N1" s="616"/>
      <c r="O1" s="616"/>
      <c r="P1" s="616"/>
      <c r="Q1" s="616"/>
      <c r="R1" s="616"/>
      <c r="S1" s="616"/>
      <c r="T1" s="616"/>
      <c r="U1" s="616"/>
      <c r="V1" s="616"/>
      <c r="W1" s="616"/>
      <c r="X1" s="616"/>
      <c r="Y1" s="616"/>
      <c r="Z1" s="616"/>
      <c r="AA1" s="616"/>
      <c r="AB1" s="616"/>
      <c r="AC1" s="616"/>
    </row>
    <row r="2" spans="1:29" s="254" customFormat="1" ht="21.75" customHeight="1" x14ac:dyDescent="0.15">
      <c r="A2" s="1107" t="s">
        <v>61</v>
      </c>
      <c r="B2" s="1128" t="s">
        <v>54</v>
      </c>
      <c r="C2" s="1128" t="s">
        <v>5</v>
      </c>
      <c r="D2" s="1117" t="s">
        <v>4</v>
      </c>
      <c r="E2" s="1118"/>
      <c r="F2" s="1119"/>
      <c r="G2" s="1128" t="s">
        <v>334</v>
      </c>
      <c r="H2" s="1110" t="s">
        <v>8</v>
      </c>
      <c r="I2" s="1136" t="s">
        <v>50</v>
      </c>
      <c r="J2" s="1118"/>
      <c r="K2" s="1119"/>
      <c r="L2" s="503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  <c r="Y2" s="616"/>
      <c r="Z2" s="616"/>
      <c r="AA2" s="616"/>
      <c r="AB2" s="616"/>
      <c r="AC2" s="616"/>
    </row>
    <row r="3" spans="1:29" s="254" customFormat="1" ht="19.5" customHeight="1" x14ac:dyDescent="0.15">
      <c r="A3" s="1108"/>
      <c r="B3" s="1129"/>
      <c r="C3" s="1129"/>
      <c r="D3" s="1130" t="s">
        <v>62</v>
      </c>
      <c r="E3" s="1120" t="s">
        <v>63</v>
      </c>
      <c r="F3" s="1121"/>
      <c r="G3" s="1129"/>
      <c r="H3" s="1111"/>
      <c r="I3" s="1122" t="s">
        <v>6</v>
      </c>
      <c r="J3" s="1134" t="s">
        <v>7</v>
      </c>
      <c r="K3" s="1135"/>
      <c r="L3" s="1132" t="s">
        <v>336</v>
      </c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616"/>
      <c r="AB3" s="616"/>
      <c r="AC3" s="616"/>
    </row>
    <row r="4" spans="1:29" s="254" customFormat="1" ht="21" customHeight="1" thickBot="1" x14ac:dyDescent="0.2">
      <c r="A4" s="1109"/>
      <c r="B4" s="1123"/>
      <c r="C4" s="1123"/>
      <c r="D4" s="1131"/>
      <c r="E4" s="255" t="s">
        <v>98</v>
      </c>
      <c r="F4" s="255" t="s">
        <v>99</v>
      </c>
      <c r="G4" s="1129"/>
      <c r="H4" s="1112"/>
      <c r="I4" s="1123"/>
      <c r="J4" s="255" t="s">
        <v>98</v>
      </c>
      <c r="K4" s="255" t="s">
        <v>99</v>
      </c>
      <c r="L4" s="1133"/>
      <c r="M4" s="616"/>
      <c r="N4" s="616"/>
      <c r="O4" s="616"/>
      <c r="P4" s="616"/>
      <c r="Q4" s="616"/>
      <c r="R4" s="616"/>
      <c r="S4" s="616"/>
      <c r="T4" s="616"/>
      <c r="U4" s="616"/>
      <c r="V4" s="616"/>
      <c r="W4" s="616"/>
      <c r="X4" s="616"/>
      <c r="Y4" s="616"/>
      <c r="Z4" s="616"/>
      <c r="AA4" s="616"/>
      <c r="AB4" s="616"/>
      <c r="AC4" s="616"/>
    </row>
    <row r="5" spans="1:29" s="254" customFormat="1" ht="21" customHeight="1" thickBot="1" x14ac:dyDescent="0.2">
      <c r="A5" s="280" t="s">
        <v>102</v>
      </c>
      <c r="B5" s="257" t="s">
        <v>103</v>
      </c>
      <c r="C5" s="257" t="s">
        <v>104</v>
      </c>
      <c r="D5" s="258" t="s">
        <v>105</v>
      </c>
      <c r="E5" s="258" t="s">
        <v>106</v>
      </c>
      <c r="F5" s="258" t="s">
        <v>107</v>
      </c>
      <c r="G5" s="258"/>
      <c r="H5" s="259" t="s">
        <v>108</v>
      </c>
      <c r="I5" s="257" t="s">
        <v>116</v>
      </c>
      <c r="J5" s="258" t="s">
        <v>115</v>
      </c>
      <c r="K5" s="258" t="s">
        <v>114</v>
      </c>
      <c r="L5" s="260" t="s">
        <v>113</v>
      </c>
      <c r="M5" s="616"/>
      <c r="N5" s="616"/>
      <c r="O5" s="616"/>
      <c r="P5" s="616"/>
      <c r="Q5" s="616"/>
      <c r="R5" s="616"/>
      <c r="S5" s="616"/>
      <c r="T5" s="616"/>
      <c r="U5" s="616"/>
      <c r="V5" s="616"/>
      <c r="W5" s="616"/>
      <c r="X5" s="616"/>
      <c r="Y5" s="616"/>
      <c r="Z5" s="616"/>
      <c r="AA5" s="616"/>
      <c r="AB5" s="616"/>
      <c r="AC5" s="616"/>
    </row>
    <row r="6" spans="1:29" s="84" customFormat="1" x14ac:dyDescent="0.15">
      <c r="A6" s="532"/>
      <c r="B6" s="326" t="s">
        <v>9</v>
      </c>
      <c r="C6" s="162"/>
      <c r="D6" s="294"/>
      <c r="E6" s="162"/>
      <c r="F6" s="162"/>
      <c r="G6" s="162"/>
      <c r="H6" s="294"/>
      <c r="I6" s="294"/>
      <c r="J6" s="295"/>
      <c r="K6" s="545"/>
      <c r="L6" s="296"/>
      <c r="M6" s="626"/>
      <c r="N6" s="626"/>
      <c r="O6" s="626"/>
      <c r="P6" s="626"/>
      <c r="Q6" s="626"/>
      <c r="R6" s="626"/>
      <c r="S6" s="626"/>
      <c r="T6" s="626"/>
      <c r="U6" s="626"/>
      <c r="V6" s="626"/>
      <c r="W6" s="626"/>
      <c r="X6" s="626"/>
      <c r="Y6" s="626"/>
      <c r="Z6" s="626"/>
      <c r="AA6" s="626"/>
      <c r="AB6" s="626"/>
      <c r="AC6" s="626"/>
    </row>
    <row r="7" spans="1:29" s="84" customFormat="1" x14ac:dyDescent="0.15">
      <c r="A7" s="533">
        <v>1</v>
      </c>
      <c r="B7" s="534" t="s">
        <v>10</v>
      </c>
      <c r="C7" s="40"/>
      <c r="D7" s="39"/>
      <c r="E7" s="40"/>
      <c r="F7" s="40"/>
      <c r="G7" s="40"/>
      <c r="H7" s="39"/>
      <c r="I7" s="39"/>
      <c r="J7" s="231"/>
      <c r="K7" s="546"/>
      <c r="L7" s="300"/>
      <c r="M7" s="626"/>
      <c r="N7" s="626"/>
      <c r="O7" s="626"/>
      <c r="P7" s="626"/>
      <c r="Q7" s="626"/>
      <c r="R7" s="626"/>
      <c r="S7" s="626"/>
      <c r="T7" s="626"/>
      <c r="U7" s="626"/>
      <c r="V7" s="626"/>
      <c r="W7" s="626"/>
      <c r="X7" s="626"/>
      <c r="Y7" s="626"/>
      <c r="Z7" s="626"/>
      <c r="AA7" s="626"/>
      <c r="AB7" s="626"/>
      <c r="AC7" s="626"/>
    </row>
    <row r="8" spans="1:29" s="84" customFormat="1" x14ac:dyDescent="0.15">
      <c r="A8" s="419">
        <v>1.01</v>
      </c>
      <c r="B8" s="315" t="s">
        <v>18</v>
      </c>
      <c r="C8" s="35" t="s">
        <v>11</v>
      </c>
      <c r="D8" s="31">
        <v>427</v>
      </c>
      <c r="E8" s="35">
        <v>426.3</v>
      </c>
      <c r="F8" s="35"/>
      <c r="G8" s="35">
        <f t="shared" ref="G8:G13" si="0">F8+E8</f>
        <v>426.3</v>
      </c>
      <c r="H8" s="31">
        <f>EMERGENCY!H8</f>
        <v>6</v>
      </c>
      <c r="I8" s="31">
        <f t="shared" ref="I8:I13" si="1">D8*H8</f>
        <v>2562</v>
      </c>
      <c r="J8" s="31">
        <f t="shared" ref="J8:J13" si="2">E8*H8</f>
        <v>2557.8000000000002</v>
      </c>
      <c r="K8" s="44">
        <f t="shared" ref="K8:K13" si="3">H8*F8</f>
        <v>0</v>
      </c>
      <c r="L8" s="300">
        <f t="shared" ref="L8:L13" si="4">K8+J8</f>
        <v>2557.8000000000002</v>
      </c>
      <c r="M8" s="630"/>
      <c r="N8" s="626"/>
      <c r="O8" s="626"/>
      <c r="P8" s="626"/>
      <c r="Q8" s="626"/>
      <c r="R8" s="626"/>
      <c r="S8" s="626"/>
      <c r="T8" s="626"/>
      <c r="U8" s="626"/>
      <c r="V8" s="626"/>
      <c r="W8" s="626"/>
      <c r="X8" s="626"/>
      <c r="Y8" s="626"/>
      <c r="Z8" s="626"/>
      <c r="AA8" s="626"/>
      <c r="AB8" s="626"/>
      <c r="AC8" s="626"/>
    </row>
    <row r="9" spans="1:29" s="84" customFormat="1" x14ac:dyDescent="0.15">
      <c r="A9" s="419">
        <v>1.02</v>
      </c>
      <c r="B9" s="315" t="s">
        <v>100</v>
      </c>
      <c r="C9" s="35" t="s">
        <v>12</v>
      </c>
      <c r="D9" s="31">
        <v>514</v>
      </c>
      <c r="E9" s="35">
        <v>266.39999999999998</v>
      </c>
      <c r="F9" s="35"/>
      <c r="G9" s="35">
        <f t="shared" si="0"/>
        <v>266.39999999999998</v>
      </c>
      <c r="H9" s="31">
        <f>EMERGENCY!H9</f>
        <v>25</v>
      </c>
      <c r="I9" s="31">
        <f t="shared" si="1"/>
        <v>12850</v>
      </c>
      <c r="J9" s="31">
        <f t="shared" si="2"/>
        <v>6659.9999999999991</v>
      </c>
      <c r="K9" s="44">
        <f t="shared" si="3"/>
        <v>0</v>
      </c>
      <c r="L9" s="300">
        <f t="shared" si="4"/>
        <v>6659.9999999999991</v>
      </c>
      <c r="M9" s="630"/>
      <c r="N9" s="626"/>
      <c r="O9" s="626"/>
      <c r="P9" s="626"/>
      <c r="Q9" s="626"/>
      <c r="R9" s="626"/>
      <c r="S9" s="626"/>
      <c r="T9" s="626"/>
      <c r="U9" s="626"/>
      <c r="V9" s="626"/>
      <c r="W9" s="626"/>
      <c r="X9" s="626"/>
      <c r="Y9" s="626"/>
      <c r="Z9" s="626"/>
      <c r="AA9" s="626"/>
      <c r="AB9" s="626"/>
      <c r="AC9" s="626"/>
    </row>
    <row r="10" spans="1:29" s="84" customFormat="1" x14ac:dyDescent="0.15">
      <c r="A10" s="419">
        <v>1.04</v>
      </c>
      <c r="B10" s="315" t="s">
        <v>13</v>
      </c>
      <c r="C10" s="35" t="s">
        <v>12</v>
      </c>
      <c r="D10" s="31">
        <v>171.33</v>
      </c>
      <c r="E10" s="35"/>
      <c r="F10" s="35"/>
      <c r="G10" s="35">
        <f t="shared" si="0"/>
        <v>0</v>
      </c>
      <c r="H10" s="31">
        <f>EMERGENCY!H10</f>
        <v>35</v>
      </c>
      <c r="I10" s="31">
        <f t="shared" si="1"/>
        <v>5996.55</v>
      </c>
      <c r="J10" s="31">
        <f t="shared" si="2"/>
        <v>0</v>
      </c>
      <c r="K10" s="44">
        <f t="shared" si="3"/>
        <v>0</v>
      </c>
      <c r="L10" s="300">
        <f t="shared" si="4"/>
        <v>0</v>
      </c>
      <c r="M10" s="630"/>
      <c r="N10" s="626"/>
      <c r="O10" s="626"/>
      <c r="P10" s="626"/>
      <c r="Q10" s="626"/>
      <c r="R10" s="626"/>
      <c r="S10" s="626"/>
      <c r="T10" s="626"/>
      <c r="U10" s="626"/>
      <c r="V10" s="626"/>
      <c r="W10" s="626"/>
      <c r="X10" s="626"/>
      <c r="Y10" s="626"/>
      <c r="Z10" s="626"/>
      <c r="AA10" s="626"/>
      <c r="AB10" s="626"/>
      <c r="AC10" s="626"/>
    </row>
    <row r="11" spans="1:29" s="84" customFormat="1" x14ac:dyDescent="0.15">
      <c r="A11" s="419">
        <v>1.05</v>
      </c>
      <c r="B11" s="315" t="s">
        <v>101</v>
      </c>
      <c r="C11" s="35" t="s">
        <v>12</v>
      </c>
      <c r="D11" s="31">
        <v>685.33</v>
      </c>
      <c r="E11" s="35">
        <f>241.55+66.41</f>
        <v>307.96000000000004</v>
      </c>
      <c r="F11" s="35"/>
      <c r="G11" s="35">
        <f t="shared" si="0"/>
        <v>307.96000000000004</v>
      </c>
      <c r="H11" s="31">
        <f>EMERGENCY!H11</f>
        <v>40</v>
      </c>
      <c r="I11" s="31">
        <f t="shared" si="1"/>
        <v>27413.200000000001</v>
      </c>
      <c r="J11" s="31">
        <f t="shared" si="2"/>
        <v>12318.400000000001</v>
      </c>
      <c r="K11" s="44">
        <f t="shared" si="3"/>
        <v>0</v>
      </c>
      <c r="L11" s="300">
        <f t="shared" si="4"/>
        <v>12318.400000000001</v>
      </c>
      <c r="M11" s="630"/>
      <c r="N11" s="626"/>
      <c r="O11" s="626"/>
      <c r="P11" s="626"/>
      <c r="Q11" s="626"/>
      <c r="R11" s="626"/>
      <c r="S11" s="626"/>
      <c r="T11" s="626"/>
      <c r="U11" s="626"/>
      <c r="V11" s="626"/>
      <c r="W11" s="626"/>
      <c r="X11" s="626"/>
      <c r="Y11" s="626"/>
      <c r="Z11" s="626"/>
      <c r="AA11" s="626"/>
      <c r="AB11" s="626"/>
      <c r="AC11" s="626"/>
    </row>
    <row r="12" spans="1:29" s="84" customFormat="1" x14ac:dyDescent="0.15">
      <c r="A12" s="419">
        <v>1.06</v>
      </c>
      <c r="B12" s="419" t="s">
        <v>87</v>
      </c>
      <c r="C12" s="35" t="s">
        <v>12</v>
      </c>
      <c r="D12" s="31">
        <v>813.43</v>
      </c>
      <c r="E12" s="52">
        <v>369.44</v>
      </c>
      <c r="F12" s="35"/>
      <c r="G12" s="35">
        <f t="shared" si="0"/>
        <v>369.44</v>
      </c>
      <c r="H12" s="31">
        <f>EMERGENCY!H12</f>
        <v>25</v>
      </c>
      <c r="I12" s="31">
        <f t="shared" si="1"/>
        <v>20335.75</v>
      </c>
      <c r="J12" s="31">
        <f t="shared" si="2"/>
        <v>9236</v>
      </c>
      <c r="K12" s="44">
        <f t="shared" si="3"/>
        <v>0</v>
      </c>
      <c r="L12" s="300">
        <f t="shared" si="4"/>
        <v>9236</v>
      </c>
      <c r="M12" s="634"/>
      <c r="N12" s="626"/>
      <c r="O12" s="626"/>
      <c r="P12" s="626"/>
      <c r="Q12" s="626"/>
      <c r="R12" s="626"/>
      <c r="S12" s="626"/>
      <c r="T12" s="626"/>
      <c r="U12" s="626"/>
      <c r="V12" s="626"/>
      <c r="W12" s="626"/>
      <c r="X12" s="626"/>
      <c r="Y12" s="626"/>
      <c r="Z12" s="626"/>
      <c r="AA12" s="626"/>
      <c r="AB12" s="626"/>
      <c r="AC12" s="626"/>
    </row>
    <row r="13" spans="1:29" s="84" customFormat="1" x14ac:dyDescent="0.15">
      <c r="A13" s="317">
        <v>1.07</v>
      </c>
      <c r="B13" s="317" t="s">
        <v>94</v>
      </c>
      <c r="C13" s="51" t="s">
        <v>11</v>
      </c>
      <c r="D13" s="50">
        <v>292</v>
      </c>
      <c r="E13" s="631">
        <v>300.51</v>
      </c>
      <c r="F13" s="630"/>
      <c r="G13" s="35">
        <f t="shared" si="0"/>
        <v>300.51</v>
      </c>
      <c r="H13" s="31">
        <f>EMERGENCY!H13</f>
        <v>105</v>
      </c>
      <c r="I13" s="31">
        <f t="shared" si="1"/>
        <v>30660</v>
      </c>
      <c r="J13" s="31">
        <f t="shared" si="2"/>
        <v>31553.55</v>
      </c>
      <c r="K13" s="44">
        <f t="shared" si="3"/>
        <v>0</v>
      </c>
      <c r="L13" s="300">
        <f t="shared" si="4"/>
        <v>31553.55</v>
      </c>
      <c r="M13" s="631"/>
      <c r="N13" s="626"/>
      <c r="O13" s="626"/>
      <c r="P13" s="626"/>
      <c r="Q13" s="626"/>
      <c r="R13" s="626"/>
      <c r="S13" s="626"/>
      <c r="T13" s="626"/>
      <c r="U13" s="626"/>
      <c r="V13" s="626"/>
      <c r="W13" s="626"/>
      <c r="X13" s="626"/>
      <c r="Y13" s="626"/>
      <c r="Z13" s="626"/>
      <c r="AA13" s="626"/>
      <c r="AB13" s="626"/>
      <c r="AC13" s="626"/>
    </row>
    <row r="14" spans="1:29" s="569" customFormat="1" ht="23.25" customHeight="1" thickBot="1" x14ac:dyDescent="0.2">
      <c r="A14" s="580"/>
      <c r="B14" s="1101" t="s">
        <v>64</v>
      </c>
      <c r="C14" s="1102"/>
      <c r="D14" s="1102"/>
      <c r="E14" s="1102"/>
      <c r="F14" s="1102"/>
      <c r="G14" s="1102"/>
      <c r="H14" s="1103"/>
      <c r="I14" s="568">
        <f>SUM(I8:I13)</f>
        <v>99817.5</v>
      </c>
      <c r="J14" s="568">
        <f>SUM(J8:J13)</f>
        <v>62325.75</v>
      </c>
      <c r="K14" s="568">
        <f>SUM(K8:K13)</f>
        <v>0</v>
      </c>
      <c r="L14" s="568">
        <f>SUM(L8:L13)</f>
        <v>62325.75</v>
      </c>
      <c r="M14" s="616"/>
      <c r="N14" s="616"/>
      <c r="O14" s="616"/>
      <c r="P14" s="616"/>
      <c r="Q14" s="616"/>
      <c r="R14" s="616"/>
      <c r="S14" s="616"/>
      <c r="T14" s="616"/>
      <c r="U14" s="616"/>
      <c r="V14" s="616"/>
      <c r="W14" s="616"/>
      <c r="X14" s="616"/>
      <c r="Y14" s="616"/>
      <c r="Z14" s="616"/>
      <c r="AA14" s="616"/>
      <c r="AB14" s="616"/>
      <c r="AC14" s="616"/>
    </row>
    <row r="15" spans="1:29" s="84" customFormat="1" x14ac:dyDescent="0.15">
      <c r="A15" s="338"/>
      <c r="B15" s="538" t="s">
        <v>19</v>
      </c>
      <c r="C15" s="57"/>
      <c r="D15" s="56"/>
      <c r="E15" s="57"/>
      <c r="F15" s="57"/>
      <c r="G15" s="57"/>
      <c r="H15" s="56"/>
      <c r="I15" s="56"/>
      <c r="J15" s="56"/>
      <c r="K15" s="58"/>
      <c r="L15" s="311"/>
      <c r="M15" s="626"/>
      <c r="N15" s="626"/>
      <c r="O15" s="626"/>
      <c r="P15" s="626"/>
      <c r="Q15" s="626"/>
      <c r="R15" s="626"/>
      <c r="S15" s="626"/>
      <c r="T15" s="626"/>
      <c r="U15" s="626"/>
      <c r="V15" s="626"/>
      <c r="W15" s="626"/>
      <c r="X15" s="626"/>
      <c r="Y15" s="626"/>
      <c r="Z15" s="626"/>
      <c r="AA15" s="626"/>
      <c r="AB15" s="626"/>
      <c r="AC15" s="626"/>
    </row>
    <row r="16" spans="1:29" s="84" customFormat="1" x14ac:dyDescent="0.15">
      <c r="A16" s="419">
        <v>2.0099999999999998</v>
      </c>
      <c r="B16" s="315" t="s">
        <v>20</v>
      </c>
      <c r="C16" s="35"/>
      <c r="D16" s="39"/>
      <c r="E16" s="40"/>
      <c r="F16" s="40"/>
      <c r="G16" s="40"/>
      <c r="H16" s="31"/>
      <c r="I16" s="39"/>
      <c r="J16" s="39"/>
      <c r="K16" s="46"/>
      <c r="L16" s="300"/>
      <c r="M16" s="626"/>
      <c r="N16" s="626"/>
      <c r="O16" s="626"/>
      <c r="P16" s="626"/>
      <c r="Q16" s="626"/>
      <c r="R16" s="626"/>
      <c r="S16" s="626"/>
      <c r="T16" s="626"/>
      <c r="U16" s="626"/>
      <c r="V16" s="626"/>
      <c r="W16" s="626"/>
      <c r="X16" s="626"/>
      <c r="Y16" s="626"/>
      <c r="Z16" s="626"/>
      <c r="AA16" s="626"/>
      <c r="AB16" s="626"/>
      <c r="AC16" s="626"/>
    </row>
    <row r="17" spans="1:29" s="84" customFormat="1" x14ac:dyDescent="0.15">
      <c r="A17" s="537"/>
      <c r="B17" s="315" t="s">
        <v>21</v>
      </c>
      <c r="C17" s="35" t="s">
        <v>11</v>
      </c>
      <c r="D17" s="31">
        <v>126</v>
      </c>
      <c r="E17" s="35">
        <f>99.28+4</f>
        <v>103.28</v>
      </c>
      <c r="F17" s="35">
        <f>103.28-E17</f>
        <v>0</v>
      </c>
      <c r="G17" s="35">
        <f>F17+E17</f>
        <v>103.28</v>
      </c>
      <c r="H17" s="31">
        <v>65</v>
      </c>
      <c r="I17" s="31">
        <f>D17*H17</f>
        <v>8190</v>
      </c>
      <c r="J17" s="31">
        <f>E17*H17</f>
        <v>6713.2</v>
      </c>
      <c r="K17" s="44">
        <f>H17*F17</f>
        <v>0</v>
      </c>
      <c r="L17" s="300">
        <f>K17+J17</f>
        <v>6713.2</v>
      </c>
      <c r="M17" s="630"/>
      <c r="N17" s="626"/>
      <c r="O17" s="626"/>
      <c r="P17" s="626"/>
      <c r="Q17" s="626"/>
      <c r="R17" s="626"/>
      <c r="S17" s="626"/>
      <c r="T17" s="626"/>
      <c r="U17" s="626"/>
      <c r="V17" s="626"/>
      <c r="W17" s="626"/>
      <c r="X17" s="626"/>
      <c r="Y17" s="626"/>
      <c r="Z17" s="626"/>
      <c r="AA17" s="626"/>
      <c r="AB17" s="626"/>
      <c r="AC17" s="626"/>
    </row>
    <row r="18" spans="1:29" s="84" customFormat="1" x14ac:dyDescent="0.15">
      <c r="A18" s="419"/>
      <c r="B18" s="315" t="s">
        <v>22</v>
      </c>
      <c r="C18" s="35" t="s">
        <v>11</v>
      </c>
      <c r="D18" s="31">
        <v>70</v>
      </c>
      <c r="E18" s="35">
        <v>34</v>
      </c>
      <c r="F18" s="35"/>
      <c r="G18" s="35">
        <f t="shared" ref="G18:G32" si="5">F18+E18</f>
        <v>34</v>
      </c>
      <c r="H18" s="31">
        <v>65</v>
      </c>
      <c r="I18" s="31">
        <f t="shared" ref="I18:I32" si="6">D18*H18</f>
        <v>4550</v>
      </c>
      <c r="J18" s="31">
        <f t="shared" ref="J18:J32" si="7">E18*H18</f>
        <v>2210</v>
      </c>
      <c r="K18" s="44">
        <f t="shared" ref="K18:K32" si="8">H18*F18</f>
        <v>0</v>
      </c>
      <c r="L18" s="300">
        <f t="shared" ref="L18:L32" si="9">K18+J18</f>
        <v>2210</v>
      </c>
      <c r="M18" s="630"/>
      <c r="N18" s="626"/>
      <c r="O18" s="626"/>
      <c r="P18" s="626"/>
      <c r="Q18" s="626"/>
      <c r="R18" s="626"/>
      <c r="S18" s="626"/>
      <c r="T18" s="626"/>
      <c r="U18" s="626"/>
      <c r="V18" s="626"/>
      <c r="W18" s="626"/>
      <c r="X18" s="626"/>
      <c r="Y18" s="626"/>
      <c r="Z18" s="626"/>
      <c r="AA18" s="626"/>
      <c r="AB18" s="626"/>
      <c r="AC18" s="626"/>
    </row>
    <row r="19" spans="1:29" s="84" customFormat="1" x14ac:dyDescent="0.15">
      <c r="A19" s="419">
        <v>2.2000000000000002</v>
      </c>
      <c r="B19" s="315" t="s">
        <v>126</v>
      </c>
      <c r="C19" s="35" t="s">
        <v>11</v>
      </c>
      <c r="D19" s="31">
        <v>292</v>
      </c>
      <c r="E19" s="35">
        <v>300.51</v>
      </c>
      <c r="F19" s="35"/>
      <c r="G19" s="35">
        <f t="shared" si="5"/>
        <v>300.51</v>
      </c>
      <c r="H19" s="31">
        <v>260</v>
      </c>
      <c r="I19" s="31">
        <f t="shared" si="6"/>
        <v>75920</v>
      </c>
      <c r="J19" s="31">
        <f t="shared" si="7"/>
        <v>78132.599999999991</v>
      </c>
      <c r="K19" s="44">
        <f t="shared" si="8"/>
        <v>0</v>
      </c>
      <c r="L19" s="300">
        <f t="shared" si="9"/>
        <v>78132.599999999991</v>
      </c>
      <c r="M19" s="630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626"/>
      <c r="AB19" s="626"/>
      <c r="AC19" s="626"/>
    </row>
    <row r="20" spans="1:29" s="84" customFormat="1" x14ac:dyDescent="0.15">
      <c r="A20" s="419">
        <v>2.2999999999999998</v>
      </c>
      <c r="B20" s="328" t="s">
        <v>120</v>
      </c>
      <c r="C20" s="35"/>
      <c r="D20" s="31"/>
      <c r="E20" s="35"/>
      <c r="F20" s="35"/>
      <c r="G20" s="35">
        <f t="shared" si="5"/>
        <v>0</v>
      </c>
      <c r="H20" s="31"/>
      <c r="I20" s="31">
        <f t="shared" si="6"/>
        <v>0</v>
      </c>
      <c r="J20" s="31">
        <f t="shared" si="7"/>
        <v>0</v>
      </c>
      <c r="K20" s="44">
        <f t="shared" si="8"/>
        <v>0</v>
      </c>
      <c r="L20" s="300">
        <f t="shared" si="9"/>
        <v>0</v>
      </c>
      <c r="M20" s="630"/>
      <c r="N20" s="626"/>
      <c r="O20" s="626"/>
      <c r="P20" s="626"/>
      <c r="Q20" s="626"/>
      <c r="R20" s="626"/>
      <c r="S20" s="626"/>
      <c r="T20" s="626"/>
      <c r="U20" s="626"/>
      <c r="V20" s="626"/>
      <c r="W20" s="626"/>
      <c r="X20" s="626"/>
      <c r="Y20" s="626"/>
      <c r="Z20" s="626"/>
      <c r="AA20" s="626"/>
      <c r="AB20" s="626"/>
      <c r="AC20" s="626"/>
    </row>
    <row r="21" spans="1:29" s="84" customFormat="1" x14ac:dyDescent="0.15">
      <c r="A21" s="419"/>
      <c r="B21" s="315" t="s">
        <v>84</v>
      </c>
      <c r="C21" s="35" t="s">
        <v>12</v>
      </c>
      <c r="D21" s="31">
        <v>15</v>
      </c>
      <c r="E21" s="35">
        <v>20.7</v>
      </c>
      <c r="F21" s="35"/>
      <c r="G21" s="35">
        <f t="shared" si="5"/>
        <v>20.7</v>
      </c>
      <c r="H21" s="31">
        <v>2600</v>
      </c>
      <c r="I21" s="31">
        <f t="shared" si="6"/>
        <v>39000</v>
      </c>
      <c r="J21" s="31">
        <f t="shared" si="7"/>
        <v>53820</v>
      </c>
      <c r="K21" s="44">
        <f t="shared" si="8"/>
        <v>0</v>
      </c>
      <c r="L21" s="300">
        <f t="shared" si="9"/>
        <v>53820</v>
      </c>
      <c r="M21" s="630"/>
      <c r="N21" s="626"/>
      <c r="O21" s="626"/>
      <c r="P21" s="626"/>
      <c r="Q21" s="626"/>
      <c r="R21" s="626"/>
      <c r="S21" s="626"/>
      <c r="T21" s="626"/>
      <c r="U21" s="626"/>
      <c r="V21" s="626"/>
      <c r="W21" s="626"/>
      <c r="X21" s="626"/>
      <c r="Y21" s="626"/>
      <c r="Z21" s="626"/>
      <c r="AA21" s="626"/>
      <c r="AB21" s="626"/>
      <c r="AC21" s="626"/>
    </row>
    <row r="22" spans="1:29" s="84" customFormat="1" x14ac:dyDescent="0.15">
      <c r="A22" s="419"/>
      <c r="B22" s="315" t="s">
        <v>23</v>
      </c>
      <c r="C22" s="35" t="s">
        <v>12</v>
      </c>
      <c r="D22" s="31">
        <v>12</v>
      </c>
      <c r="E22" s="35">
        <v>6.8</v>
      </c>
      <c r="F22" s="35"/>
      <c r="G22" s="35">
        <f t="shared" si="5"/>
        <v>6.8</v>
      </c>
      <c r="H22" s="31">
        <v>2600</v>
      </c>
      <c r="I22" s="31">
        <f t="shared" si="6"/>
        <v>31200</v>
      </c>
      <c r="J22" s="31">
        <f t="shared" si="7"/>
        <v>17680</v>
      </c>
      <c r="K22" s="44">
        <f t="shared" si="8"/>
        <v>0</v>
      </c>
      <c r="L22" s="300">
        <f t="shared" si="9"/>
        <v>17680</v>
      </c>
      <c r="M22" s="630"/>
      <c r="N22" s="626"/>
      <c r="O22" s="626"/>
      <c r="P22" s="626"/>
      <c r="Q22" s="626"/>
      <c r="R22" s="626"/>
      <c r="S22" s="626"/>
      <c r="T22" s="626"/>
      <c r="U22" s="626"/>
      <c r="V22" s="626"/>
      <c r="W22" s="626"/>
      <c r="X22" s="626"/>
      <c r="Y22" s="626"/>
      <c r="Z22" s="626"/>
      <c r="AA22" s="626"/>
      <c r="AB22" s="626"/>
      <c r="AC22" s="626"/>
    </row>
    <row r="23" spans="1:29" s="84" customFormat="1" x14ac:dyDescent="0.15">
      <c r="A23" s="419"/>
      <c r="B23" s="315" t="s">
        <v>24</v>
      </c>
      <c r="C23" s="35" t="s">
        <v>12</v>
      </c>
      <c r="D23" s="31">
        <v>6</v>
      </c>
      <c r="E23" s="35">
        <v>3.4</v>
      </c>
      <c r="F23" s="35"/>
      <c r="G23" s="35">
        <f t="shared" si="5"/>
        <v>3.4</v>
      </c>
      <c r="H23" s="31">
        <v>2600</v>
      </c>
      <c r="I23" s="31">
        <f t="shared" si="6"/>
        <v>15600</v>
      </c>
      <c r="J23" s="31">
        <f t="shared" si="7"/>
        <v>8840</v>
      </c>
      <c r="K23" s="44">
        <f t="shared" si="8"/>
        <v>0</v>
      </c>
      <c r="L23" s="300">
        <f t="shared" si="9"/>
        <v>8840</v>
      </c>
      <c r="M23" s="630"/>
      <c r="N23" s="626"/>
      <c r="O23" s="626"/>
      <c r="P23" s="626"/>
      <c r="Q23" s="626"/>
      <c r="R23" s="626"/>
      <c r="S23" s="626"/>
      <c r="T23" s="626"/>
      <c r="U23" s="626"/>
      <c r="V23" s="626"/>
      <c r="W23" s="626"/>
      <c r="X23" s="626"/>
      <c r="Y23" s="626"/>
      <c r="Z23" s="626"/>
      <c r="AA23" s="626"/>
      <c r="AB23" s="626"/>
      <c r="AC23" s="626"/>
    </row>
    <row r="24" spans="1:29" s="84" customFormat="1" x14ac:dyDescent="0.15">
      <c r="A24" s="419">
        <v>2.4</v>
      </c>
      <c r="B24" s="328" t="s">
        <v>109</v>
      </c>
      <c r="C24" s="35"/>
      <c r="D24" s="31"/>
      <c r="E24" s="35"/>
      <c r="F24" s="35"/>
      <c r="G24" s="35">
        <f t="shared" si="5"/>
        <v>0</v>
      </c>
      <c r="H24" s="31"/>
      <c r="I24" s="31">
        <f t="shared" si="6"/>
        <v>0</v>
      </c>
      <c r="J24" s="31">
        <f t="shared" si="7"/>
        <v>0</v>
      </c>
      <c r="K24" s="44">
        <f t="shared" si="8"/>
        <v>0</v>
      </c>
      <c r="L24" s="300">
        <f t="shared" si="9"/>
        <v>0</v>
      </c>
      <c r="M24" s="630"/>
      <c r="N24" s="626"/>
      <c r="O24" s="626"/>
      <c r="P24" s="626"/>
      <c r="Q24" s="626"/>
      <c r="R24" s="626"/>
      <c r="S24" s="626"/>
      <c r="T24" s="626"/>
      <c r="U24" s="626"/>
      <c r="V24" s="626"/>
      <c r="W24" s="626"/>
      <c r="X24" s="626"/>
      <c r="Y24" s="626"/>
      <c r="Z24" s="626"/>
      <c r="AA24" s="626"/>
      <c r="AB24" s="626"/>
      <c r="AC24" s="626"/>
    </row>
    <row r="25" spans="1:29" s="84" customFormat="1" x14ac:dyDescent="0.15">
      <c r="A25" s="419"/>
      <c r="B25" s="315" t="s">
        <v>84</v>
      </c>
      <c r="C25" s="35"/>
      <c r="D25" s="31">
        <v>148</v>
      </c>
      <c r="E25" s="35">
        <v>169.8</v>
      </c>
      <c r="F25" s="35"/>
      <c r="G25" s="35">
        <f t="shared" si="5"/>
        <v>169.8</v>
      </c>
      <c r="H25" s="31">
        <v>85</v>
      </c>
      <c r="I25" s="31">
        <f t="shared" si="6"/>
        <v>12580</v>
      </c>
      <c r="J25" s="31">
        <f t="shared" si="7"/>
        <v>14433.000000000002</v>
      </c>
      <c r="K25" s="44">
        <f t="shared" si="8"/>
        <v>0</v>
      </c>
      <c r="L25" s="300">
        <f t="shared" si="9"/>
        <v>14433.000000000002</v>
      </c>
      <c r="M25" s="630"/>
      <c r="N25" s="626"/>
      <c r="O25" s="626"/>
      <c r="P25" s="626"/>
      <c r="Q25" s="626"/>
      <c r="R25" s="626"/>
      <c r="S25" s="626"/>
      <c r="T25" s="626"/>
      <c r="U25" s="626"/>
      <c r="V25" s="626"/>
      <c r="W25" s="626"/>
      <c r="X25" s="626"/>
      <c r="Y25" s="626"/>
      <c r="Z25" s="626"/>
      <c r="AA25" s="626"/>
      <c r="AB25" s="626"/>
      <c r="AC25" s="626"/>
    </row>
    <row r="26" spans="1:29" s="84" customFormat="1" x14ac:dyDescent="0.15">
      <c r="A26" s="419"/>
      <c r="B26" s="315" t="s">
        <v>23</v>
      </c>
      <c r="C26" s="35" t="s">
        <v>11</v>
      </c>
      <c r="D26" s="31">
        <v>36</v>
      </c>
      <c r="E26" s="35">
        <v>27.2</v>
      </c>
      <c r="F26" s="35"/>
      <c r="G26" s="35">
        <f t="shared" si="5"/>
        <v>27.2</v>
      </c>
      <c r="H26" s="31">
        <v>85</v>
      </c>
      <c r="I26" s="31">
        <f t="shared" si="6"/>
        <v>3060</v>
      </c>
      <c r="J26" s="31">
        <f t="shared" si="7"/>
        <v>2312</v>
      </c>
      <c r="K26" s="44">
        <f t="shared" si="8"/>
        <v>0</v>
      </c>
      <c r="L26" s="300">
        <f t="shared" si="9"/>
        <v>2312</v>
      </c>
      <c r="M26" s="630"/>
      <c r="N26" s="626"/>
      <c r="O26" s="626"/>
      <c r="P26" s="626"/>
      <c r="Q26" s="626"/>
      <c r="R26" s="626"/>
      <c r="S26" s="626"/>
      <c r="T26" s="626"/>
      <c r="U26" s="626"/>
      <c r="V26" s="626"/>
      <c r="W26" s="626"/>
      <c r="X26" s="626"/>
      <c r="Y26" s="626"/>
      <c r="Z26" s="626"/>
      <c r="AA26" s="626"/>
      <c r="AB26" s="626"/>
      <c r="AC26" s="626"/>
    </row>
    <row r="27" spans="1:29" s="84" customFormat="1" x14ac:dyDescent="0.15">
      <c r="A27" s="419"/>
      <c r="B27" s="315" t="s">
        <v>24</v>
      </c>
      <c r="C27" s="35" t="s">
        <v>11</v>
      </c>
      <c r="D27" s="31">
        <v>93</v>
      </c>
      <c r="E27" s="35">
        <v>62.56</v>
      </c>
      <c r="F27" s="35"/>
      <c r="G27" s="35">
        <f t="shared" si="5"/>
        <v>62.56</v>
      </c>
      <c r="H27" s="31">
        <v>85</v>
      </c>
      <c r="I27" s="31">
        <f t="shared" si="6"/>
        <v>7905</v>
      </c>
      <c r="J27" s="31">
        <f t="shared" si="7"/>
        <v>5317.6</v>
      </c>
      <c r="K27" s="44">
        <f t="shared" si="8"/>
        <v>0</v>
      </c>
      <c r="L27" s="300">
        <f t="shared" si="9"/>
        <v>5317.6</v>
      </c>
      <c r="M27" s="630"/>
      <c r="N27" s="626"/>
      <c r="O27" s="626"/>
      <c r="P27" s="626"/>
      <c r="Q27" s="626"/>
      <c r="R27" s="626"/>
      <c r="S27" s="626"/>
      <c r="T27" s="626"/>
      <c r="U27" s="626"/>
      <c r="V27" s="626"/>
      <c r="W27" s="626"/>
      <c r="X27" s="626"/>
      <c r="Y27" s="626"/>
      <c r="Z27" s="626"/>
      <c r="AA27" s="626"/>
      <c r="AB27" s="626"/>
      <c r="AC27" s="626"/>
    </row>
    <row r="28" spans="1:29" s="84" customFormat="1" x14ac:dyDescent="0.15">
      <c r="A28" s="419">
        <v>2.5</v>
      </c>
      <c r="B28" s="328" t="s">
        <v>15</v>
      </c>
      <c r="C28" s="35"/>
      <c r="D28" s="31"/>
      <c r="E28" s="35"/>
      <c r="F28" s="35"/>
      <c r="G28" s="35">
        <f t="shared" si="5"/>
        <v>0</v>
      </c>
      <c r="H28" s="31"/>
      <c r="I28" s="31">
        <f t="shared" si="6"/>
        <v>0</v>
      </c>
      <c r="J28" s="31">
        <f t="shared" si="7"/>
        <v>0</v>
      </c>
      <c r="K28" s="44">
        <f t="shared" si="8"/>
        <v>0</v>
      </c>
      <c r="L28" s="300">
        <f t="shared" si="9"/>
        <v>0</v>
      </c>
      <c r="M28" s="630"/>
      <c r="N28" s="626"/>
      <c r="O28" s="626"/>
      <c r="P28" s="626"/>
      <c r="Q28" s="626"/>
      <c r="R28" s="626"/>
      <c r="S28" s="626"/>
      <c r="T28" s="626"/>
      <c r="U28" s="626"/>
      <c r="V28" s="626"/>
      <c r="W28" s="626"/>
      <c r="X28" s="626"/>
      <c r="Y28" s="626"/>
      <c r="Z28" s="626"/>
      <c r="AA28" s="626"/>
      <c r="AB28" s="626"/>
      <c r="AC28" s="626"/>
    </row>
    <row r="29" spans="1:29" s="84" customFormat="1" x14ac:dyDescent="0.15">
      <c r="A29" s="419"/>
      <c r="B29" s="315" t="s">
        <v>92</v>
      </c>
      <c r="C29" s="35"/>
      <c r="D29" s="31">
        <v>1121</v>
      </c>
      <c r="E29" s="35">
        <f>1262.99+374.24</f>
        <v>1637.23</v>
      </c>
      <c r="F29" s="35"/>
      <c r="G29" s="35">
        <f t="shared" si="5"/>
        <v>1637.23</v>
      </c>
      <c r="H29" s="31">
        <v>34</v>
      </c>
      <c r="I29" s="31">
        <f t="shared" si="6"/>
        <v>38114</v>
      </c>
      <c r="J29" s="31">
        <f t="shared" si="7"/>
        <v>55665.82</v>
      </c>
      <c r="K29" s="44">
        <f t="shared" si="8"/>
        <v>0</v>
      </c>
      <c r="L29" s="300">
        <f t="shared" si="9"/>
        <v>55665.82</v>
      </c>
      <c r="M29" s="630"/>
      <c r="N29" s="626"/>
      <c r="O29" s="626"/>
      <c r="P29" s="626"/>
      <c r="Q29" s="626"/>
      <c r="R29" s="626"/>
      <c r="S29" s="626"/>
      <c r="T29" s="626"/>
      <c r="U29" s="626"/>
      <c r="V29" s="626"/>
      <c r="W29" s="626"/>
      <c r="X29" s="626"/>
      <c r="Y29" s="626"/>
      <c r="Z29" s="626"/>
      <c r="AA29" s="626"/>
      <c r="AB29" s="626"/>
      <c r="AC29" s="626"/>
    </row>
    <row r="30" spans="1:29" s="84" customFormat="1" x14ac:dyDescent="0.15">
      <c r="A30" s="419"/>
      <c r="B30" s="315" t="s">
        <v>25</v>
      </c>
      <c r="C30" s="35" t="s">
        <v>16</v>
      </c>
      <c r="D30" s="31">
        <v>580</v>
      </c>
      <c r="E30" s="35">
        <f>610.27+291.87</f>
        <v>902.14</v>
      </c>
      <c r="F30" s="35"/>
      <c r="G30" s="35">
        <f t="shared" si="5"/>
        <v>902.14</v>
      </c>
      <c r="H30" s="31">
        <v>34</v>
      </c>
      <c r="I30" s="31">
        <f t="shared" si="6"/>
        <v>19720</v>
      </c>
      <c r="J30" s="31">
        <f t="shared" si="7"/>
        <v>30672.76</v>
      </c>
      <c r="K30" s="44">
        <f t="shared" si="8"/>
        <v>0</v>
      </c>
      <c r="L30" s="300">
        <f t="shared" si="9"/>
        <v>30672.76</v>
      </c>
      <c r="M30" s="630"/>
      <c r="N30" s="626"/>
      <c r="O30" s="626"/>
      <c r="P30" s="626"/>
      <c r="Q30" s="626"/>
      <c r="R30" s="626"/>
      <c r="S30" s="626"/>
      <c r="T30" s="626"/>
      <c r="U30" s="626"/>
      <c r="V30" s="626"/>
      <c r="W30" s="626"/>
      <c r="X30" s="626"/>
      <c r="Y30" s="626"/>
      <c r="Z30" s="626"/>
      <c r="AA30" s="626"/>
      <c r="AB30" s="626"/>
      <c r="AC30" s="626"/>
    </row>
    <row r="31" spans="1:29" s="84" customFormat="1" x14ac:dyDescent="0.15">
      <c r="A31" s="419"/>
      <c r="B31" s="315" t="s">
        <v>26</v>
      </c>
      <c r="C31" s="35" t="s">
        <v>16</v>
      </c>
      <c r="D31" s="31">
        <v>1635</v>
      </c>
      <c r="E31" s="35">
        <f>594.51+45.63+997.06</f>
        <v>1637.1999999999998</v>
      </c>
      <c r="F31" s="35"/>
      <c r="G31" s="35">
        <f t="shared" si="5"/>
        <v>1637.1999999999998</v>
      </c>
      <c r="H31" s="31">
        <v>35</v>
      </c>
      <c r="I31" s="31">
        <f t="shared" si="6"/>
        <v>57225</v>
      </c>
      <c r="J31" s="31">
        <f t="shared" si="7"/>
        <v>57301.999999999993</v>
      </c>
      <c r="K31" s="44">
        <f t="shared" si="8"/>
        <v>0</v>
      </c>
      <c r="L31" s="300">
        <f t="shared" si="9"/>
        <v>57301.999999999993</v>
      </c>
      <c r="M31" s="630"/>
      <c r="N31" s="626"/>
      <c r="O31" s="626"/>
      <c r="P31" s="626"/>
      <c r="Q31" s="626"/>
      <c r="R31" s="626"/>
      <c r="S31" s="626"/>
      <c r="T31" s="626"/>
      <c r="U31" s="626"/>
      <c r="V31" s="626"/>
      <c r="W31" s="626"/>
      <c r="X31" s="626"/>
      <c r="Y31" s="626"/>
      <c r="Z31" s="626"/>
      <c r="AA31" s="626"/>
      <c r="AB31" s="626"/>
      <c r="AC31" s="626"/>
    </row>
    <row r="32" spans="1:29" s="84" customFormat="1" x14ac:dyDescent="0.15">
      <c r="A32" s="314">
        <v>2.6</v>
      </c>
      <c r="B32" s="419" t="s">
        <v>199</v>
      </c>
      <c r="C32" s="35" t="s">
        <v>174</v>
      </c>
      <c r="D32" s="31">
        <v>221</v>
      </c>
      <c r="E32" s="35">
        <v>324.10000000000002</v>
      </c>
      <c r="F32" s="35"/>
      <c r="G32" s="35">
        <f t="shared" si="5"/>
        <v>324.10000000000002</v>
      </c>
      <c r="H32" s="31">
        <v>35</v>
      </c>
      <c r="I32" s="31">
        <f t="shared" si="6"/>
        <v>7735</v>
      </c>
      <c r="J32" s="31">
        <f t="shared" si="7"/>
        <v>11343.5</v>
      </c>
      <c r="K32" s="44">
        <f t="shared" si="8"/>
        <v>0</v>
      </c>
      <c r="L32" s="300">
        <f t="shared" si="9"/>
        <v>11343.5</v>
      </c>
      <c r="M32" s="630"/>
      <c r="N32" s="626"/>
      <c r="O32" s="626"/>
      <c r="P32" s="626"/>
      <c r="Q32" s="626"/>
      <c r="R32" s="626"/>
      <c r="S32" s="626"/>
      <c r="T32" s="626"/>
      <c r="U32" s="626"/>
      <c r="V32" s="626"/>
      <c r="W32" s="626"/>
      <c r="X32" s="626"/>
      <c r="Y32" s="626"/>
      <c r="Z32" s="626"/>
      <c r="AA32" s="626"/>
      <c r="AB32" s="626"/>
      <c r="AC32" s="626"/>
    </row>
    <row r="33" spans="1:29" s="569" customFormat="1" ht="24.95" customHeight="1" thickBot="1" x14ac:dyDescent="0.2">
      <c r="A33" s="571"/>
      <c r="B33" s="1104" t="s">
        <v>64</v>
      </c>
      <c r="C33" s="1105"/>
      <c r="D33" s="1105"/>
      <c r="E33" s="1105"/>
      <c r="F33" s="1105"/>
      <c r="G33" s="1105"/>
      <c r="H33" s="1106"/>
      <c r="I33" s="572">
        <f>SUM(I17:I32)</f>
        <v>320799</v>
      </c>
      <c r="J33" s="572">
        <f>SUM(J17:J32)</f>
        <v>344442.48</v>
      </c>
      <c r="K33" s="572">
        <f>SUM(K17:K32)</f>
        <v>0</v>
      </c>
      <c r="L33" s="572">
        <f>SUM(L17:L32)</f>
        <v>344442.48</v>
      </c>
      <c r="M33" s="616"/>
      <c r="N33" s="616"/>
      <c r="O33" s="616"/>
      <c r="P33" s="616"/>
      <c r="Q33" s="616"/>
      <c r="R33" s="616"/>
      <c r="S33" s="616"/>
      <c r="T33" s="616"/>
      <c r="U33" s="616"/>
      <c r="V33" s="616"/>
      <c r="W33" s="616"/>
      <c r="X33" s="616"/>
      <c r="Y33" s="616"/>
      <c r="Z33" s="616"/>
      <c r="AA33" s="616"/>
      <c r="AB33" s="616"/>
      <c r="AC33" s="616"/>
    </row>
    <row r="34" spans="1:29" s="84" customFormat="1" x14ac:dyDescent="0.15">
      <c r="A34" s="533">
        <v>3</v>
      </c>
      <c r="B34" s="328" t="s">
        <v>17</v>
      </c>
      <c r="C34" s="40"/>
      <c r="D34" s="39"/>
      <c r="E34" s="40"/>
      <c r="F34" s="40"/>
      <c r="G34" s="40"/>
      <c r="H34" s="39"/>
      <c r="I34" s="39"/>
      <c r="J34" s="39"/>
      <c r="K34" s="46"/>
      <c r="L34" s="300"/>
      <c r="M34" s="626"/>
      <c r="N34" s="626"/>
      <c r="O34" s="626"/>
      <c r="P34" s="626"/>
      <c r="Q34" s="626"/>
      <c r="R34" s="626"/>
      <c r="S34" s="626"/>
      <c r="T34" s="626"/>
      <c r="U34" s="626"/>
      <c r="V34" s="626"/>
      <c r="W34" s="626"/>
      <c r="X34" s="626"/>
      <c r="Y34" s="626"/>
      <c r="Z34" s="626"/>
      <c r="AA34" s="626"/>
      <c r="AB34" s="626"/>
      <c r="AC34" s="626"/>
    </row>
    <row r="35" spans="1:29" s="84" customFormat="1" x14ac:dyDescent="0.15">
      <c r="A35" s="419">
        <v>3.1</v>
      </c>
      <c r="B35" s="315" t="s">
        <v>111</v>
      </c>
      <c r="C35" s="35" t="s">
        <v>12</v>
      </c>
      <c r="D35" s="31">
        <v>78</v>
      </c>
      <c r="E35" s="238">
        <f>37.3+17.9</f>
        <v>55.199999999999996</v>
      </c>
      <c r="F35" s="35"/>
      <c r="G35" s="35">
        <f>F35+E35</f>
        <v>55.199999999999996</v>
      </c>
      <c r="H35" s="31">
        <v>800</v>
      </c>
      <c r="I35" s="31">
        <f>D35*H35</f>
        <v>62400</v>
      </c>
      <c r="J35" s="31">
        <f>E35*H35</f>
        <v>44160</v>
      </c>
      <c r="K35" s="44">
        <f>H35*F35</f>
        <v>0</v>
      </c>
      <c r="L35" s="300">
        <f>K35+J35</f>
        <v>44160</v>
      </c>
      <c r="M35" s="630"/>
      <c r="N35" s="626"/>
      <c r="O35" s="626"/>
      <c r="P35" s="626"/>
      <c r="Q35" s="626"/>
      <c r="R35" s="626"/>
      <c r="S35" s="626"/>
      <c r="T35" s="626"/>
      <c r="U35" s="626"/>
      <c r="V35" s="626"/>
      <c r="W35" s="626"/>
      <c r="X35" s="626"/>
      <c r="Y35" s="626"/>
      <c r="Z35" s="626"/>
      <c r="AA35" s="626"/>
      <c r="AB35" s="626"/>
      <c r="AC35" s="626"/>
    </row>
    <row r="36" spans="1:29" s="84" customFormat="1" x14ac:dyDescent="0.15">
      <c r="A36" s="419">
        <v>3.2</v>
      </c>
      <c r="B36" s="315" t="s">
        <v>125</v>
      </c>
      <c r="C36" s="35" t="s">
        <v>12</v>
      </c>
      <c r="D36" s="31">
        <v>94</v>
      </c>
      <c r="E36" s="238">
        <f>75.38-5.06</f>
        <v>70.319999999999993</v>
      </c>
      <c r="F36" s="35"/>
      <c r="G36" s="35">
        <f>F36+E36</f>
        <v>70.319999999999993</v>
      </c>
      <c r="H36" s="31">
        <v>880</v>
      </c>
      <c r="I36" s="31">
        <f>D36*H36</f>
        <v>82720</v>
      </c>
      <c r="J36" s="31">
        <f>E36*H36</f>
        <v>61881.599999999991</v>
      </c>
      <c r="K36" s="44">
        <f>H36*F36</f>
        <v>0</v>
      </c>
      <c r="L36" s="300">
        <f>K36+J36</f>
        <v>61881.599999999991</v>
      </c>
      <c r="M36" s="630"/>
      <c r="N36" s="626"/>
      <c r="O36" s="626"/>
      <c r="P36" s="626"/>
      <c r="Q36" s="626"/>
      <c r="R36" s="626"/>
      <c r="S36" s="626"/>
      <c r="T36" s="626"/>
      <c r="U36" s="626"/>
      <c r="V36" s="626"/>
      <c r="W36" s="626"/>
      <c r="X36" s="626"/>
      <c r="Y36" s="626"/>
      <c r="Z36" s="626"/>
      <c r="AA36" s="626"/>
      <c r="AB36" s="626"/>
      <c r="AC36" s="626"/>
    </row>
    <row r="37" spans="1:29" s="569" customFormat="1" ht="24.95" customHeight="1" thickBot="1" x14ac:dyDescent="0.2">
      <c r="A37" s="571"/>
      <c r="B37" s="1104" t="s">
        <v>64</v>
      </c>
      <c r="C37" s="1105"/>
      <c r="D37" s="1105"/>
      <c r="E37" s="1105"/>
      <c r="F37" s="1105"/>
      <c r="G37" s="1105"/>
      <c r="H37" s="1106"/>
      <c r="I37" s="572">
        <f>SUM(I35:I36)</f>
        <v>145120</v>
      </c>
      <c r="J37" s="572">
        <f>SUM(J35:J36)</f>
        <v>106041.59999999999</v>
      </c>
      <c r="K37" s="572">
        <f>SUM(K35:K36)</f>
        <v>0</v>
      </c>
      <c r="L37" s="572">
        <f>SUM(L35:L36)</f>
        <v>106041.59999999999</v>
      </c>
      <c r="M37" s="616"/>
      <c r="N37" s="616"/>
      <c r="O37" s="616"/>
      <c r="P37" s="616"/>
      <c r="Q37" s="616"/>
      <c r="R37" s="616"/>
      <c r="S37" s="616"/>
      <c r="T37" s="616"/>
      <c r="U37" s="616"/>
      <c r="V37" s="616"/>
      <c r="W37" s="616"/>
      <c r="X37" s="616"/>
      <c r="Y37" s="616"/>
      <c r="Z37" s="616"/>
      <c r="AA37" s="616"/>
      <c r="AB37" s="616"/>
      <c r="AC37" s="616"/>
    </row>
    <row r="38" spans="1:29" s="84" customFormat="1" x14ac:dyDescent="0.15">
      <c r="C38" s="321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626"/>
      <c r="AB38" s="626"/>
      <c r="AC38" s="626"/>
    </row>
    <row r="39" spans="1:29" s="84" customFormat="1" ht="24.75" customHeight="1" thickBot="1" x14ac:dyDescent="0.2">
      <c r="A39" s="279"/>
      <c r="B39" s="1127" t="s">
        <v>93</v>
      </c>
      <c r="C39" s="1127"/>
      <c r="D39" s="1127"/>
      <c r="E39" s="1127"/>
      <c r="F39" s="1127"/>
      <c r="G39" s="1127"/>
      <c r="H39" s="1127"/>
      <c r="I39" s="1127"/>
      <c r="J39" s="1127"/>
      <c r="K39" s="1127"/>
      <c r="L39" s="90"/>
      <c r="M39" s="626"/>
      <c r="N39" s="626"/>
      <c r="O39" s="626"/>
      <c r="P39" s="626"/>
      <c r="Q39" s="626"/>
      <c r="R39" s="626"/>
      <c r="S39" s="626"/>
      <c r="T39" s="626"/>
      <c r="U39" s="626"/>
      <c r="V39" s="626"/>
      <c r="W39" s="626"/>
      <c r="X39" s="626"/>
      <c r="Y39" s="626"/>
      <c r="Z39" s="626"/>
      <c r="AA39" s="626"/>
      <c r="AB39" s="626"/>
      <c r="AC39" s="626"/>
    </row>
    <row r="40" spans="1:29" s="90" customFormat="1" ht="21.75" customHeight="1" x14ac:dyDescent="0.15">
      <c r="A40" s="1107" t="s">
        <v>61</v>
      </c>
      <c r="B40" s="1128" t="s">
        <v>54</v>
      </c>
      <c r="C40" s="1128" t="s">
        <v>5</v>
      </c>
      <c r="D40" s="1117" t="s">
        <v>4</v>
      </c>
      <c r="E40" s="1118"/>
      <c r="F40" s="1119"/>
      <c r="G40" s="1128" t="s">
        <v>334</v>
      </c>
      <c r="H40" s="1110" t="s">
        <v>8</v>
      </c>
      <c r="I40" s="1136" t="s">
        <v>50</v>
      </c>
      <c r="J40" s="1118"/>
      <c r="K40" s="1119"/>
      <c r="L40" s="503"/>
      <c r="M40" s="616"/>
      <c r="N40" s="616"/>
      <c r="O40" s="616"/>
      <c r="P40" s="616"/>
      <c r="Q40" s="616"/>
      <c r="R40" s="616"/>
      <c r="S40" s="616"/>
      <c r="T40" s="616"/>
      <c r="U40" s="616"/>
      <c r="V40" s="616"/>
      <c r="W40" s="616"/>
      <c r="X40" s="616"/>
      <c r="Y40" s="616"/>
      <c r="Z40" s="616"/>
      <c r="AA40" s="616"/>
      <c r="AB40" s="616"/>
      <c r="AC40" s="616"/>
    </row>
    <row r="41" spans="1:29" s="90" customFormat="1" ht="19.5" customHeight="1" x14ac:dyDescent="0.15">
      <c r="A41" s="1108"/>
      <c r="B41" s="1129"/>
      <c r="C41" s="1129"/>
      <c r="D41" s="1130" t="s">
        <v>62</v>
      </c>
      <c r="E41" s="1120" t="s">
        <v>63</v>
      </c>
      <c r="F41" s="1121"/>
      <c r="G41" s="1129"/>
      <c r="H41" s="1111"/>
      <c r="I41" s="1122" t="s">
        <v>6</v>
      </c>
      <c r="J41" s="1134" t="s">
        <v>7</v>
      </c>
      <c r="K41" s="1135"/>
      <c r="L41" s="1132" t="s">
        <v>7</v>
      </c>
      <c r="M41" s="616"/>
      <c r="N41" s="616"/>
      <c r="O41" s="616"/>
      <c r="P41" s="616"/>
      <c r="Q41" s="616"/>
      <c r="R41" s="616"/>
      <c r="S41" s="616"/>
      <c r="T41" s="616"/>
      <c r="U41" s="616"/>
      <c r="V41" s="616"/>
      <c r="W41" s="616"/>
      <c r="X41" s="616"/>
      <c r="Y41" s="616"/>
      <c r="Z41" s="616"/>
      <c r="AA41" s="616"/>
      <c r="AB41" s="616"/>
      <c r="AC41" s="616"/>
    </row>
    <row r="42" spans="1:29" s="90" customFormat="1" ht="21" customHeight="1" thickBot="1" x14ac:dyDescent="0.2">
      <c r="A42" s="1109"/>
      <c r="B42" s="1123"/>
      <c r="C42" s="1123"/>
      <c r="D42" s="1131"/>
      <c r="E42" s="255" t="s">
        <v>98</v>
      </c>
      <c r="F42" s="255" t="s">
        <v>99</v>
      </c>
      <c r="G42" s="1129"/>
      <c r="H42" s="1112"/>
      <c r="I42" s="1123"/>
      <c r="J42" s="255" t="s">
        <v>98</v>
      </c>
      <c r="K42" s="255" t="s">
        <v>99</v>
      </c>
      <c r="L42" s="1133"/>
      <c r="M42" s="616"/>
      <c r="N42" s="616"/>
      <c r="O42" s="616"/>
      <c r="P42" s="616"/>
      <c r="Q42" s="616"/>
      <c r="R42" s="616"/>
      <c r="S42" s="616"/>
      <c r="T42" s="616"/>
      <c r="U42" s="616"/>
      <c r="V42" s="616"/>
      <c r="W42" s="616"/>
      <c r="X42" s="616"/>
      <c r="Y42" s="616"/>
      <c r="Z42" s="616"/>
      <c r="AA42" s="616"/>
      <c r="AB42" s="616"/>
      <c r="AC42" s="616"/>
    </row>
    <row r="43" spans="1:29" s="90" customFormat="1" ht="21" customHeight="1" thickBot="1" x14ac:dyDescent="0.2">
      <c r="A43" s="280" t="s">
        <v>102</v>
      </c>
      <c r="B43" s="257" t="s">
        <v>103</v>
      </c>
      <c r="C43" s="257" t="s">
        <v>104</v>
      </c>
      <c r="D43" s="258" t="s">
        <v>105</v>
      </c>
      <c r="E43" s="258" t="s">
        <v>106</v>
      </c>
      <c r="F43" s="258" t="s">
        <v>107</v>
      </c>
      <c r="G43" s="258"/>
      <c r="H43" s="259" t="s">
        <v>108</v>
      </c>
      <c r="I43" s="257" t="s">
        <v>116</v>
      </c>
      <c r="J43" s="258" t="s">
        <v>115</v>
      </c>
      <c r="K43" s="258" t="s">
        <v>114</v>
      </c>
      <c r="L43" s="260" t="s">
        <v>113</v>
      </c>
      <c r="M43" s="616"/>
      <c r="N43" s="616"/>
      <c r="O43" s="616"/>
      <c r="P43" s="616"/>
      <c r="Q43" s="616"/>
      <c r="R43" s="616"/>
      <c r="S43" s="616"/>
      <c r="T43" s="616"/>
      <c r="U43" s="616"/>
      <c r="V43" s="616"/>
      <c r="W43" s="616"/>
      <c r="X43" s="616"/>
      <c r="Y43" s="616"/>
      <c r="Z43" s="616"/>
      <c r="AA43" s="616"/>
      <c r="AB43" s="616"/>
      <c r="AC43" s="616"/>
    </row>
    <row r="44" spans="1:29" s="84" customFormat="1" x14ac:dyDescent="0.15">
      <c r="A44" s="325"/>
      <c r="B44" s="547" t="s">
        <v>75</v>
      </c>
      <c r="C44" s="162"/>
      <c r="D44" s="294"/>
      <c r="E44" s="162"/>
      <c r="F44" s="162"/>
      <c r="G44" s="162"/>
      <c r="H44" s="294"/>
      <c r="I44" s="294"/>
      <c r="J44" s="295"/>
      <c r="K44" s="295"/>
      <c r="L44" s="296"/>
      <c r="M44" s="626"/>
      <c r="N44" s="626"/>
      <c r="O44" s="626"/>
      <c r="P44" s="626"/>
      <c r="Q44" s="626"/>
      <c r="R44" s="626"/>
      <c r="S44" s="626"/>
      <c r="T44" s="626"/>
      <c r="U44" s="626"/>
      <c r="V44" s="626"/>
      <c r="W44" s="626"/>
      <c r="X44" s="626"/>
      <c r="Y44" s="626"/>
      <c r="Z44" s="626"/>
      <c r="AA44" s="626"/>
      <c r="AB44" s="626"/>
      <c r="AC44" s="626"/>
    </row>
    <row r="45" spans="1:29" s="84" customFormat="1" x14ac:dyDescent="0.15">
      <c r="A45" s="327"/>
      <c r="B45" s="548" t="s">
        <v>76</v>
      </c>
      <c r="C45" s="40"/>
      <c r="D45" s="39"/>
      <c r="E45" s="40"/>
      <c r="F45" s="40"/>
      <c r="G45" s="40"/>
      <c r="H45" s="39"/>
      <c r="I45" s="39"/>
      <c r="J45" s="231"/>
      <c r="K45" s="231"/>
      <c r="L45" s="300"/>
      <c r="M45" s="626"/>
      <c r="N45" s="626"/>
      <c r="O45" s="626"/>
      <c r="P45" s="626"/>
      <c r="Q45" s="626"/>
      <c r="R45" s="626"/>
      <c r="S45" s="626"/>
      <c r="T45" s="626"/>
      <c r="U45" s="626"/>
      <c r="V45" s="626"/>
      <c r="W45" s="626"/>
      <c r="X45" s="626"/>
      <c r="Y45" s="626"/>
      <c r="Z45" s="626"/>
      <c r="AA45" s="626"/>
      <c r="AB45" s="626"/>
      <c r="AC45" s="626"/>
    </row>
    <row r="46" spans="1:29" s="84" customFormat="1" x14ac:dyDescent="0.15">
      <c r="A46" s="314">
        <v>1.01</v>
      </c>
      <c r="B46" s="328" t="s">
        <v>110</v>
      </c>
      <c r="C46" s="35"/>
      <c r="D46" s="31"/>
      <c r="E46" s="35"/>
      <c r="F46" s="35"/>
      <c r="G46" s="35"/>
      <c r="H46" s="31"/>
      <c r="I46" s="31">
        <f t="shared" ref="I46:I58" si="10">D46*H46</f>
        <v>0</v>
      </c>
      <c r="J46" s="31">
        <f>E46*H46</f>
        <v>0</v>
      </c>
      <c r="K46" s="31"/>
      <c r="L46" s="300">
        <f>K46+J46</f>
        <v>0</v>
      </c>
      <c r="M46" s="626"/>
      <c r="N46" s="626"/>
      <c r="O46" s="626"/>
      <c r="P46" s="626"/>
      <c r="Q46" s="626"/>
      <c r="R46" s="626"/>
      <c r="S46" s="626"/>
      <c r="T46" s="626"/>
      <c r="U46" s="626"/>
      <c r="V46" s="626"/>
      <c r="W46" s="626"/>
      <c r="X46" s="626"/>
      <c r="Y46" s="626"/>
      <c r="Z46" s="626"/>
      <c r="AA46" s="626"/>
      <c r="AB46" s="626"/>
      <c r="AC46" s="626"/>
    </row>
    <row r="47" spans="1:29" s="84" customFormat="1" x14ac:dyDescent="0.15">
      <c r="A47" s="314"/>
      <c r="B47" s="315" t="s">
        <v>77</v>
      </c>
      <c r="C47" s="35" t="s">
        <v>12</v>
      </c>
      <c r="D47" s="31">
        <v>2.4</v>
      </c>
      <c r="E47" s="35">
        <v>4.08</v>
      </c>
      <c r="F47" s="35"/>
      <c r="G47" s="35">
        <f>F47+E47</f>
        <v>4.08</v>
      </c>
      <c r="H47" s="31">
        <v>2600</v>
      </c>
      <c r="I47" s="31">
        <f t="shared" si="10"/>
        <v>6240</v>
      </c>
      <c r="J47" s="31">
        <f t="shared" ref="J47:J58" si="11">E47*H47</f>
        <v>10608</v>
      </c>
      <c r="K47" s="31">
        <f>H47*F47</f>
        <v>0</v>
      </c>
      <c r="L47" s="300">
        <f t="shared" ref="L47:L57" si="12">K47+J47</f>
        <v>10608</v>
      </c>
      <c r="M47" s="626"/>
      <c r="N47" s="626"/>
      <c r="O47" s="626"/>
      <c r="P47" s="626"/>
      <c r="Q47" s="626"/>
      <c r="R47" s="626"/>
      <c r="S47" s="626"/>
      <c r="T47" s="626"/>
      <c r="U47" s="626"/>
      <c r="V47" s="626"/>
      <c r="W47" s="626"/>
      <c r="X47" s="626"/>
      <c r="Y47" s="626"/>
      <c r="Z47" s="626"/>
      <c r="AA47" s="626"/>
      <c r="AB47" s="626"/>
      <c r="AC47" s="626"/>
    </row>
    <row r="48" spans="1:29" s="84" customFormat="1" x14ac:dyDescent="0.15">
      <c r="A48" s="314"/>
      <c r="B48" s="315" t="s">
        <v>74</v>
      </c>
      <c r="C48" s="35" t="s">
        <v>12</v>
      </c>
      <c r="D48" s="31">
        <v>9.3000000000000007</v>
      </c>
      <c r="E48" s="35">
        <v>12.52</v>
      </c>
      <c r="F48" s="35"/>
      <c r="G48" s="35">
        <f>F48+E48</f>
        <v>12.52</v>
      </c>
      <c r="H48" s="31">
        <v>2600</v>
      </c>
      <c r="I48" s="31">
        <f t="shared" si="10"/>
        <v>24180.000000000004</v>
      </c>
      <c r="J48" s="31">
        <f t="shared" si="11"/>
        <v>32552</v>
      </c>
      <c r="K48" s="31">
        <f t="shared" ref="K48:K57" si="13">H48*F48</f>
        <v>0</v>
      </c>
      <c r="L48" s="300">
        <f t="shared" si="12"/>
        <v>32552</v>
      </c>
      <c r="M48" s="626"/>
      <c r="N48" s="626"/>
      <c r="O48" s="626"/>
      <c r="P48" s="626"/>
      <c r="Q48" s="626"/>
      <c r="R48" s="626"/>
      <c r="S48" s="626"/>
      <c r="T48" s="626"/>
      <c r="U48" s="626"/>
      <c r="V48" s="626"/>
      <c r="W48" s="626"/>
      <c r="X48" s="626"/>
      <c r="Y48" s="626"/>
      <c r="Z48" s="626"/>
      <c r="AA48" s="626"/>
      <c r="AB48" s="626"/>
      <c r="AC48" s="626"/>
    </row>
    <row r="49" spans="1:29" s="84" customFormat="1" x14ac:dyDescent="0.15">
      <c r="A49" s="314"/>
      <c r="B49" s="315" t="s">
        <v>78</v>
      </c>
      <c r="C49" s="35" t="s">
        <v>12</v>
      </c>
      <c r="D49" s="31">
        <v>0.75</v>
      </c>
      <c r="E49" s="35"/>
      <c r="F49" s="35"/>
      <c r="G49" s="35">
        <f t="shared" ref="G49:G58" si="14">F49+E49</f>
        <v>0</v>
      </c>
      <c r="H49" s="31">
        <v>2600</v>
      </c>
      <c r="I49" s="31">
        <f t="shared" si="10"/>
        <v>1950</v>
      </c>
      <c r="J49" s="31">
        <f t="shared" si="11"/>
        <v>0</v>
      </c>
      <c r="K49" s="31">
        <f t="shared" si="13"/>
        <v>0</v>
      </c>
      <c r="L49" s="300">
        <f t="shared" si="12"/>
        <v>0</v>
      </c>
      <c r="M49" s="626"/>
      <c r="N49" s="626"/>
      <c r="O49" s="626"/>
      <c r="P49" s="626"/>
      <c r="Q49" s="626"/>
      <c r="R49" s="626"/>
      <c r="S49" s="626"/>
      <c r="T49" s="626"/>
      <c r="U49" s="626"/>
      <c r="V49" s="626"/>
      <c r="W49" s="626"/>
      <c r="X49" s="626"/>
      <c r="Y49" s="626"/>
      <c r="Z49" s="626"/>
      <c r="AA49" s="626"/>
      <c r="AB49" s="626"/>
      <c r="AC49" s="626"/>
    </row>
    <row r="50" spans="1:29" s="84" customFormat="1" x14ac:dyDescent="0.15">
      <c r="A50" s="327">
        <v>1.2</v>
      </c>
      <c r="B50" s="328" t="s">
        <v>109</v>
      </c>
      <c r="C50" s="40"/>
      <c r="D50" s="39"/>
      <c r="E50" s="40"/>
      <c r="F50" s="40"/>
      <c r="G50" s="35">
        <f t="shared" si="14"/>
        <v>0</v>
      </c>
      <c r="H50" s="39"/>
      <c r="I50" s="31">
        <f t="shared" si="10"/>
        <v>0</v>
      </c>
      <c r="J50" s="31">
        <f t="shared" si="11"/>
        <v>0</v>
      </c>
      <c r="K50" s="31">
        <f t="shared" si="13"/>
        <v>0</v>
      </c>
      <c r="L50" s="300">
        <f t="shared" si="12"/>
        <v>0</v>
      </c>
      <c r="M50" s="626"/>
      <c r="N50" s="626"/>
      <c r="O50" s="626"/>
      <c r="P50" s="626"/>
      <c r="Q50" s="626"/>
      <c r="R50" s="626"/>
      <c r="S50" s="626"/>
      <c r="T50" s="626"/>
      <c r="U50" s="626"/>
      <c r="V50" s="626"/>
      <c r="W50" s="626"/>
      <c r="X50" s="626"/>
      <c r="Y50" s="626"/>
      <c r="Z50" s="626"/>
      <c r="AA50" s="626"/>
      <c r="AB50" s="626"/>
      <c r="AC50" s="626"/>
    </row>
    <row r="51" spans="1:29" s="84" customFormat="1" x14ac:dyDescent="0.15">
      <c r="A51" s="314"/>
      <c r="B51" s="315" t="s">
        <v>77</v>
      </c>
      <c r="C51" s="35" t="s">
        <v>11</v>
      </c>
      <c r="D51" s="31">
        <v>48</v>
      </c>
      <c r="E51" s="35">
        <v>81.599999999999994</v>
      </c>
      <c r="F51" s="35"/>
      <c r="G51" s="35">
        <f t="shared" si="14"/>
        <v>81.599999999999994</v>
      </c>
      <c r="H51" s="31">
        <v>85</v>
      </c>
      <c r="I51" s="31">
        <f t="shared" si="10"/>
        <v>4080</v>
      </c>
      <c r="J51" s="31">
        <f t="shared" si="11"/>
        <v>6935.9999999999991</v>
      </c>
      <c r="K51" s="31">
        <f t="shared" si="13"/>
        <v>0</v>
      </c>
      <c r="L51" s="300">
        <f t="shared" si="12"/>
        <v>6935.9999999999991</v>
      </c>
      <c r="M51" s="626"/>
      <c r="N51" s="626"/>
      <c r="O51" s="626"/>
      <c r="P51" s="626"/>
      <c r="Q51" s="626"/>
      <c r="R51" s="626"/>
      <c r="S51" s="626"/>
      <c r="T51" s="626"/>
      <c r="U51" s="626"/>
      <c r="V51" s="626"/>
      <c r="W51" s="626"/>
      <c r="X51" s="626"/>
      <c r="Y51" s="626"/>
      <c r="Z51" s="626"/>
      <c r="AA51" s="626"/>
      <c r="AB51" s="626"/>
      <c r="AC51" s="626"/>
    </row>
    <row r="52" spans="1:29" s="84" customFormat="1" x14ac:dyDescent="0.15">
      <c r="A52" s="329"/>
      <c r="B52" s="315" t="s">
        <v>74</v>
      </c>
      <c r="C52" s="35" t="s">
        <v>11</v>
      </c>
      <c r="D52" s="31">
        <v>148</v>
      </c>
      <c r="E52" s="35">
        <v>155.36000000000001</v>
      </c>
      <c r="F52" s="35">
        <v>7.74</v>
      </c>
      <c r="G52" s="35">
        <f t="shared" si="14"/>
        <v>163.10000000000002</v>
      </c>
      <c r="H52" s="31">
        <v>85</v>
      </c>
      <c r="I52" s="31">
        <f t="shared" si="10"/>
        <v>12580</v>
      </c>
      <c r="J52" s="31">
        <f t="shared" si="11"/>
        <v>13205.6</v>
      </c>
      <c r="K52" s="31">
        <f>H52*F52</f>
        <v>657.9</v>
      </c>
      <c r="L52" s="300">
        <f t="shared" si="12"/>
        <v>13863.5</v>
      </c>
      <c r="M52" s="626"/>
      <c r="N52" s="626"/>
      <c r="O52" s="626"/>
      <c r="P52" s="626"/>
      <c r="Q52" s="626"/>
      <c r="R52" s="626"/>
      <c r="S52" s="626"/>
      <c r="T52" s="626"/>
      <c r="U52" s="626"/>
      <c r="V52" s="626"/>
      <c r="W52" s="626"/>
      <c r="X52" s="626"/>
      <c r="Y52" s="626"/>
      <c r="Z52" s="626"/>
      <c r="AA52" s="626"/>
      <c r="AB52" s="626"/>
      <c r="AC52" s="626"/>
    </row>
    <row r="53" spans="1:29" s="84" customFormat="1" x14ac:dyDescent="0.15">
      <c r="A53" s="314"/>
      <c r="B53" s="315" t="s">
        <v>78</v>
      </c>
      <c r="C53" s="35" t="s">
        <v>11</v>
      </c>
      <c r="D53" s="31">
        <v>8</v>
      </c>
      <c r="E53" s="35"/>
      <c r="F53" s="35"/>
      <c r="G53" s="35">
        <f t="shared" si="14"/>
        <v>0</v>
      </c>
      <c r="H53" s="31">
        <v>85</v>
      </c>
      <c r="I53" s="31">
        <f t="shared" si="10"/>
        <v>680</v>
      </c>
      <c r="J53" s="31">
        <f t="shared" si="11"/>
        <v>0</v>
      </c>
      <c r="K53" s="31">
        <f t="shared" si="13"/>
        <v>0</v>
      </c>
      <c r="L53" s="300">
        <f t="shared" si="12"/>
        <v>0</v>
      </c>
      <c r="M53" s="626"/>
      <c r="N53" s="626"/>
      <c r="O53" s="626"/>
      <c r="P53" s="626"/>
      <c r="Q53" s="626"/>
      <c r="R53" s="626"/>
      <c r="S53" s="626"/>
      <c r="T53" s="626"/>
      <c r="U53" s="626"/>
      <c r="V53" s="626"/>
      <c r="W53" s="626"/>
      <c r="X53" s="626"/>
      <c r="Y53" s="626"/>
      <c r="Z53" s="626"/>
      <c r="AA53" s="626"/>
      <c r="AB53" s="626"/>
      <c r="AC53" s="626"/>
    </row>
    <row r="54" spans="1:29" s="84" customFormat="1" x14ac:dyDescent="0.15">
      <c r="A54" s="314">
        <v>1.3</v>
      </c>
      <c r="B54" s="328" t="s">
        <v>15</v>
      </c>
      <c r="C54" s="35"/>
      <c r="D54" s="31"/>
      <c r="E54" s="35"/>
      <c r="F54" s="35"/>
      <c r="G54" s="35">
        <f t="shared" si="14"/>
        <v>0</v>
      </c>
      <c r="H54" s="31"/>
      <c r="I54" s="31">
        <f t="shared" si="10"/>
        <v>0</v>
      </c>
      <c r="J54" s="31">
        <f t="shared" si="11"/>
        <v>0</v>
      </c>
      <c r="K54" s="31">
        <f t="shared" si="13"/>
        <v>0</v>
      </c>
      <c r="L54" s="300">
        <f t="shared" si="12"/>
        <v>0</v>
      </c>
      <c r="M54" s="626"/>
      <c r="N54" s="626"/>
      <c r="O54" s="626"/>
      <c r="P54" s="626"/>
      <c r="Q54" s="626"/>
      <c r="R54" s="626"/>
      <c r="S54" s="626"/>
      <c r="T54" s="626"/>
      <c r="U54" s="626"/>
      <c r="V54" s="626"/>
      <c r="W54" s="626"/>
      <c r="X54" s="626"/>
      <c r="Y54" s="626"/>
      <c r="Z54" s="626"/>
      <c r="AA54" s="626"/>
      <c r="AB54" s="626"/>
      <c r="AC54" s="626"/>
    </row>
    <row r="55" spans="1:29" s="84" customFormat="1" x14ac:dyDescent="0.15">
      <c r="A55" s="314"/>
      <c r="B55" s="315" t="s">
        <v>85</v>
      </c>
      <c r="C55" s="35" t="s">
        <v>16</v>
      </c>
      <c r="D55" s="31"/>
      <c r="E55" s="35"/>
      <c r="F55" s="35"/>
      <c r="G55" s="35">
        <f t="shared" si="14"/>
        <v>0</v>
      </c>
      <c r="H55" s="36"/>
      <c r="I55" s="31">
        <f t="shared" si="10"/>
        <v>0</v>
      </c>
      <c r="J55" s="31">
        <f t="shared" si="11"/>
        <v>0</v>
      </c>
      <c r="K55" s="31">
        <f t="shared" si="13"/>
        <v>0</v>
      </c>
      <c r="L55" s="300">
        <f t="shared" si="12"/>
        <v>0</v>
      </c>
      <c r="M55" s="626"/>
      <c r="N55" s="626"/>
      <c r="O55" s="626"/>
      <c r="P55" s="626"/>
      <c r="Q55" s="626"/>
      <c r="R55" s="626"/>
      <c r="S55" s="626"/>
      <c r="T55" s="626"/>
      <c r="U55" s="626"/>
      <c r="V55" s="626"/>
      <c r="W55" s="626"/>
      <c r="X55" s="626"/>
      <c r="Y55" s="626"/>
      <c r="Z55" s="626"/>
      <c r="AA55" s="626"/>
      <c r="AB55" s="626"/>
      <c r="AC55" s="626"/>
    </row>
    <row r="56" spans="1:29" s="84" customFormat="1" x14ac:dyDescent="0.15">
      <c r="A56" s="314"/>
      <c r="B56" s="315" t="s">
        <v>25</v>
      </c>
      <c r="C56" s="35" t="s">
        <v>16</v>
      </c>
      <c r="D56" s="31">
        <v>1077</v>
      </c>
      <c r="E56" s="35">
        <v>1469.96</v>
      </c>
      <c r="F56" s="35"/>
      <c r="G56" s="35">
        <f t="shared" si="14"/>
        <v>1469.96</v>
      </c>
      <c r="H56" s="31">
        <v>34</v>
      </c>
      <c r="I56" s="31">
        <f t="shared" si="10"/>
        <v>36618</v>
      </c>
      <c r="J56" s="31">
        <f t="shared" si="11"/>
        <v>49978.64</v>
      </c>
      <c r="K56" s="31">
        <f t="shared" si="13"/>
        <v>0</v>
      </c>
      <c r="L56" s="300">
        <f t="shared" si="12"/>
        <v>49978.64</v>
      </c>
      <c r="M56" s="626"/>
      <c r="N56" s="626"/>
      <c r="O56" s="626"/>
      <c r="P56" s="626"/>
      <c r="Q56" s="626"/>
      <c r="R56" s="626"/>
      <c r="S56" s="626"/>
      <c r="T56" s="626"/>
      <c r="U56" s="626"/>
      <c r="V56" s="626"/>
      <c r="W56" s="626"/>
      <c r="X56" s="626"/>
      <c r="Y56" s="626"/>
      <c r="Z56" s="626"/>
      <c r="AA56" s="626"/>
      <c r="AB56" s="626"/>
      <c r="AC56" s="626"/>
    </row>
    <row r="57" spans="1:29" s="84" customFormat="1" x14ac:dyDescent="0.15">
      <c r="A57" s="314"/>
      <c r="B57" s="315" t="s">
        <v>26</v>
      </c>
      <c r="C57" s="35" t="s">
        <v>16</v>
      </c>
      <c r="D57" s="31">
        <v>325</v>
      </c>
      <c r="E57" s="35">
        <v>488.5</v>
      </c>
      <c r="F57" s="35"/>
      <c r="G57" s="35">
        <f t="shared" si="14"/>
        <v>488.5</v>
      </c>
      <c r="H57" s="31">
        <v>35</v>
      </c>
      <c r="I57" s="31">
        <f t="shared" si="10"/>
        <v>11375</v>
      </c>
      <c r="J57" s="31">
        <f t="shared" si="11"/>
        <v>17097.5</v>
      </c>
      <c r="K57" s="31">
        <f t="shared" si="13"/>
        <v>0</v>
      </c>
      <c r="L57" s="300">
        <f t="shared" si="12"/>
        <v>17097.5</v>
      </c>
      <c r="M57" s="626"/>
      <c r="N57" s="626"/>
      <c r="O57" s="626"/>
      <c r="P57" s="626"/>
      <c r="Q57" s="626"/>
      <c r="R57" s="626"/>
      <c r="S57" s="626"/>
      <c r="T57" s="626"/>
      <c r="U57" s="626"/>
      <c r="V57" s="626"/>
      <c r="W57" s="626"/>
      <c r="X57" s="626"/>
      <c r="Y57" s="626"/>
      <c r="Z57" s="626"/>
      <c r="AA57" s="626"/>
      <c r="AB57" s="626"/>
      <c r="AC57" s="626"/>
    </row>
    <row r="58" spans="1:29" s="84" customFormat="1" x14ac:dyDescent="0.15">
      <c r="A58" s="304"/>
      <c r="B58" s="305" t="s">
        <v>90</v>
      </c>
      <c r="C58" s="77" t="s">
        <v>16</v>
      </c>
      <c r="D58" s="50">
        <v>0</v>
      </c>
      <c r="E58" s="77"/>
      <c r="F58" s="77"/>
      <c r="G58" s="35">
        <f t="shared" si="14"/>
        <v>0</v>
      </c>
      <c r="H58" s="50">
        <v>0</v>
      </c>
      <c r="I58" s="31">
        <f t="shared" si="10"/>
        <v>0</v>
      </c>
      <c r="J58" s="31">
        <f t="shared" si="11"/>
        <v>0</v>
      </c>
      <c r="K58" s="50">
        <f>H58*F58</f>
        <v>0</v>
      </c>
      <c r="L58" s="306">
        <f>J58</f>
        <v>0</v>
      </c>
      <c r="M58" s="626"/>
      <c r="N58" s="626"/>
      <c r="O58" s="626"/>
      <c r="P58" s="626"/>
      <c r="Q58" s="626"/>
      <c r="R58" s="626"/>
      <c r="S58" s="626"/>
      <c r="T58" s="626"/>
      <c r="U58" s="626"/>
      <c r="V58" s="626"/>
      <c r="W58" s="626"/>
      <c r="X58" s="626"/>
      <c r="Y58" s="626"/>
      <c r="Z58" s="626"/>
      <c r="AA58" s="626"/>
      <c r="AB58" s="626"/>
      <c r="AC58" s="626"/>
    </row>
    <row r="59" spans="1:29" s="581" customFormat="1" ht="25.5" customHeight="1" thickBot="1" x14ac:dyDescent="0.2">
      <c r="A59" s="580"/>
      <c r="B59" s="1101" t="s">
        <v>64</v>
      </c>
      <c r="C59" s="1102"/>
      <c r="D59" s="1102"/>
      <c r="E59" s="1102"/>
      <c r="F59" s="1102"/>
      <c r="G59" s="1102"/>
      <c r="H59" s="1103"/>
      <c r="I59" s="568">
        <f>SUM(I45:I58)</f>
        <v>97703</v>
      </c>
      <c r="J59" s="568">
        <f>SUM(J45:J58)</f>
        <v>130377.73999999999</v>
      </c>
      <c r="K59" s="568">
        <f>SUM(K45:K58)</f>
        <v>657.9</v>
      </c>
      <c r="L59" s="568">
        <f>SUM(L45:L58)</f>
        <v>131035.64</v>
      </c>
      <c r="M59" s="626"/>
      <c r="N59" s="626"/>
      <c r="O59" s="626"/>
      <c r="P59" s="626"/>
      <c r="Q59" s="626"/>
      <c r="R59" s="626"/>
      <c r="S59" s="626"/>
      <c r="T59" s="626"/>
      <c r="U59" s="626"/>
      <c r="V59" s="626"/>
      <c r="W59" s="626"/>
      <c r="X59" s="626"/>
      <c r="Y59" s="626"/>
      <c r="Z59" s="626"/>
      <c r="AA59" s="626"/>
      <c r="AB59" s="626"/>
      <c r="AC59" s="626"/>
    </row>
    <row r="60" spans="1:29" s="332" customFormat="1" ht="26.25" customHeight="1" x14ac:dyDescent="0.2">
      <c r="A60" s="710"/>
      <c r="B60" s="711" t="s">
        <v>292</v>
      </c>
      <c r="C60" s="712"/>
      <c r="D60" s="712"/>
      <c r="E60" s="712"/>
      <c r="F60" s="712"/>
      <c r="G60" s="712"/>
      <c r="H60" s="713"/>
      <c r="I60" s="713"/>
      <c r="J60" s="713"/>
      <c r="K60" s="713"/>
      <c r="L60" s="713"/>
      <c r="M60" s="629"/>
      <c r="N60" s="629"/>
      <c r="O60" s="629"/>
      <c r="P60" s="629"/>
      <c r="Q60" s="629"/>
      <c r="R60" s="629"/>
      <c r="S60" s="629"/>
      <c r="T60" s="629"/>
      <c r="U60" s="629"/>
      <c r="V60" s="629"/>
      <c r="W60" s="629"/>
      <c r="X60" s="629"/>
    </row>
    <row r="61" spans="1:29" s="332" customFormat="1" ht="21" customHeight="1" x14ac:dyDescent="0.2">
      <c r="A61" s="714"/>
      <c r="B61" s="715" t="s">
        <v>293</v>
      </c>
      <c r="C61" s="716"/>
      <c r="D61" s="716"/>
      <c r="E61" s="716"/>
      <c r="F61" s="716"/>
      <c r="G61" s="716"/>
      <c r="H61" s="422"/>
      <c r="I61" s="422"/>
      <c r="J61" s="422"/>
      <c r="K61" s="422"/>
      <c r="L61" s="717"/>
      <c r="M61" s="629"/>
      <c r="N61" s="629"/>
      <c r="O61" s="629"/>
      <c r="P61" s="629"/>
      <c r="Q61" s="629"/>
      <c r="R61" s="629"/>
      <c r="S61" s="629"/>
      <c r="T61" s="629"/>
      <c r="U61" s="629"/>
      <c r="V61" s="629"/>
      <c r="W61" s="629"/>
      <c r="X61" s="629"/>
    </row>
    <row r="62" spans="1:29" s="332" customFormat="1" ht="21" customHeight="1" x14ac:dyDescent="0.2">
      <c r="A62" s="714"/>
      <c r="B62" s="715" t="s">
        <v>294</v>
      </c>
      <c r="C62" s="716" t="s">
        <v>11</v>
      </c>
      <c r="D62" s="716">
        <v>180</v>
      </c>
      <c r="E62" s="422">
        <v>100</v>
      </c>
      <c r="F62" s="716">
        <v>107.79</v>
      </c>
      <c r="G62" s="716">
        <f>F62+E62</f>
        <v>207.79000000000002</v>
      </c>
      <c r="H62" s="716">
        <v>310</v>
      </c>
      <c r="I62" s="130">
        <f>D62*H62</f>
        <v>55800</v>
      </c>
      <c r="J62" s="422">
        <f>H62*E62</f>
        <v>31000</v>
      </c>
      <c r="K62" s="422">
        <f>H62*F62</f>
        <v>33414.9</v>
      </c>
      <c r="L62" s="300">
        <f>K62+J62</f>
        <v>64414.9</v>
      </c>
      <c r="M62" s="629"/>
      <c r="N62" s="629"/>
      <c r="O62" s="629"/>
      <c r="P62" s="629"/>
      <c r="Q62" s="629"/>
      <c r="R62" s="629"/>
      <c r="S62" s="629"/>
      <c r="T62" s="629"/>
      <c r="U62" s="629"/>
      <c r="V62" s="629"/>
      <c r="W62" s="629"/>
      <c r="X62" s="629"/>
    </row>
    <row r="63" spans="1:29" s="332" customFormat="1" ht="21" customHeight="1" x14ac:dyDescent="0.2">
      <c r="A63" s="714"/>
      <c r="B63" s="718" t="s">
        <v>295</v>
      </c>
      <c r="C63" s="716" t="s">
        <v>11</v>
      </c>
      <c r="D63" s="716">
        <v>282</v>
      </c>
      <c r="E63" s="422"/>
      <c r="F63" s="719">
        <v>248.7</v>
      </c>
      <c r="G63" s="716">
        <f>F63+E63</f>
        <v>248.7</v>
      </c>
      <c r="H63" s="716">
        <v>295</v>
      </c>
      <c r="I63" s="130">
        <f>D63*H63</f>
        <v>83190</v>
      </c>
      <c r="J63" s="422">
        <f>H63*E63</f>
        <v>0</v>
      </c>
      <c r="K63" s="422">
        <f>H63*F63</f>
        <v>73366.5</v>
      </c>
      <c r="L63" s="300">
        <f>K63+J63</f>
        <v>73366.5</v>
      </c>
      <c r="M63" s="629"/>
      <c r="N63" s="629"/>
      <c r="O63" s="629"/>
      <c r="P63" s="629"/>
      <c r="Q63" s="629"/>
      <c r="R63" s="629"/>
      <c r="S63" s="629"/>
      <c r="T63" s="629"/>
      <c r="U63" s="629"/>
      <c r="V63" s="629"/>
      <c r="W63" s="629"/>
      <c r="X63" s="629"/>
    </row>
    <row r="64" spans="1:29" s="581" customFormat="1" ht="26.25" customHeight="1" thickBot="1" x14ac:dyDescent="0.2">
      <c r="A64" s="579"/>
      <c r="B64" s="1101" t="s">
        <v>64</v>
      </c>
      <c r="C64" s="1102"/>
      <c r="D64" s="1102"/>
      <c r="E64" s="1102"/>
      <c r="F64" s="1102"/>
      <c r="G64" s="1102"/>
      <c r="H64" s="1103"/>
      <c r="I64" s="568">
        <f>SUM(I62:I63)</f>
        <v>138990</v>
      </c>
      <c r="J64" s="568">
        <f>SUM(J62:J63)</f>
        <v>31000</v>
      </c>
      <c r="K64" s="568">
        <f>SUM(K62:K63)</f>
        <v>106781.4</v>
      </c>
      <c r="L64" s="568">
        <f>SUM(L62:L63)</f>
        <v>137781.4</v>
      </c>
      <c r="M64" s="626"/>
      <c r="N64" s="626"/>
      <c r="O64" s="626"/>
      <c r="P64" s="626"/>
      <c r="Q64" s="626"/>
      <c r="R64" s="626"/>
      <c r="S64" s="626"/>
      <c r="T64" s="626"/>
      <c r="U64" s="626"/>
      <c r="V64" s="626"/>
      <c r="W64" s="626"/>
      <c r="X64" s="626"/>
    </row>
    <row r="65" spans="1:32" s="278" customFormat="1" ht="18" x14ac:dyDescent="0.2">
      <c r="A65" s="491"/>
      <c r="B65" s="492" t="s">
        <v>167</v>
      </c>
      <c r="C65" s="234"/>
      <c r="D65" s="233"/>
      <c r="E65" s="234"/>
      <c r="F65" s="234"/>
      <c r="G65" s="234"/>
      <c r="H65" s="233"/>
      <c r="I65" s="233"/>
      <c r="J65" s="233"/>
      <c r="K65" s="233"/>
      <c r="L65" s="493"/>
      <c r="M65" s="622"/>
      <c r="N65" s="622"/>
      <c r="O65" s="622"/>
      <c r="P65" s="622"/>
      <c r="Q65" s="622"/>
      <c r="R65" s="622"/>
      <c r="S65" s="622"/>
      <c r="T65" s="622"/>
      <c r="U65" s="622"/>
      <c r="V65" s="622"/>
      <c r="W65" s="622"/>
      <c r="X65" s="622"/>
      <c r="Y65" s="622"/>
      <c r="Z65" s="622"/>
      <c r="AA65" s="622"/>
      <c r="AB65" s="622"/>
      <c r="AC65" s="622"/>
      <c r="AD65" s="622"/>
      <c r="AE65" s="622"/>
      <c r="AF65" s="622"/>
    </row>
    <row r="66" spans="1:32" s="278" customFormat="1" ht="18" x14ac:dyDescent="0.2">
      <c r="A66" s="494">
        <v>3.1</v>
      </c>
      <c r="B66" s="495" t="s">
        <v>166</v>
      </c>
      <c r="C66" s="236" t="s">
        <v>11</v>
      </c>
      <c r="D66" s="235">
        <v>392</v>
      </c>
      <c r="E66" s="236">
        <v>391.98</v>
      </c>
      <c r="F66" s="407"/>
      <c r="G66" s="236">
        <f>F66+E66</f>
        <v>391.98</v>
      </c>
      <c r="H66" s="235">
        <v>245</v>
      </c>
      <c r="I66" s="235">
        <f>D66*H66</f>
        <v>96040</v>
      </c>
      <c r="J66" s="233">
        <f>E66*H66</f>
        <v>96035.1</v>
      </c>
      <c r="K66" s="235">
        <f>H66*F66</f>
        <v>0</v>
      </c>
      <c r="L66" s="496">
        <f>K66+J66</f>
        <v>96035.1</v>
      </c>
      <c r="M66" s="622"/>
      <c r="N66" s="622"/>
      <c r="O66" s="622"/>
      <c r="P66" s="622"/>
      <c r="Q66" s="622"/>
      <c r="R66" s="622"/>
      <c r="S66" s="622"/>
      <c r="T66" s="622"/>
      <c r="U66" s="622"/>
      <c r="V66" s="622"/>
      <c r="W66" s="622"/>
      <c r="X66" s="622"/>
      <c r="Y66" s="622"/>
      <c r="Z66" s="622"/>
      <c r="AA66" s="622"/>
      <c r="AB66" s="622"/>
      <c r="AC66" s="622"/>
      <c r="AD66" s="622"/>
      <c r="AE66" s="622"/>
      <c r="AF66" s="622"/>
    </row>
    <row r="67" spans="1:32" s="278" customFormat="1" ht="18" x14ac:dyDescent="0.2">
      <c r="A67" s="494">
        <v>3.2</v>
      </c>
      <c r="B67" s="495" t="s">
        <v>478</v>
      </c>
      <c r="C67" s="236" t="s">
        <v>11</v>
      </c>
      <c r="D67" s="235">
        <v>51</v>
      </c>
      <c r="E67" s="236"/>
      <c r="F67" s="407">
        <v>49.32</v>
      </c>
      <c r="G67" s="236">
        <f>F67+E67</f>
        <v>49.32</v>
      </c>
      <c r="H67" s="235">
        <v>220</v>
      </c>
      <c r="I67" s="235">
        <f>D67*H67</f>
        <v>11220</v>
      </c>
      <c r="J67" s="233">
        <f>E67*H67</f>
        <v>0</v>
      </c>
      <c r="K67" s="235">
        <f>H67*F67</f>
        <v>10850.4</v>
      </c>
      <c r="L67" s="496">
        <f>K67+J67</f>
        <v>10850.4</v>
      </c>
      <c r="M67" s="622"/>
      <c r="N67" s="622"/>
      <c r="O67" s="622"/>
      <c r="P67" s="622"/>
      <c r="Q67" s="622"/>
      <c r="R67" s="622"/>
      <c r="S67" s="622"/>
      <c r="T67" s="622"/>
      <c r="U67" s="622"/>
      <c r="V67" s="622"/>
      <c r="W67" s="622"/>
      <c r="X67" s="622"/>
      <c r="Y67" s="622"/>
      <c r="Z67" s="622"/>
      <c r="AA67" s="622"/>
      <c r="AB67" s="622"/>
      <c r="AC67" s="622"/>
      <c r="AD67" s="622"/>
      <c r="AE67" s="622"/>
      <c r="AF67" s="622"/>
    </row>
    <row r="68" spans="1:32" s="574" customFormat="1" ht="21.75" customHeight="1" thickBot="1" x14ac:dyDescent="0.25">
      <c r="A68" s="585"/>
      <c r="B68" s="1174" t="s">
        <v>64</v>
      </c>
      <c r="C68" s="1175"/>
      <c r="D68" s="1175"/>
      <c r="E68" s="1175"/>
      <c r="F68" s="1175"/>
      <c r="G68" s="1175"/>
      <c r="H68" s="1176"/>
      <c r="I68" s="586">
        <f>SUM(I66:I67)</f>
        <v>107260</v>
      </c>
      <c r="J68" s="586">
        <f>SUM(J66:J67)</f>
        <v>96035.1</v>
      </c>
      <c r="K68" s="586">
        <f>SUM(K66:K67)</f>
        <v>10850.4</v>
      </c>
      <c r="L68" s="586">
        <f>SUM(L66:L67)</f>
        <v>106885.5</v>
      </c>
      <c r="M68" s="622"/>
      <c r="N68" s="622"/>
      <c r="O68" s="622"/>
      <c r="P68" s="622"/>
      <c r="Q68" s="622"/>
      <c r="R68" s="622"/>
      <c r="S68" s="622"/>
      <c r="T68" s="622"/>
      <c r="U68" s="622"/>
      <c r="V68" s="622"/>
      <c r="W68" s="622"/>
      <c r="X68" s="622"/>
      <c r="Y68" s="622"/>
      <c r="Z68" s="622"/>
      <c r="AA68" s="622"/>
      <c r="AB68" s="622"/>
      <c r="AC68" s="622"/>
      <c r="AD68" s="622"/>
      <c r="AE68" s="622"/>
      <c r="AF68" s="622"/>
    </row>
    <row r="69" spans="1:32" s="278" customFormat="1" ht="18" x14ac:dyDescent="0.2">
      <c r="A69" s="491"/>
      <c r="B69" s="492" t="s">
        <v>168</v>
      </c>
      <c r="C69" s="234"/>
      <c r="D69" s="233"/>
      <c r="E69" s="234"/>
      <c r="F69" s="234"/>
      <c r="G69" s="234"/>
      <c r="H69" s="233"/>
      <c r="I69" s="233"/>
      <c r="J69" s="233"/>
      <c r="K69" s="233"/>
      <c r="L69" s="493"/>
      <c r="M69" s="622"/>
      <c r="N69" s="622"/>
      <c r="O69" s="622"/>
      <c r="P69" s="622"/>
      <c r="Q69" s="622"/>
      <c r="R69" s="622"/>
      <c r="S69" s="622"/>
      <c r="T69" s="622"/>
      <c r="U69" s="622"/>
      <c r="V69" s="622"/>
      <c r="W69" s="622"/>
      <c r="X69" s="622"/>
      <c r="Y69" s="622"/>
      <c r="Z69" s="622"/>
      <c r="AA69" s="622"/>
      <c r="AB69" s="622"/>
      <c r="AC69" s="622"/>
      <c r="AD69" s="622"/>
      <c r="AE69" s="622"/>
      <c r="AF69" s="622"/>
    </row>
    <row r="70" spans="1:32" s="278" customFormat="1" ht="18" x14ac:dyDescent="0.2">
      <c r="A70" s="497">
        <v>4.0999999999999996</v>
      </c>
      <c r="B70" s="498" t="s">
        <v>169</v>
      </c>
      <c r="C70" s="218"/>
      <c r="D70" s="232"/>
      <c r="E70" s="218"/>
      <c r="F70" s="218"/>
      <c r="G70" s="218"/>
      <c r="H70" s="232"/>
      <c r="I70" s="232"/>
      <c r="J70" s="232"/>
      <c r="K70" s="232"/>
      <c r="L70" s="499"/>
      <c r="M70" s="622"/>
      <c r="N70" s="622"/>
      <c r="O70" s="622"/>
      <c r="P70" s="622"/>
      <c r="Q70" s="622"/>
      <c r="R70" s="622"/>
      <c r="S70" s="622"/>
      <c r="T70" s="622"/>
      <c r="U70" s="622"/>
      <c r="V70" s="622"/>
      <c r="W70" s="622"/>
      <c r="X70" s="622"/>
      <c r="Y70" s="622"/>
      <c r="Z70" s="622"/>
      <c r="AA70" s="622"/>
      <c r="AB70" s="622"/>
      <c r="AC70" s="622"/>
      <c r="AD70" s="622"/>
      <c r="AE70" s="622"/>
      <c r="AF70" s="622"/>
    </row>
    <row r="71" spans="1:32" s="278" customFormat="1" ht="18" x14ac:dyDescent="0.2">
      <c r="A71" s="497"/>
      <c r="B71" s="498" t="s">
        <v>170</v>
      </c>
      <c r="C71" s="218"/>
      <c r="D71" s="232"/>
      <c r="E71" s="218"/>
      <c r="F71" s="218"/>
      <c r="G71" s="218"/>
      <c r="H71" s="232"/>
      <c r="I71" s="232"/>
      <c r="J71" s="232"/>
      <c r="K71" s="232"/>
      <c r="L71" s="499"/>
      <c r="M71" s="622"/>
      <c r="N71" s="622"/>
      <c r="O71" s="622"/>
      <c r="P71" s="622"/>
      <c r="Q71" s="622"/>
      <c r="R71" s="622"/>
      <c r="S71" s="622"/>
      <c r="T71" s="622"/>
      <c r="U71" s="622"/>
      <c r="V71" s="622"/>
      <c r="W71" s="622"/>
      <c r="X71" s="622"/>
      <c r="Y71" s="622"/>
      <c r="Z71" s="622"/>
      <c r="AA71" s="622"/>
      <c r="AB71" s="622"/>
      <c r="AC71" s="622"/>
      <c r="AD71" s="622"/>
      <c r="AE71" s="622"/>
      <c r="AF71" s="622"/>
    </row>
    <row r="72" spans="1:32" s="278" customFormat="1" ht="18" x14ac:dyDescent="0.2">
      <c r="A72" s="497"/>
      <c r="B72" s="498" t="s">
        <v>172</v>
      </c>
      <c r="C72" s="218" t="s">
        <v>174</v>
      </c>
      <c r="D72" s="232">
        <v>686</v>
      </c>
      <c r="E72" s="218">
        <v>660.53</v>
      </c>
      <c r="F72" s="218"/>
      <c r="G72" s="237">
        <f>F72+E72</f>
        <v>660.53</v>
      </c>
      <c r="H72" s="232">
        <v>18</v>
      </c>
      <c r="I72" s="232">
        <f>H72*D72</f>
        <v>12348</v>
      </c>
      <c r="J72" s="232">
        <f>H72*E72</f>
        <v>11889.539999999999</v>
      </c>
      <c r="K72" s="232">
        <f>H72*F72</f>
        <v>0</v>
      </c>
      <c r="L72" s="499">
        <f>K72+J72</f>
        <v>11889.539999999999</v>
      </c>
      <c r="M72" s="622"/>
      <c r="N72" s="622"/>
      <c r="O72" s="622"/>
      <c r="P72" s="622"/>
      <c r="Q72" s="622"/>
      <c r="R72" s="622"/>
      <c r="S72" s="622"/>
      <c r="T72" s="622"/>
      <c r="U72" s="622"/>
      <c r="V72" s="622"/>
      <c r="W72" s="622"/>
      <c r="X72" s="622"/>
      <c r="Y72" s="622"/>
      <c r="Z72" s="622"/>
      <c r="AA72" s="622"/>
      <c r="AB72" s="622"/>
      <c r="AC72" s="622"/>
      <c r="AD72" s="622"/>
      <c r="AE72" s="622"/>
      <c r="AF72" s="622"/>
    </row>
    <row r="73" spans="1:32" s="278" customFormat="1" ht="18" x14ac:dyDescent="0.2">
      <c r="A73" s="497"/>
      <c r="B73" s="498" t="s">
        <v>173</v>
      </c>
      <c r="C73" s="218" t="s">
        <v>174</v>
      </c>
      <c r="D73" s="232">
        <v>377</v>
      </c>
      <c r="E73" s="218">
        <v>485.34</v>
      </c>
      <c r="F73" s="218"/>
      <c r="G73" s="237">
        <f>F73+E73</f>
        <v>485.34</v>
      </c>
      <c r="H73" s="232">
        <v>16</v>
      </c>
      <c r="I73" s="232">
        <f>H73*D73</f>
        <v>6032</v>
      </c>
      <c r="J73" s="232">
        <f>H73*E73</f>
        <v>7765.44</v>
      </c>
      <c r="K73" s="232">
        <f>H73*F73</f>
        <v>0</v>
      </c>
      <c r="L73" s="499">
        <f>K73+J73</f>
        <v>7765.44</v>
      </c>
      <c r="M73" s="622"/>
      <c r="N73" s="622"/>
      <c r="O73" s="622"/>
      <c r="P73" s="622"/>
      <c r="Q73" s="622"/>
      <c r="R73" s="622"/>
      <c r="S73" s="622"/>
      <c r="T73" s="622"/>
      <c r="U73" s="622"/>
      <c r="V73" s="622"/>
      <c r="W73" s="622"/>
      <c r="X73" s="622"/>
      <c r="Y73" s="622"/>
      <c r="Z73" s="622"/>
      <c r="AA73" s="622"/>
      <c r="AB73" s="622"/>
      <c r="AC73" s="622"/>
      <c r="AD73" s="622"/>
      <c r="AE73" s="622"/>
      <c r="AF73" s="622"/>
    </row>
    <row r="74" spans="1:32" s="278" customFormat="1" ht="18" x14ac:dyDescent="0.2">
      <c r="A74" s="494"/>
      <c r="B74" s="495" t="s">
        <v>171</v>
      </c>
      <c r="C74" s="236" t="s">
        <v>174</v>
      </c>
      <c r="D74" s="235">
        <v>458</v>
      </c>
      <c r="E74" s="236">
        <v>514.79999999999995</v>
      </c>
      <c r="F74" s="218"/>
      <c r="G74" s="237">
        <f>F74+E74</f>
        <v>514.79999999999995</v>
      </c>
      <c r="H74" s="235">
        <v>48</v>
      </c>
      <c r="I74" s="232">
        <f>H74*D74</f>
        <v>21984</v>
      </c>
      <c r="J74" s="232">
        <f>H74*E74</f>
        <v>24710.399999999998</v>
      </c>
      <c r="K74" s="232">
        <f>H74*F74</f>
        <v>0</v>
      </c>
      <c r="L74" s="499">
        <f>K74+J74</f>
        <v>24710.399999999998</v>
      </c>
      <c r="M74" s="622"/>
      <c r="N74" s="622"/>
      <c r="O74" s="622"/>
      <c r="P74" s="622"/>
      <c r="Q74" s="622"/>
      <c r="R74" s="622"/>
      <c r="S74" s="622"/>
      <c r="T74" s="622"/>
      <c r="U74" s="622"/>
      <c r="V74" s="622"/>
      <c r="W74" s="622"/>
      <c r="X74" s="622"/>
      <c r="Y74" s="622"/>
      <c r="Z74" s="622"/>
      <c r="AA74" s="622"/>
      <c r="AB74" s="622"/>
      <c r="AC74" s="622"/>
      <c r="AD74" s="622"/>
      <c r="AE74" s="622"/>
      <c r="AF74" s="622"/>
    </row>
    <row r="75" spans="1:32" s="278" customFormat="1" ht="18" x14ac:dyDescent="0.2">
      <c r="A75" s="494">
        <v>4.2</v>
      </c>
      <c r="B75" s="495" t="s">
        <v>486</v>
      </c>
      <c r="C75" s="236" t="s">
        <v>487</v>
      </c>
      <c r="D75" s="235">
        <v>85</v>
      </c>
      <c r="E75" s="236"/>
      <c r="F75" s="218">
        <v>85.4</v>
      </c>
      <c r="G75" s="237"/>
      <c r="H75" s="235">
        <v>92</v>
      </c>
      <c r="I75" s="232">
        <f>H75*D75</f>
        <v>7820</v>
      </c>
      <c r="J75" s="232">
        <f>H75*E75</f>
        <v>0</v>
      </c>
      <c r="K75" s="232">
        <f>H75*F75</f>
        <v>7856.8</v>
      </c>
      <c r="L75" s="499">
        <f>K75+J75</f>
        <v>7856.8</v>
      </c>
      <c r="M75" s="622"/>
      <c r="N75" s="622"/>
      <c r="O75" s="622"/>
      <c r="P75" s="622"/>
      <c r="Q75" s="622"/>
      <c r="R75" s="622"/>
      <c r="S75" s="622"/>
      <c r="T75" s="622"/>
      <c r="U75" s="622"/>
      <c r="V75" s="622"/>
      <c r="W75" s="622"/>
      <c r="X75" s="622"/>
      <c r="Y75" s="622"/>
      <c r="Z75" s="622"/>
      <c r="AA75" s="622"/>
      <c r="AB75" s="622"/>
      <c r="AC75" s="622"/>
      <c r="AD75" s="622"/>
      <c r="AE75" s="622"/>
      <c r="AF75" s="622"/>
    </row>
    <row r="76" spans="1:32" s="574" customFormat="1" ht="21.75" customHeight="1" thickBot="1" x14ac:dyDescent="0.25">
      <c r="A76" s="585"/>
      <c r="B76" s="1174" t="s">
        <v>64</v>
      </c>
      <c r="C76" s="1175"/>
      <c r="D76" s="1175"/>
      <c r="E76" s="1175"/>
      <c r="F76" s="1175"/>
      <c r="G76" s="1175"/>
      <c r="H76" s="1176"/>
      <c r="I76" s="586">
        <f>SUM(I72:I75)</f>
        <v>48184</v>
      </c>
      <c r="J76" s="586">
        <f>SUM(J72:J75)</f>
        <v>44365.38</v>
      </c>
      <c r="K76" s="586">
        <f>SUM(K72:K75)</f>
        <v>7856.8</v>
      </c>
      <c r="L76" s="586">
        <f>SUM(L72:L75)</f>
        <v>52222.18</v>
      </c>
      <c r="M76" s="622"/>
      <c r="N76" s="622"/>
      <c r="O76" s="622"/>
      <c r="P76" s="622"/>
      <c r="Q76" s="622"/>
      <c r="R76" s="622"/>
      <c r="S76" s="622"/>
      <c r="T76" s="622"/>
      <c r="U76" s="622"/>
      <c r="V76" s="622"/>
      <c r="W76" s="622"/>
      <c r="X76" s="622"/>
      <c r="Y76" s="622"/>
      <c r="Z76" s="622"/>
      <c r="AA76" s="622"/>
      <c r="AB76" s="622"/>
      <c r="AC76" s="622"/>
      <c r="AD76" s="622"/>
      <c r="AE76" s="622"/>
      <c r="AF76" s="622"/>
    </row>
    <row r="77" spans="1:32" s="312" customFormat="1" ht="18" x14ac:dyDescent="0.2">
      <c r="A77" s="474"/>
      <c r="B77" s="475" t="s">
        <v>488</v>
      </c>
      <c r="C77" s="476"/>
      <c r="D77" s="476"/>
      <c r="E77" s="476"/>
      <c r="F77" s="476"/>
      <c r="G77" s="476"/>
      <c r="H77" s="721"/>
      <c r="I77" s="721"/>
      <c r="J77" s="362"/>
      <c r="K77" s="362"/>
      <c r="L77" s="362"/>
      <c r="M77" s="628"/>
      <c r="N77" s="628"/>
      <c r="O77" s="628"/>
      <c r="P77" s="628"/>
      <c r="Q77" s="628"/>
      <c r="R77" s="628"/>
      <c r="S77" s="628"/>
      <c r="T77" s="628"/>
      <c r="U77" s="628"/>
      <c r="V77" s="628"/>
    </row>
    <row r="78" spans="1:32" s="312" customFormat="1" ht="18" x14ac:dyDescent="0.2">
      <c r="A78" s="451">
        <v>5.0999999999999996</v>
      </c>
      <c r="B78" s="452" t="s">
        <v>489</v>
      </c>
      <c r="C78" s="476"/>
      <c r="D78" s="476"/>
      <c r="E78" s="476"/>
      <c r="F78" s="476"/>
      <c r="G78" s="476"/>
      <c r="H78" s="477"/>
      <c r="I78" s="477"/>
      <c r="J78" s="381"/>
      <c r="K78" s="381"/>
      <c r="L78" s="381"/>
      <c r="M78" s="628"/>
      <c r="N78" s="628"/>
      <c r="O78" s="628"/>
      <c r="P78" s="628"/>
      <c r="Q78" s="628"/>
      <c r="R78" s="628"/>
      <c r="S78" s="628"/>
      <c r="T78" s="628"/>
      <c r="U78" s="628"/>
      <c r="V78" s="628"/>
    </row>
    <row r="79" spans="1:32" s="312" customFormat="1" ht="18" x14ac:dyDescent="0.2">
      <c r="A79" s="474"/>
      <c r="B79" s="452" t="s">
        <v>490</v>
      </c>
      <c r="C79" s="218" t="s">
        <v>142</v>
      </c>
      <c r="D79" s="218">
        <v>9</v>
      </c>
      <c r="E79" s="218"/>
      <c r="F79" s="218">
        <v>9</v>
      </c>
      <c r="G79" s="237">
        <f t="shared" ref="G79:G84" si="15">F79+E79</f>
        <v>9</v>
      </c>
      <c r="H79" s="454">
        <v>3200</v>
      </c>
      <c r="I79" s="232">
        <f>H79*D79</f>
        <v>28800</v>
      </c>
      <c r="J79" s="232">
        <f t="shared" ref="J79:J85" si="16">H79*E79</f>
        <v>0</v>
      </c>
      <c r="K79" s="130">
        <f t="shared" ref="K79:K85" si="17">H79*F79</f>
        <v>28800</v>
      </c>
      <c r="L79" s="244">
        <f t="shared" ref="L79:L85" si="18">K79+J79</f>
        <v>28800</v>
      </c>
      <c r="M79" s="628"/>
      <c r="N79" s="628"/>
      <c r="O79" s="628"/>
      <c r="P79" s="628"/>
      <c r="Q79" s="628"/>
      <c r="R79" s="628"/>
      <c r="S79" s="628"/>
      <c r="T79" s="628"/>
      <c r="U79" s="628"/>
      <c r="V79" s="628"/>
    </row>
    <row r="80" spans="1:32" s="312" customFormat="1" ht="18" x14ac:dyDescent="0.2">
      <c r="A80" s="474"/>
      <c r="B80" s="452" t="s">
        <v>491</v>
      </c>
      <c r="C80" s="218" t="s">
        <v>142</v>
      </c>
      <c r="D80" s="218">
        <v>1</v>
      </c>
      <c r="E80" s="218"/>
      <c r="F80" s="218">
        <v>10</v>
      </c>
      <c r="G80" s="237">
        <f t="shared" si="15"/>
        <v>10</v>
      </c>
      <c r="H80" s="454">
        <v>4000</v>
      </c>
      <c r="I80" s="232">
        <f t="shared" ref="I80:I85" si="19">H80*D80</f>
        <v>4000</v>
      </c>
      <c r="J80" s="232">
        <f t="shared" si="16"/>
        <v>0</v>
      </c>
      <c r="K80" s="130">
        <f t="shared" si="17"/>
        <v>40000</v>
      </c>
      <c r="L80" s="244">
        <f t="shared" si="18"/>
        <v>40000</v>
      </c>
      <c r="M80" s="628"/>
      <c r="N80" s="628"/>
      <c r="O80" s="628"/>
      <c r="P80" s="628"/>
      <c r="Q80" s="628"/>
      <c r="R80" s="628"/>
      <c r="S80" s="628"/>
      <c r="T80" s="628"/>
      <c r="U80" s="628"/>
      <c r="V80" s="628"/>
    </row>
    <row r="81" spans="1:22" s="312" customFormat="1" ht="18" x14ac:dyDescent="0.2">
      <c r="A81" s="451"/>
      <c r="B81" s="452" t="s">
        <v>492</v>
      </c>
      <c r="C81" s="218" t="s">
        <v>142</v>
      </c>
      <c r="D81" s="218">
        <v>1</v>
      </c>
      <c r="E81" s="244"/>
      <c r="F81" s="244">
        <v>1</v>
      </c>
      <c r="G81" s="237">
        <f t="shared" si="15"/>
        <v>1</v>
      </c>
      <c r="H81" s="454">
        <v>2000</v>
      </c>
      <c r="I81" s="232">
        <f t="shared" si="19"/>
        <v>2000</v>
      </c>
      <c r="J81" s="232">
        <f t="shared" si="16"/>
        <v>0</v>
      </c>
      <c r="K81" s="130">
        <f t="shared" si="17"/>
        <v>2000</v>
      </c>
      <c r="L81" s="244">
        <f t="shared" si="18"/>
        <v>2000</v>
      </c>
      <c r="M81" s="628"/>
      <c r="N81" s="628"/>
      <c r="O81" s="628"/>
      <c r="P81" s="628"/>
      <c r="Q81" s="628"/>
      <c r="R81" s="628"/>
      <c r="S81" s="628"/>
      <c r="T81" s="628"/>
      <c r="U81" s="628"/>
      <c r="V81" s="628"/>
    </row>
    <row r="82" spans="1:22" s="312" customFormat="1" ht="18" x14ac:dyDescent="0.2">
      <c r="A82" s="451"/>
      <c r="B82" s="452" t="s">
        <v>493</v>
      </c>
      <c r="C82" s="218" t="s">
        <v>142</v>
      </c>
      <c r="D82" s="218">
        <v>1</v>
      </c>
      <c r="E82" s="244"/>
      <c r="F82" s="244">
        <v>1</v>
      </c>
      <c r="G82" s="237">
        <f t="shared" si="15"/>
        <v>1</v>
      </c>
      <c r="H82" s="232">
        <v>600</v>
      </c>
      <c r="I82" s="232">
        <f t="shared" si="19"/>
        <v>600</v>
      </c>
      <c r="J82" s="232">
        <f t="shared" si="16"/>
        <v>0</v>
      </c>
      <c r="K82" s="130">
        <f t="shared" si="17"/>
        <v>600</v>
      </c>
      <c r="L82" s="244">
        <f t="shared" si="18"/>
        <v>600</v>
      </c>
      <c r="M82" s="628"/>
      <c r="N82" s="628"/>
      <c r="O82" s="628"/>
      <c r="P82" s="628"/>
      <c r="Q82" s="628"/>
      <c r="R82" s="628"/>
      <c r="S82" s="628"/>
      <c r="T82" s="628"/>
      <c r="U82" s="628"/>
      <c r="V82" s="628"/>
    </row>
    <row r="83" spans="1:22" s="312" customFormat="1" ht="18" x14ac:dyDescent="0.2">
      <c r="A83" s="451"/>
      <c r="B83" s="452" t="s">
        <v>494</v>
      </c>
      <c r="C83" s="218" t="s">
        <v>142</v>
      </c>
      <c r="D83" s="218">
        <v>1</v>
      </c>
      <c r="E83" s="381"/>
      <c r="F83" s="381">
        <v>1</v>
      </c>
      <c r="G83" s="237">
        <f t="shared" si="15"/>
        <v>1</v>
      </c>
      <c r="H83" s="232">
        <v>825</v>
      </c>
      <c r="I83" s="232">
        <f t="shared" si="19"/>
        <v>825</v>
      </c>
      <c r="J83" s="232">
        <f t="shared" si="16"/>
        <v>0</v>
      </c>
      <c r="K83" s="130">
        <f t="shared" si="17"/>
        <v>825</v>
      </c>
      <c r="L83" s="244">
        <f t="shared" si="18"/>
        <v>825</v>
      </c>
      <c r="M83" s="628"/>
      <c r="N83" s="628"/>
      <c r="O83" s="628"/>
      <c r="P83" s="628"/>
      <c r="Q83" s="628"/>
      <c r="R83" s="628"/>
      <c r="S83" s="628"/>
      <c r="T83" s="628"/>
      <c r="U83" s="628"/>
      <c r="V83" s="628"/>
    </row>
    <row r="84" spans="1:22" s="312" customFormat="1" ht="18" x14ac:dyDescent="0.2">
      <c r="A84" s="451"/>
      <c r="B84" s="452" t="s">
        <v>495</v>
      </c>
      <c r="C84" s="218" t="s">
        <v>142</v>
      </c>
      <c r="D84" s="218">
        <v>2</v>
      </c>
      <c r="E84" s="381"/>
      <c r="F84" s="381">
        <v>2</v>
      </c>
      <c r="G84" s="237">
        <f t="shared" si="15"/>
        <v>2</v>
      </c>
      <c r="H84" s="232">
        <v>885</v>
      </c>
      <c r="I84" s="232">
        <f t="shared" si="19"/>
        <v>1770</v>
      </c>
      <c r="J84" s="232">
        <f t="shared" si="16"/>
        <v>0</v>
      </c>
      <c r="K84" s="130">
        <f t="shared" si="17"/>
        <v>1770</v>
      </c>
      <c r="L84" s="244">
        <f t="shared" si="18"/>
        <v>1770</v>
      </c>
      <c r="M84" s="628"/>
      <c r="N84" s="628"/>
      <c r="O84" s="628"/>
      <c r="P84" s="628"/>
      <c r="Q84" s="628"/>
      <c r="R84" s="628"/>
      <c r="S84" s="628"/>
      <c r="T84" s="628"/>
      <c r="U84" s="628"/>
      <c r="V84" s="628"/>
    </row>
    <row r="85" spans="1:22" s="312" customFormat="1" ht="17.25" customHeight="1" x14ac:dyDescent="0.2">
      <c r="A85" s="451"/>
      <c r="B85" s="453"/>
      <c r="C85" s="218"/>
      <c r="D85" s="218"/>
      <c r="E85" s="244"/>
      <c r="F85" s="244"/>
      <c r="G85" s="244"/>
      <c r="H85" s="232"/>
      <c r="I85" s="232">
        <f t="shared" si="19"/>
        <v>0</v>
      </c>
      <c r="J85" s="130">
        <f t="shared" si="16"/>
        <v>0</v>
      </c>
      <c r="K85" s="130">
        <f t="shared" si="17"/>
        <v>0</v>
      </c>
      <c r="L85" s="244">
        <f t="shared" si="18"/>
        <v>0</v>
      </c>
      <c r="M85" s="628"/>
      <c r="N85" s="628"/>
      <c r="O85" s="628"/>
      <c r="P85" s="628"/>
      <c r="Q85" s="628"/>
      <c r="R85" s="628"/>
      <c r="S85" s="628"/>
      <c r="T85" s="628"/>
      <c r="U85" s="628"/>
      <c r="V85" s="628"/>
    </row>
    <row r="86" spans="1:22" s="582" customFormat="1" ht="21.75" customHeight="1" thickBot="1" x14ac:dyDescent="0.25">
      <c r="A86" s="599"/>
      <c r="B86" s="1174" t="s">
        <v>64</v>
      </c>
      <c r="C86" s="1175"/>
      <c r="D86" s="1175"/>
      <c r="E86" s="1175"/>
      <c r="F86" s="1175"/>
      <c r="G86" s="1175"/>
      <c r="H86" s="1176"/>
      <c r="I86" s="600">
        <f>SUM(I79:I85)</f>
        <v>37995</v>
      </c>
      <c r="J86" s="600">
        <f>SUM(J79:J85)</f>
        <v>0</v>
      </c>
      <c r="K86" s="600">
        <f>SUM(K79:K85)</f>
        <v>73995</v>
      </c>
      <c r="L86" s="600">
        <f>SUM(L79:L85)</f>
        <v>73995</v>
      </c>
      <c r="M86" s="628"/>
      <c r="N86" s="628"/>
      <c r="O86" s="628"/>
      <c r="P86" s="628"/>
      <c r="Q86" s="628"/>
      <c r="R86" s="628"/>
      <c r="S86" s="628"/>
      <c r="T86" s="628"/>
      <c r="U86" s="628"/>
      <c r="V86" s="628"/>
    </row>
    <row r="87" spans="1:22" ht="18" x14ac:dyDescent="0.2">
      <c r="A87" s="474"/>
      <c r="B87" s="475" t="s">
        <v>297</v>
      </c>
      <c r="C87" s="476"/>
      <c r="D87" s="476"/>
      <c r="E87" s="720"/>
      <c r="F87" s="720"/>
      <c r="G87" s="720"/>
      <c r="H87" s="721"/>
      <c r="I87" s="721"/>
      <c r="J87" s="362"/>
      <c r="K87" s="362"/>
      <c r="L87" s="362"/>
    </row>
    <row r="88" spans="1:22" ht="18" x14ac:dyDescent="0.2">
      <c r="A88" s="451">
        <v>6.1</v>
      </c>
      <c r="B88" s="452" t="s">
        <v>298</v>
      </c>
      <c r="C88" s="476"/>
      <c r="D88" s="476"/>
      <c r="E88" s="244"/>
      <c r="F88" s="244"/>
      <c r="G88" s="244">
        <f>F88+E88</f>
        <v>0</v>
      </c>
      <c r="H88" s="477"/>
      <c r="I88" s="477"/>
      <c r="J88" s="244"/>
      <c r="K88" s="244"/>
      <c r="L88" s="244"/>
    </row>
    <row r="89" spans="1:22" ht="20.25" x14ac:dyDescent="0.2">
      <c r="A89" s="451"/>
      <c r="B89" s="452" t="s">
        <v>299</v>
      </c>
      <c r="C89" s="218" t="s">
        <v>303</v>
      </c>
      <c r="D89" s="218">
        <v>180</v>
      </c>
      <c r="E89" s="244"/>
      <c r="F89" s="244">
        <v>163.96</v>
      </c>
      <c r="G89" s="244">
        <f>F89+E89</f>
        <v>163.96</v>
      </c>
      <c r="H89" s="232">
        <v>115</v>
      </c>
      <c r="I89" s="232">
        <f>H89*D89</f>
        <v>20700</v>
      </c>
      <c r="J89" s="130">
        <f>H89*E89</f>
        <v>0</v>
      </c>
      <c r="K89" s="130">
        <f>H89*F89</f>
        <v>18855.400000000001</v>
      </c>
      <c r="L89" s="244">
        <f>K89+J89</f>
        <v>18855.400000000001</v>
      </c>
    </row>
    <row r="90" spans="1:22" ht="18" x14ac:dyDescent="0.2">
      <c r="A90" s="451">
        <v>6.2</v>
      </c>
      <c r="B90" s="452" t="s">
        <v>301</v>
      </c>
      <c r="C90" s="218"/>
      <c r="D90" s="218"/>
      <c r="E90" s="381"/>
      <c r="F90" s="381"/>
      <c r="G90" s="244">
        <f>F90+E90</f>
        <v>0</v>
      </c>
      <c r="H90" s="232"/>
      <c r="I90" s="232">
        <f>H90*D90</f>
        <v>0</v>
      </c>
      <c r="J90" s="130">
        <f>H90*E90</f>
        <v>0</v>
      </c>
      <c r="K90" s="130">
        <f>H90*F90</f>
        <v>0</v>
      </c>
      <c r="L90" s="244">
        <f>K90+J90</f>
        <v>0</v>
      </c>
    </row>
    <row r="91" spans="1:22" ht="20.25" x14ac:dyDescent="0.2">
      <c r="A91" s="451"/>
      <c r="B91" s="453" t="s">
        <v>302</v>
      </c>
      <c r="C91" s="218" t="s">
        <v>303</v>
      </c>
      <c r="D91" s="218">
        <v>744</v>
      </c>
      <c r="E91" s="244"/>
      <c r="F91" s="244">
        <v>800</v>
      </c>
      <c r="G91" s="244">
        <f t="shared" ref="G91:G100" si="20">F91+E91</f>
        <v>800</v>
      </c>
      <c r="H91" s="232">
        <v>140</v>
      </c>
      <c r="I91" s="232">
        <f>H91*D91</f>
        <v>104160</v>
      </c>
      <c r="J91" s="130">
        <f>H91*E91</f>
        <v>0</v>
      </c>
      <c r="K91" s="130">
        <f>H91*F91</f>
        <v>112000</v>
      </c>
      <c r="L91" s="244">
        <f>K91+J91</f>
        <v>112000</v>
      </c>
    </row>
    <row r="92" spans="1:22" ht="18" x14ac:dyDescent="0.2">
      <c r="A92" s="451">
        <v>6.3</v>
      </c>
      <c r="B92" s="453" t="s">
        <v>485</v>
      </c>
      <c r="C92" s="218" t="s">
        <v>11</v>
      </c>
      <c r="D92" s="218">
        <v>292</v>
      </c>
      <c r="E92" s="244"/>
      <c r="F92" s="244">
        <v>299.67</v>
      </c>
      <c r="G92" s="244">
        <f t="shared" si="20"/>
        <v>299.67</v>
      </c>
      <c r="H92" s="232">
        <v>340</v>
      </c>
      <c r="I92" s="232">
        <f t="shared" ref="I92:I100" si="21">H92*D92</f>
        <v>99280</v>
      </c>
      <c r="J92" s="130">
        <f t="shared" ref="J92:J100" si="22">H92*E92</f>
        <v>0</v>
      </c>
      <c r="K92" s="130">
        <f t="shared" ref="K92:K100" si="23">H92*F92</f>
        <v>101887.8</v>
      </c>
      <c r="L92" s="244">
        <f t="shared" ref="L92:L100" si="24">K92+J92</f>
        <v>101887.8</v>
      </c>
    </row>
    <row r="93" spans="1:22" ht="18" x14ac:dyDescent="0.2">
      <c r="A93" s="451">
        <v>6.4</v>
      </c>
      <c r="B93" s="453" t="s">
        <v>496</v>
      </c>
      <c r="C93" s="218" t="s">
        <v>11</v>
      </c>
      <c r="D93" s="218">
        <v>80</v>
      </c>
      <c r="E93" s="244"/>
      <c r="F93" s="244"/>
      <c r="G93" s="244">
        <f t="shared" si="20"/>
        <v>0</v>
      </c>
      <c r="H93" s="232">
        <v>330</v>
      </c>
      <c r="I93" s="232">
        <f t="shared" si="21"/>
        <v>26400</v>
      </c>
      <c r="J93" s="130">
        <f t="shared" si="22"/>
        <v>0</v>
      </c>
      <c r="K93" s="130">
        <f t="shared" si="23"/>
        <v>0</v>
      </c>
      <c r="L93" s="244">
        <f t="shared" si="24"/>
        <v>0</v>
      </c>
    </row>
    <row r="94" spans="1:22" ht="18" x14ac:dyDescent="0.2">
      <c r="A94" s="451">
        <v>6.5</v>
      </c>
      <c r="B94" s="453" t="s">
        <v>497</v>
      </c>
      <c r="C94" s="218" t="s">
        <v>11</v>
      </c>
      <c r="D94" s="218">
        <v>292</v>
      </c>
      <c r="E94" s="244"/>
      <c r="F94" s="244">
        <v>300.77999999999997</v>
      </c>
      <c r="G94" s="244">
        <f t="shared" si="20"/>
        <v>300.77999999999997</v>
      </c>
      <c r="H94" s="232">
        <v>380</v>
      </c>
      <c r="I94" s="232">
        <f t="shared" si="21"/>
        <v>110960</v>
      </c>
      <c r="J94" s="130">
        <f t="shared" si="22"/>
        <v>0</v>
      </c>
      <c r="K94" s="130">
        <f t="shared" si="23"/>
        <v>114296.4</v>
      </c>
      <c r="L94" s="244">
        <f t="shared" si="24"/>
        <v>114296.4</v>
      </c>
    </row>
    <row r="95" spans="1:22" ht="18" x14ac:dyDescent="0.2">
      <c r="A95" s="451">
        <v>6.6</v>
      </c>
      <c r="B95" s="453" t="s">
        <v>498</v>
      </c>
      <c r="C95" s="218" t="s">
        <v>487</v>
      </c>
      <c r="D95" s="218">
        <v>221</v>
      </c>
      <c r="E95" s="244"/>
      <c r="F95" s="244">
        <v>256.49</v>
      </c>
      <c r="G95" s="244">
        <f t="shared" si="20"/>
        <v>256.49</v>
      </c>
      <c r="H95" s="232">
        <v>50</v>
      </c>
      <c r="I95" s="232">
        <f t="shared" si="21"/>
        <v>11050</v>
      </c>
      <c r="J95" s="130">
        <f t="shared" si="22"/>
        <v>0</v>
      </c>
      <c r="K95" s="130">
        <f t="shared" si="23"/>
        <v>12824.5</v>
      </c>
      <c r="L95" s="244">
        <f t="shared" si="24"/>
        <v>12824.5</v>
      </c>
    </row>
    <row r="96" spans="1:22" ht="18" x14ac:dyDescent="0.2">
      <c r="A96" s="451">
        <v>6.7</v>
      </c>
      <c r="B96" s="453" t="s">
        <v>499</v>
      </c>
      <c r="C96" s="218" t="s">
        <v>487</v>
      </c>
      <c r="D96" s="218">
        <v>34</v>
      </c>
      <c r="E96" s="244"/>
      <c r="F96" s="244"/>
      <c r="G96" s="244">
        <f t="shared" si="20"/>
        <v>0</v>
      </c>
      <c r="H96" s="232">
        <v>275</v>
      </c>
      <c r="I96" s="232">
        <f t="shared" si="21"/>
        <v>9350</v>
      </c>
      <c r="J96" s="130">
        <f t="shared" si="22"/>
        <v>0</v>
      </c>
      <c r="K96" s="130">
        <f t="shared" si="23"/>
        <v>0</v>
      </c>
      <c r="L96" s="244">
        <f t="shared" si="24"/>
        <v>0</v>
      </c>
    </row>
    <row r="97" spans="1:12" ht="18" x14ac:dyDescent="0.2">
      <c r="A97" s="451">
        <v>6.8</v>
      </c>
      <c r="B97" s="453" t="s">
        <v>500</v>
      </c>
      <c r="C97" s="218" t="s">
        <v>487</v>
      </c>
      <c r="D97" s="218">
        <v>6</v>
      </c>
      <c r="E97" s="244"/>
      <c r="F97" s="244"/>
      <c r="G97" s="244">
        <f t="shared" si="20"/>
        <v>0</v>
      </c>
      <c r="H97" s="232">
        <v>195</v>
      </c>
      <c r="I97" s="232">
        <f t="shared" si="21"/>
        <v>1170</v>
      </c>
      <c r="J97" s="130">
        <f t="shared" si="22"/>
        <v>0</v>
      </c>
      <c r="K97" s="130">
        <f t="shared" si="23"/>
        <v>0</v>
      </c>
      <c r="L97" s="244">
        <f t="shared" si="24"/>
        <v>0</v>
      </c>
    </row>
    <row r="98" spans="1:12" ht="18" x14ac:dyDescent="0.2">
      <c r="A98" s="451">
        <v>6.9</v>
      </c>
      <c r="B98" s="453" t="s">
        <v>501</v>
      </c>
      <c r="C98" s="218" t="s">
        <v>11</v>
      </c>
      <c r="D98" s="218">
        <v>102</v>
      </c>
      <c r="E98" s="244"/>
      <c r="F98" s="244"/>
      <c r="G98" s="244">
        <f t="shared" si="20"/>
        <v>0</v>
      </c>
      <c r="H98" s="232">
        <v>450</v>
      </c>
      <c r="I98" s="232">
        <f t="shared" si="21"/>
        <v>45900</v>
      </c>
      <c r="J98" s="130">
        <f t="shared" si="22"/>
        <v>0</v>
      </c>
      <c r="K98" s="130">
        <f t="shared" si="23"/>
        <v>0</v>
      </c>
      <c r="L98" s="244">
        <f t="shared" si="24"/>
        <v>0</v>
      </c>
    </row>
    <row r="99" spans="1:12" ht="18" x14ac:dyDescent="0.2">
      <c r="A99" s="451">
        <v>6.1</v>
      </c>
      <c r="B99" s="453" t="s">
        <v>502</v>
      </c>
      <c r="C99" s="218" t="s">
        <v>174</v>
      </c>
      <c r="D99" s="218">
        <v>86</v>
      </c>
      <c r="E99" s="244"/>
      <c r="F99" s="244"/>
      <c r="G99" s="244">
        <f t="shared" si="20"/>
        <v>0</v>
      </c>
      <c r="H99" s="232">
        <v>160</v>
      </c>
      <c r="I99" s="232">
        <f t="shared" si="21"/>
        <v>13760</v>
      </c>
      <c r="J99" s="130">
        <f t="shared" si="22"/>
        <v>0</v>
      </c>
      <c r="K99" s="130">
        <f t="shared" si="23"/>
        <v>0</v>
      </c>
      <c r="L99" s="244">
        <f t="shared" si="24"/>
        <v>0</v>
      </c>
    </row>
    <row r="100" spans="1:12" ht="18" x14ac:dyDescent="0.2">
      <c r="A100" s="451">
        <v>6.11</v>
      </c>
      <c r="B100" s="453" t="s">
        <v>503</v>
      </c>
      <c r="C100" s="218" t="s">
        <v>174</v>
      </c>
      <c r="D100" s="218">
        <v>86</v>
      </c>
      <c r="E100" s="244"/>
      <c r="F100" s="244"/>
      <c r="G100" s="244">
        <f t="shared" si="20"/>
        <v>0</v>
      </c>
      <c r="H100" s="232">
        <v>155</v>
      </c>
      <c r="I100" s="232">
        <f t="shared" si="21"/>
        <v>13330</v>
      </c>
      <c r="J100" s="130">
        <f t="shared" si="22"/>
        <v>0</v>
      </c>
      <c r="K100" s="130">
        <f t="shared" si="23"/>
        <v>0</v>
      </c>
      <c r="L100" s="244">
        <f t="shared" si="24"/>
        <v>0</v>
      </c>
    </row>
    <row r="101" spans="1:12" ht="30.75" customHeight="1" thickBot="1" x14ac:dyDescent="0.25">
      <c r="A101" s="599"/>
      <c r="B101" s="1171" t="s">
        <v>64</v>
      </c>
      <c r="C101" s="1172"/>
      <c r="D101" s="1172"/>
      <c r="E101" s="1172"/>
      <c r="F101" s="1172"/>
      <c r="G101" s="1172"/>
      <c r="H101" s="1173"/>
      <c r="I101" s="600">
        <f>SUM(I89:I100)</f>
        <v>456060</v>
      </c>
      <c r="J101" s="600">
        <f>SUM(J89:J100)</f>
        <v>0</v>
      </c>
      <c r="K101" s="600">
        <f>SUM(K89:K100)</f>
        <v>359864.1</v>
      </c>
      <c r="L101" s="600">
        <f>SUM(L89:L100)</f>
        <v>359864.1</v>
      </c>
    </row>
  </sheetData>
  <mergeCells count="35">
    <mergeCell ref="B64:H64"/>
    <mergeCell ref="B68:H68"/>
    <mergeCell ref="B76:H76"/>
    <mergeCell ref="B101:H101"/>
    <mergeCell ref="B59:H59"/>
    <mergeCell ref="B86:H86"/>
    <mergeCell ref="L41:L42"/>
    <mergeCell ref="I41:I42"/>
    <mergeCell ref="J41:K41"/>
    <mergeCell ref="G40:G42"/>
    <mergeCell ref="A40:A42"/>
    <mergeCell ref="D40:F40"/>
    <mergeCell ref="B40:B42"/>
    <mergeCell ref="C40:C42"/>
    <mergeCell ref="D41:D42"/>
    <mergeCell ref="E41:F41"/>
    <mergeCell ref="I40:K40"/>
    <mergeCell ref="B33:H33"/>
    <mergeCell ref="H40:H42"/>
    <mergeCell ref="B14:H14"/>
    <mergeCell ref="B37:H37"/>
    <mergeCell ref="I3:I4"/>
    <mergeCell ref="G2:G4"/>
    <mergeCell ref="B39:K39"/>
    <mergeCell ref="L3:L4"/>
    <mergeCell ref="B1:K1"/>
    <mergeCell ref="A2:A4"/>
    <mergeCell ref="B2:B4"/>
    <mergeCell ref="C2:C4"/>
    <mergeCell ref="D2:F2"/>
    <mergeCell ref="H2:H4"/>
    <mergeCell ref="I2:K2"/>
    <mergeCell ref="D3:D4"/>
    <mergeCell ref="E3:F3"/>
    <mergeCell ref="J3:K3"/>
  </mergeCells>
  <pageMargins left="0.71" right="0.2" top="0.63" bottom="0.75" header="0.3" footer="0.3"/>
  <pageSetup paperSize="9" scale="56" orientation="landscape" r:id="rId1"/>
  <headerFooter>
    <oddHeader>&amp;C&amp;18BRIGHT CONSTRUCTION PLC</oddHeader>
    <oddFooter>&amp;LContractor__________________&amp;RSupervisor_______________________</oddFooter>
  </headerFooter>
  <rowBreaks count="2" manualBreakCount="2">
    <brk id="37" max="11" man="1"/>
    <brk id="86" max="11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183"/>
  <sheetViews>
    <sheetView zoomScale="70" zoomScaleNormal="70" zoomScaleSheetLayoutView="70" workbookViewId="0">
      <pane ySplit="4" topLeftCell="A95" activePane="bottomLeft" state="frozen"/>
      <selection pane="bottomLeft" activeCell="L116" sqref="L116"/>
    </sheetView>
  </sheetViews>
  <sheetFormatPr defaultColWidth="9.14453125" defaultRowHeight="14.25" x14ac:dyDescent="0.15"/>
  <cols>
    <col min="1" max="1" width="9.55078125" style="71" customWidth="1"/>
    <col min="2" max="2" width="51.1171875" style="71" customWidth="1"/>
    <col min="3" max="3" width="7.6640625" style="345" customWidth="1"/>
    <col min="4" max="4" width="15.6015625" style="71" customWidth="1"/>
    <col min="5" max="5" width="15.87109375" style="71" customWidth="1"/>
    <col min="6" max="6" width="17.08203125" style="71" customWidth="1"/>
    <col min="7" max="7" width="15.33203125" style="71" customWidth="1"/>
    <col min="8" max="8" width="14.52734375" style="71" customWidth="1"/>
    <col min="9" max="9" width="16.54296875" style="71" customWidth="1"/>
    <col min="10" max="10" width="16.41015625" style="71" customWidth="1"/>
    <col min="11" max="11" width="18.83203125" style="71" customWidth="1"/>
    <col min="12" max="12" width="18.0234375" style="71" customWidth="1"/>
    <col min="13" max="15" width="13.71875" style="626" customWidth="1"/>
    <col min="16" max="30" width="9.14453125" style="626"/>
    <col min="31" max="16384" width="9.14453125" style="71"/>
  </cols>
  <sheetData>
    <row r="1" spans="1:30" s="254" customFormat="1" ht="21.75" customHeight="1" thickBot="1" x14ac:dyDescent="0.2">
      <c r="A1" s="253"/>
      <c r="B1" s="1116" t="s">
        <v>68</v>
      </c>
      <c r="C1" s="1116"/>
      <c r="D1" s="1116"/>
      <c r="E1" s="1116"/>
      <c r="F1" s="1116"/>
      <c r="G1" s="1116"/>
      <c r="H1" s="1116"/>
      <c r="I1" s="1116"/>
      <c r="J1" s="1116"/>
      <c r="K1" s="1116"/>
      <c r="M1" s="616"/>
      <c r="N1" s="616"/>
      <c r="O1" s="616"/>
      <c r="P1" s="616"/>
      <c r="Q1" s="616"/>
      <c r="R1" s="616"/>
      <c r="S1" s="616"/>
      <c r="T1" s="616"/>
      <c r="U1" s="616"/>
      <c r="V1" s="616"/>
      <c r="W1" s="616"/>
      <c r="X1" s="616"/>
      <c r="Y1" s="616"/>
      <c r="Z1" s="616"/>
      <c r="AA1" s="616"/>
      <c r="AB1" s="616"/>
      <c r="AC1" s="616"/>
      <c r="AD1" s="616"/>
    </row>
    <row r="2" spans="1:30" s="254" customFormat="1" ht="21.75" customHeight="1" x14ac:dyDescent="0.15">
      <c r="A2" s="1107" t="s">
        <v>61</v>
      </c>
      <c r="B2" s="1128" t="s">
        <v>54</v>
      </c>
      <c r="C2" s="1128" t="s">
        <v>5</v>
      </c>
      <c r="D2" s="1117" t="s">
        <v>4</v>
      </c>
      <c r="E2" s="1118"/>
      <c r="F2" s="1119"/>
      <c r="G2" s="1128" t="s">
        <v>334</v>
      </c>
      <c r="H2" s="1128" t="s">
        <v>8</v>
      </c>
      <c r="I2" s="1136" t="s">
        <v>50</v>
      </c>
      <c r="J2" s="1118"/>
      <c r="K2" s="1119"/>
      <c r="L2" s="503"/>
      <c r="M2" s="635"/>
      <c r="N2" s="635"/>
      <c r="O2" s="635"/>
      <c r="P2" s="616"/>
      <c r="Q2" s="616"/>
      <c r="R2" s="616"/>
      <c r="S2" s="616"/>
      <c r="T2" s="616"/>
      <c r="U2" s="616"/>
      <c r="V2" s="616"/>
      <c r="W2" s="616"/>
      <c r="X2" s="616"/>
      <c r="Y2" s="616"/>
      <c r="Z2" s="616"/>
      <c r="AA2" s="616"/>
      <c r="AB2" s="616"/>
      <c r="AC2" s="616"/>
      <c r="AD2" s="616"/>
    </row>
    <row r="3" spans="1:30" s="254" customFormat="1" ht="19.5" customHeight="1" x14ac:dyDescent="0.15">
      <c r="A3" s="1108"/>
      <c r="B3" s="1129"/>
      <c r="C3" s="1129"/>
      <c r="D3" s="1130" t="s">
        <v>62</v>
      </c>
      <c r="E3" s="1120" t="s">
        <v>63</v>
      </c>
      <c r="F3" s="1121"/>
      <c r="G3" s="1129"/>
      <c r="H3" s="1170"/>
      <c r="I3" s="1122" t="s">
        <v>6</v>
      </c>
      <c r="J3" s="1134" t="s">
        <v>7</v>
      </c>
      <c r="K3" s="1135"/>
      <c r="L3" s="1132" t="s">
        <v>336</v>
      </c>
      <c r="M3" s="636"/>
      <c r="N3" s="636"/>
      <c r="O3" s="63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616"/>
      <c r="AB3" s="616"/>
      <c r="AC3" s="616"/>
      <c r="AD3" s="616"/>
    </row>
    <row r="4" spans="1:30" s="254" customFormat="1" ht="21" customHeight="1" thickBot="1" x14ac:dyDescent="0.2">
      <c r="A4" s="1109"/>
      <c r="B4" s="1123"/>
      <c r="C4" s="1123"/>
      <c r="D4" s="1131"/>
      <c r="E4" s="255" t="s">
        <v>98</v>
      </c>
      <c r="F4" s="255" t="s">
        <v>99</v>
      </c>
      <c r="G4" s="1129"/>
      <c r="H4" s="1123"/>
      <c r="I4" s="1123"/>
      <c r="J4" s="255" t="s">
        <v>98</v>
      </c>
      <c r="K4" s="255" t="s">
        <v>99</v>
      </c>
      <c r="L4" s="1133"/>
      <c r="M4" s="636"/>
      <c r="N4" s="636"/>
      <c r="O4" s="636"/>
      <c r="P4" s="616"/>
      <c r="Q4" s="616"/>
      <c r="R4" s="616"/>
      <c r="S4" s="616"/>
      <c r="T4" s="616"/>
      <c r="U4" s="616"/>
      <c r="V4" s="616"/>
      <c r="W4" s="616"/>
      <c r="X4" s="616"/>
      <c r="Y4" s="616"/>
      <c r="Z4" s="616"/>
      <c r="AA4" s="616"/>
      <c r="AB4" s="616"/>
      <c r="AC4" s="616"/>
      <c r="AD4" s="616"/>
    </row>
    <row r="5" spans="1:30" s="254" customFormat="1" ht="21" customHeight="1" thickBot="1" x14ac:dyDescent="0.2">
      <c r="A5" s="280" t="s">
        <v>102</v>
      </c>
      <c r="B5" s="257" t="s">
        <v>103</v>
      </c>
      <c r="C5" s="257" t="s">
        <v>104</v>
      </c>
      <c r="D5" s="258" t="s">
        <v>105</v>
      </c>
      <c r="E5" s="258" t="s">
        <v>106</v>
      </c>
      <c r="F5" s="258" t="s">
        <v>107</v>
      </c>
      <c r="G5" s="258"/>
      <c r="H5" s="259" t="s">
        <v>108</v>
      </c>
      <c r="I5" s="257" t="s">
        <v>116</v>
      </c>
      <c r="J5" s="258" t="s">
        <v>115</v>
      </c>
      <c r="K5" s="258" t="s">
        <v>114</v>
      </c>
      <c r="L5" s="260" t="s">
        <v>113</v>
      </c>
      <c r="M5" s="636"/>
      <c r="N5" s="636"/>
      <c r="O5" s="636"/>
      <c r="P5" s="616"/>
      <c r="Q5" s="616"/>
      <c r="R5" s="616"/>
      <c r="S5" s="616"/>
      <c r="T5" s="616"/>
      <c r="U5" s="616"/>
      <c r="V5" s="616"/>
      <c r="W5" s="616"/>
      <c r="X5" s="616"/>
      <c r="Y5" s="616"/>
      <c r="Z5" s="616"/>
      <c r="AA5" s="616"/>
      <c r="AB5" s="616"/>
      <c r="AC5" s="616"/>
      <c r="AD5" s="616"/>
    </row>
    <row r="6" spans="1:30" x14ac:dyDescent="0.15">
      <c r="A6" s="532"/>
      <c r="B6" s="326" t="s">
        <v>9</v>
      </c>
      <c r="C6" s="162"/>
      <c r="D6" s="294"/>
      <c r="E6" s="162"/>
      <c r="F6" s="162"/>
      <c r="G6" s="162"/>
      <c r="H6" s="294"/>
      <c r="I6" s="294"/>
      <c r="J6" s="295"/>
      <c r="K6" s="545"/>
      <c r="L6" s="296"/>
      <c r="M6" s="628"/>
      <c r="N6" s="628"/>
      <c r="O6" s="628"/>
    </row>
    <row r="7" spans="1:30" x14ac:dyDescent="0.15">
      <c r="A7" s="533">
        <v>1</v>
      </c>
      <c r="B7" s="549" t="s">
        <v>10</v>
      </c>
      <c r="C7" s="40"/>
      <c r="D7" s="39"/>
      <c r="E7" s="40"/>
      <c r="F7" s="40"/>
      <c r="G7" s="40"/>
      <c r="H7" s="39"/>
      <c r="I7" s="39"/>
      <c r="J7" s="231"/>
      <c r="K7" s="546"/>
      <c r="L7" s="300"/>
      <c r="M7" s="628"/>
      <c r="N7" s="628"/>
      <c r="O7" s="628"/>
    </row>
    <row r="8" spans="1:30" x14ac:dyDescent="0.15">
      <c r="A8" s="419">
        <v>1.01</v>
      </c>
      <c r="B8" s="315" t="s">
        <v>18</v>
      </c>
      <c r="C8" s="35" t="s">
        <v>11</v>
      </c>
      <c r="D8" s="31">
        <v>434.09</v>
      </c>
      <c r="E8" s="35">
        <v>352.59</v>
      </c>
      <c r="F8" s="35"/>
      <c r="G8" s="35">
        <f t="shared" ref="G8:G13" si="0">F8+E8</f>
        <v>352.59</v>
      </c>
      <c r="H8" s="31">
        <f>Adminstration!H8</f>
        <v>6</v>
      </c>
      <c r="I8" s="31">
        <f t="shared" ref="I8:I13" si="1">D8*H8</f>
        <v>2604.54</v>
      </c>
      <c r="J8" s="31">
        <f t="shared" ref="J8:J13" si="2">H8*E8</f>
        <v>2115.54</v>
      </c>
      <c r="K8" s="44">
        <f t="shared" ref="K8:K13" si="3">F8*H8</f>
        <v>0</v>
      </c>
      <c r="L8" s="300">
        <f t="shared" ref="L8:L13" si="4">K8+J8</f>
        <v>2115.54</v>
      </c>
      <c r="M8" s="628"/>
      <c r="N8" s="628"/>
      <c r="O8" s="628"/>
    </row>
    <row r="9" spans="1:30" x14ac:dyDescent="0.15">
      <c r="A9" s="419">
        <v>1.02</v>
      </c>
      <c r="B9" s="315" t="s">
        <v>123</v>
      </c>
      <c r="C9" s="35" t="s">
        <v>12</v>
      </c>
      <c r="D9" s="31">
        <v>558.17999999999995</v>
      </c>
      <c r="E9" s="35">
        <v>205.75</v>
      </c>
      <c r="F9" s="35"/>
      <c r="G9" s="35">
        <f t="shared" si="0"/>
        <v>205.75</v>
      </c>
      <c r="H9" s="31">
        <f>Adminstration!H9</f>
        <v>25</v>
      </c>
      <c r="I9" s="31">
        <f t="shared" si="1"/>
        <v>13954.499999999998</v>
      </c>
      <c r="J9" s="31">
        <f t="shared" si="2"/>
        <v>5143.75</v>
      </c>
      <c r="K9" s="44">
        <f t="shared" si="3"/>
        <v>0</v>
      </c>
      <c r="L9" s="300">
        <f t="shared" si="4"/>
        <v>5143.75</v>
      </c>
      <c r="M9" s="628"/>
      <c r="N9" s="628"/>
      <c r="O9" s="628"/>
    </row>
    <row r="10" spans="1:30" x14ac:dyDescent="0.15">
      <c r="A10" s="419">
        <v>1.04</v>
      </c>
      <c r="B10" s="315" t="s">
        <v>13</v>
      </c>
      <c r="C10" s="35" t="s">
        <v>12</v>
      </c>
      <c r="D10" s="31">
        <v>139.55000000000001</v>
      </c>
      <c r="E10" s="35"/>
      <c r="F10" s="35"/>
      <c r="G10" s="35">
        <f t="shared" si="0"/>
        <v>0</v>
      </c>
      <c r="H10" s="31">
        <f>Adminstration!H10</f>
        <v>35</v>
      </c>
      <c r="I10" s="31">
        <f t="shared" si="1"/>
        <v>4884.25</v>
      </c>
      <c r="J10" s="31">
        <f t="shared" si="2"/>
        <v>0</v>
      </c>
      <c r="K10" s="44">
        <f t="shared" si="3"/>
        <v>0</v>
      </c>
      <c r="L10" s="300">
        <f t="shared" si="4"/>
        <v>0</v>
      </c>
      <c r="M10" s="628"/>
      <c r="N10" s="628"/>
      <c r="O10" s="628"/>
    </row>
    <row r="11" spans="1:30" x14ac:dyDescent="0.15">
      <c r="A11" s="419">
        <v>1.05</v>
      </c>
      <c r="B11" s="315" t="s">
        <v>101</v>
      </c>
      <c r="C11" s="35" t="s">
        <v>12</v>
      </c>
      <c r="D11" s="31">
        <v>552</v>
      </c>
      <c r="E11" s="35">
        <f>203.9+65.92</f>
        <v>269.82</v>
      </c>
      <c r="F11" s="35"/>
      <c r="G11" s="35">
        <f t="shared" si="0"/>
        <v>269.82</v>
      </c>
      <c r="H11" s="31">
        <f>Adminstration!H11</f>
        <v>40</v>
      </c>
      <c r="I11" s="31">
        <f t="shared" si="1"/>
        <v>22080</v>
      </c>
      <c r="J11" s="31">
        <f t="shared" si="2"/>
        <v>10792.8</v>
      </c>
      <c r="K11" s="44">
        <f t="shared" si="3"/>
        <v>0</v>
      </c>
      <c r="L11" s="300">
        <f t="shared" si="4"/>
        <v>10792.8</v>
      </c>
      <c r="M11" s="628"/>
      <c r="N11" s="628"/>
      <c r="O11" s="628"/>
    </row>
    <row r="12" spans="1:30" x14ac:dyDescent="0.15">
      <c r="A12" s="419">
        <v>1.06</v>
      </c>
      <c r="B12" s="419" t="s">
        <v>87</v>
      </c>
      <c r="C12" s="35" t="s">
        <v>12</v>
      </c>
      <c r="D12" s="45">
        <v>827.95</v>
      </c>
      <c r="E12" s="35">
        <v>309.68</v>
      </c>
      <c r="F12" s="35"/>
      <c r="G12" s="35">
        <f t="shared" si="0"/>
        <v>309.68</v>
      </c>
      <c r="H12" s="31">
        <f>Adminstration!H12</f>
        <v>25</v>
      </c>
      <c r="I12" s="31">
        <f t="shared" si="1"/>
        <v>20698.75</v>
      </c>
      <c r="J12" s="31">
        <f t="shared" si="2"/>
        <v>7742</v>
      </c>
      <c r="K12" s="44">
        <f t="shared" si="3"/>
        <v>0</v>
      </c>
      <c r="L12" s="300">
        <f t="shared" si="4"/>
        <v>7742</v>
      </c>
      <c r="M12" s="628"/>
      <c r="N12" s="628"/>
      <c r="O12" s="628"/>
    </row>
    <row r="13" spans="1:30" x14ac:dyDescent="0.15">
      <c r="A13" s="304">
        <v>1.7</v>
      </c>
      <c r="B13" s="305" t="s">
        <v>94</v>
      </c>
      <c r="C13" s="51" t="s">
        <v>12</v>
      </c>
      <c r="D13" s="50">
        <v>220.59</v>
      </c>
      <c r="E13" s="51">
        <v>242.78</v>
      </c>
      <c r="F13" s="35"/>
      <c r="G13" s="35">
        <f t="shared" si="0"/>
        <v>242.78</v>
      </c>
      <c r="H13" s="31">
        <f>Adminstration!H13</f>
        <v>105</v>
      </c>
      <c r="I13" s="31">
        <f t="shared" si="1"/>
        <v>23161.95</v>
      </c>
      <c r="J13" s="31">
        <f t="shared" si="2"/>
        <v>25491.9</v>
      </c>
      <c r="K13" s="44">
        <f t="shared" si="3"/>
        <v>0</v>
      </c>
      <c r="L13" s="300">
        <f t="shared" si="4"/>
        <v>25491.9</v>
      </c>
      <c r="M13" s="628"/>
      <c r="N13" s="628"/>
      <c r="O13" s="628"/>
    </row>
    <row r="14" spans="1:30" s="569" customFormat="1" ht="24.95" customHeight="1" thickBot="1" x14ac:dyDescent="0.2">
      <c r="A14" s="580"/>
      <c r="B14" s="1101" t="s">
        <v>64</v>
      </c>
      <c r="C14" s="1102"/>
      <c r="D14" s="1102"/>
      <c r="E14" s="1102"/>
      <c r="F14" s="1102"/>
      <c r="G14" s="1102"/>
      <c r="H14" s="1103"/>
      <c r="I14" s="568">
        <f>SUM(I8:I13)</f>
        <v>87383.989999999991</v>
      </c>
      <c r="J14" s="568">
        <f>SUM(J8:J13)</f>
        <v>51285.990000000005</v>
      </c>
      <c r="K14" s="568">
        <f>SUM(K8:K13)</f>
        <v>0</v>
      </c>
      <c r="L14" s="568">
        <f>SUM(L8:L13)</f>
        <v>51285.990000000005</v>
      </c>
      <c r="M14" s="637"/>
      <c r="N14" s="637"/>
      <c r="O14" s="637"/>
      <c r="P14" s="616"/>
      <c r="Q14" s="616"/>
      <c r="R14" s="616"/>
      <c r="S14" s="616"/>
      <c r="T14" s="616"/>
      <c r="U14" s="616"/>
      <c r="V14" s="616"/>
      <c r="W14" s="616"/>
      <c r="X14" s="616"/>
      <c r="Y14" s="616"/>
      <c r="Z14" s="616"/>
      <c r="AA14" s="616"/>
      <c r="AB14" s="616"/>
      <c r="AC14" s="616"/>
      <c r="AD14" s="616"/>
    </row>
    <row r="15" spans="1:30" x14ac:dyDescent="0.15">
      <c r="A15" s="338"/>
      <c r="B15" s="538" t="s">
        <v>19</v>
      </c>
      <c r="C15" s="57"/>
      <c r="D15" s="56"/>
      <c r="E15" s="57"/>
      <c r="F15" s="57"/>
      <c r="G15" s="57"/>
      <c r="H15" s="56"/>
      <c r="I15" s="56"/>
      <c r="J15" s="56"/>
      <c r="K15" s="58"/>
      <c r="L15" s="311"/>
      <c r="M15" s="628"/>
      <c r="N15" s="628"/>
      <c r="O15" s="628"/>
    </row>
    <row r="16" spans="1:30" x14ac:dyDescent="0.15">
      <c r="A16" s="419">
        <v>2.0099999999999998</v>
      </c>
      <c r="B16" s="315" t="s">
        <v>20</v>
      </c>
      <c r="C16" s="35"/>
      <c r="D16" s="39"/>
      <c r="E16" s="40"/>
      <c r="F16" s="40"/>
      <c r="G16" s="40"/>
      <c r="H16" s="31"/>
      <c r="I16" s="39"/>
      <c r="J16" s="39"/>
      <c r="K16" s="46"/>
      <c r="L16" s="300"/>
      <c r="M16" s="628"/>
      <c r="N16" s="628"/>
      <c r="O16" s="628"/>
    </row>
    <row r="17" spans="1:15" x14ac:dyDescent="0.15">
      <c r="A17" s="537"/>
      <c r="B17" s="315" t="s">
        <v>21</v>
      </c>
      <c r="C17" s="35" t="s">
        <v>11</v>
      </c>
      <c r="D17" s="31">
        <v>48.65</v>
      </c>
      <c r="E17" s="35">
        <f>73.1+1.3</f>
        <v>74.399999999999991</v>
      </c>
      <c r="F17" s="35">
        <f>74.4-E17</f>
        <v>0</v>
      </c>
      <c r="G17" s="35">
        <f>F17+E17</f>
        <v>74.399999999999991</v>
      </c>
      <c r="H17" s="31">
        <v>65</v>
      </c>
      <c r="I17" s="31">
        <f>D17*H17</f>
        <v>3162.25</v>
      </c>
      <c r="J17" s="31">
        <f>E17*H17</f>
        <v>4835.9999999999991</v>
      </c>
      <c r="K17" s="44">
        <f>H17*F17</f>
        <v>0</v>
      </c>
      <c r="L17" s="300">
        <f>K17+J17</f>
        <v>4835.9999999999991</v>
      </c>
      <c r="M17" s="628"/>
      <c r="N17" s="628"/>
      <c r="O17" s="628"/>
    </row>
    <row r="18" spans="1:15" x14ac:dyDescent="0.15">
      <c r="A18" s="537"/>
      <c r="B18" s="315" t="s">
        <v>73</v>
      </c>
      <c r="C18" s="35" t="s">
        <v>11</v>
      </c>
      <c r="D18" s="31">
        <v>48.65</v>
      </c>
      <c r="E18" s="35"/>
      <c r="F18" s="35"/>
      <c r="G18" s="35">
        <f t="shared" ref="G18:G33" si="5">F18+E18</f>
        <v>0</v>
      </c>
      <c r="H18" s="31">
        <v>65</v>
      </c>
      <c r="I18" s="31">
        <f t="shared" ref="I18:I33" si="6">D18*H18</f>
        <v>3162.25</v>
      </c>
      <c r="J18" s="31">
        <f t="shared" ref="J18:J33" si="7">E18*H18</f>
        <v>0</v>
      </c>
      <c r="K18" s="44">
        <f t="shared" ref="K18:K33" si="8">H18*F18</f>
        <v>0</v>
      </c>
      <c r="L18" s="300">
        <f t="shared" ref="L18:L33" si="9">K18+J18</f>
        <v>0</v>
      </c>
      <c r="M18" s="628"/>
      <c r="N18" s="628"/>
      <c r="O18" s="628"/>
    </row>
    <row r="19" spans="1:15" x14ac:dyDescent="0.15">
      <c r="A19" s="419"/>
      <c r="B19" s="315" t="s">
        <v>22</v>
      </c>
      <c r="C19" s="35" t="s">
        <v>11</v>
      </c>
      <c r="D19" s="31">
        <v>24</v>
      </c>
      <c r="E19" s="35">
        <v>22</v>
      </c>
      <c r="F19" s="35"/>
      <c r="G19" s="35">
        <f t="shared" si="5"/>
        <v>22</v>
      </c>
      <c r="H19" s="31">
        <v>65</v>
      </c>
      <c r="I19" s="31">
        <f t="shared" si="6"/>
        <v>1560</v>
      </c>
      <c r="J19" s="31">
        <f t="shared" si="7"/>
        <v>1430</v>
      </c>
      <c r="K19" s="44">
        <f t="shared" si="8"/>
        <v>0</v>
      </c>
      <c r="L19" s="300">
        <f t="shared" si="9"/>
        <v>1430</v>
      </c>
      <c r="M19" s="628"/>
      <c r="N19" s="628"/>
      <c r="O19" s="628"/>
    </row>
    <row r="20" spans="1:15" ht="18" customHeight="1" x14ac:dyDescent="0.15">
      <c r="A20" s="429">
        <v>2.2000000000000002</v>
      </c>
      <c r="B20" s="315" t="s">
        <v>165</v>
      </c>
      <c r="C20" s="35" t="s">
        <v>11</v>
      </c>
      <c r="D20" s="31">
        <v>241.62</v>
      </c>
      <c r="E20" s="35"/>
      <c r="F20" s="35">
        <v>242.78</v>
      </c>
      <c r="G20" s="35">
        <f t="shared" si="5"/>
        <v>242.78</v>
      </c>
      <c r="H20" s="31">
        <v>260</v>
      </c>
      <c r="I20" s="31">
        <f t="shared" si="6"/>
        <v>62821.200000000004</v>
      </c>
      <c r="J20" s="31">
        <f t="shared" si="7"/>
        <v>0</v>
      </c>
      <c r="K20" s="44">
        <f t="shared" si="8"/>
        <v>63122.8</v>
      </c>
      <c r="L20" s="300">
        <f t="shared" si="9"/>
        <v>63122.8</v>
      </c>
      <c r="M20" s="628"/>
      <c r="N20" s="628"/>
      <c r="O20" s="628"/>
    </row>
    <row r="21" spans="1:15" x14ac:dyDescent="0.15">
      <c r="A21" s="419">
        <v>2.2999999999999998</v>
      </c>
      <c r="B21" s="328" t="s">
        <v>120</v>
      </c>
      <c r="C21" s="35"/>
      <c r="D21" s="31"/>
      <c r="E21" s="35"/>
      <c r="F21" s="35"/>
      <c r="G21" s="35">
        <f t="shared" si="5"/>
        <v>0</v>
      </c>
      <c r="H21" s="31"/>
      <c r="I21" s="31">
        <f t="shared" si="6"/>
        <v>0</v>
      </c>
      <c r="J21" s="31">
        <f t="shared" si="7"/>
        <v>0</v>
      </c>
      <c r="K21" s="44">
        <f t="shared" si="8"/>
        <v>0</v>
      </c>
      <c r="L21" s="300">
        <f t="shared" si="9"/>
        <v>0</v>
      </c>
      <c r="M21" s="628"/>
      <c r="N21" s="628"/>
      <c r="O21" s="628"/>
    </row>
    <row r="22" spans="1:15" x14ac:dyDescent="0.15">
      <c r="A22" s="419"/>
      <c r="B22" s="315" t="s">
        <v>84</v>
      </c>
      <c r="C22" s="35" t="s">
        <v>12</v>
      </c>
      <c r="D22" s="31">
        <v>16.670000000000002</v>
      </c>
      <c r="E22" s="35">
        <v>15.18</v>
      </c>
      <c r="F22" s="35"/>
      <c r="G22" s="35">
        <f t="shared" si="5"/>
        <v>15.18</v>
      </c>
      <c r="H22" s="31">
        <v>2600</v>
      </c>
      <c r="I22" s="31">
        <f t="shared" si="6"/>
        <v>43342.000000000007</v>
      </c>
      <c r="J22" s="31">
        <f t="shared" si="7"/>
        <v>39468</v>
      </c>
      <c r="K22" s="44">
        <f t="shared" si="8"/>
        <v>0</v>
      </c>
      <c r="L22" s="300">
        <f t="shared" si="9"/>
        <v>39468</v>
      </c>
      <c r="M22" s="628"/>
      <c r="N22" s="628"/>
      <c r="O22" s="628"/>
    </row>
    <row r="23" spans="1:15" x14ac:dyDescent="0.15">
      <c r="A23" s="419"/>
      <c r="B23" s="315" t="s">
        <v>23</v>
      </c>
      <c r="C23" s="35" t="s">
        <v>12</v>
      </c>
      <c r="D23" s="31">
        <v>4.8</v>
      </c>
      <c r="E23" s="35">
        <v>4.4000000000000004</v>
      </c>
      <c r="F23" s="35"/>
      <c r="G23" s="35">
        <f t="shared" si="5"/>
        <v>4.4000000000000004</v>
      </c>
      <c r="H23" s="31">
        <v>2600</v>
      </c>
      <c r="I23" s="31">
        <f t="shared" si="6"/>
        <v>12480</v>
      </c>
      <c r="J23" s="31">
        <f t="shared" si="7"/>
        <v>11440.000000000002</v>
      </c>
      <c r="K23" s="44">
        <f t="shared" si="8"/>
        <v>0</v>
      </c>
      <c r="L23" s="300">
        <f t="shared" si="9"/>
        <v>11440.000000000002</v>
      </c>
      <c r="M23" s="628"/>
      <c r="N23" s="628"/>
      <c r="O23" s="628"/>
    </row>
    <row r="24" spans="1:15" x14ac:dyDescent="0.15">
      <c r="A24" s="419"/>
      <c r="B24" s="315" t="s">
        <v>24</v>
      </c>
      <c r="C24" s="35" t="s">
        <v>12</v>
      </c>
      <c r="D24" s="31">
        <v>12</v>
      </c>
      <c r="E24" s="35">
        <v>1.75</v>
      </c>
      <c r="F24" s="35"/>
      <c r="G24" s="35">
        <f t="shared" si="5"/>
        <v>1.75</v>
      </c>
      <c r="H24" s="31">
        <v>2600</v>
      </c>
      <c r="I24" s="31">
        <f t="shared" si="6"/>
        <v>31200</v>
      </c>
      <c r="J24" s="31">
        <f t="shared" si="7"/>
        <v>4550</v>
      </c>
      <c r="K24" s="44">
        <f t="shared" si="8"/>
        <v>0</v>
      </c>
      <c r="L24" s="300">
        <f t="shared" si="9"/>
        <v>4550</v>
      </c>
      <c r="M24" s="628"/>
      <c r="N24" s="628"/>
      <c r="O24" s="628"/>
    </row>
    <row r="25" spans="1:15" x14ac:dyDescent="0.15">
      <c r="A25" s="419">
        <v>2.4</v>
      </c>
      <c r="B25" s="328" t="s">
        <v>109</v>
      </c>
      <c r="C25" s="35"/>
      <c r="D25" s="31"/>
      <c r="E25" s="35"/>
      <c r="F25" s="35"/>
      <c r="G25" s="35">
        <f t="shared" si="5"/>
        <v>0</v>
      </c>
      <c r="H25" s="31"/>
      <c r="I25" s="31">
        <f t="shared" si="6"/>
        <v>0</v>
      </c>
      <c r="J25" s="31">
        <f t="shared" si="7"/>
        <v>0</v>
      </c>
      <c r="K25" s="44">
        <f t="shared" si="8"/>
        <v>0</v>
      </c>
      <c r="L25" s="300">
        <f t="shared" si="9"/>
        <v>0</v>
      </c>
      <c r="M25" s="628"/>
      <c r="N25" s="628"/>
      <c r="O25" s="628"/>
    </row>
    <row r="26" spans="1:15" x14ac:dyDescent="0.15">
      <c r="A26" s="419"/>
      <c r="B26" s="315" t="s">
        <v>84</v>
      </c>
      <c r="C26" s="35" t="s">
        <v>11</v>
      </c>
      <c r="D26" s="31">
        <v>128.76</v>
      </c>
      <c r="E26" s="35">
        <v>121.4</v>
      </c>
      <c r="F26" s="35"/>
      <c r="G26" s="35">
        <f t="shared" si="5"/>
        <v>121.4</v>
      </c>
      <c r="H26" s="31">
        <v>85</v>
      </c>
      <c r="I26" s="31">
        <f t="shared" si="6"/>
        <v>10944.599999999999</v>
      </c>
      <c r="J26" s="31">
        <f t="shared" si="7"/>
        <v>10319</v>
      </c>
      <c r="K26" s="44">
        <f t="shared" si="8"/>
        <v>0</v>
      </c>
      <c r="L26" s="300">
        <f t="shared" si="9"/>
        <v>10319</v>
      </c>
      <c r="M26" s="628"/>
      <c r="N26" s="628"/>
      <c r="O26" s="628"/>
    </row>
    <row r="27" spans="1:15" x14ac:dyDescent="0.15">
      <c r="A27" s="419"/>
      <c r="B27" s="315" t="s">
        <v>23</v>
      </c>
      <c r="C27" s="35" t="s">
        <v>11</v>
      </c>
      <c r="D27" s="31">
        <v>24</v>
      </c>
      <c r="E27" s="35">
        <v>17.600000000000001</v>
      </c>
      <c r="F27" s="35"/>
      <c r="G27" s="35">
        <f t="shared" si="5"/>
        <v>17.600000000000001</v>
      </c>
      <c r="H27" s="31">
        <v>85</v>
      </c>
      <c r="I27" s="31">
        <f t="shared" si="6"/>
        <v>2040</v>
      </c>
      <c r="J27" s="31">
        <f t="shared" si="7"/>
        <v>1496.0000000000002</v>
      </c>
      <c r="K27" s="44">
        <f t="shared" si="8"/>
        <v>0</v>
      </c>
      <c r="L27" s="300">
        <f t="shared" si="9"/>
        <v>1496.0000000000002</v>
      </c>
      <c r="M27" s="628"/>
      <c r="N27" s="628"/>
      <c r="O27" s="628"/>
    </row>
    <row r="28" spans="1:15" x14ac:dyDescent="0.15">
      <c r="A28" s="419"/>
      <c r="B28" s="315" t="s">
        <v>24</v>
      </c>
      <c r="C28" s="35" t="s">
        <v>11</v>
      </c>
      <c r="D28" s="31">
        <v>60</v>
      </c>
      <c r="E28" s="35">
        <v>44</v>
      </c>
      <c r="F28" s="35"/>
      <c r="G28" s="35">
        <f t="shared" si="5"/>
        <v>44</v>
      </c>
      <c r="H28" s="31">
        <v>85</v>
      </c>
      <c r="I28" s="31">
        <f t="shared" si="6"/>
        <v>5100</v>
      </c>
      <c r="J28" s="31">
        <f t="shared" si="7"/>
        <v>3740</v>
      </c>
      <c r="K28" s="44">
        <f t="shared" si="8"/>
        <v>0</v>
      </c>
      <c r="L28" s="300">
        <f t="shared" si="9"/>
        <v>3740</v>
      </c>
      <c r="M28" s="628"/>
      <c r="N28" s="628"/>
      <c r="O28" s="628"/>
    </row>
    <row r="29" spans="1:15" x14ac:dyDescent="0.15">
      <c r="A29" s="419">
        <v>2.5</v>
      </c>
      <c r="B29" s="328" t="s">
        <v>15</v>
      </c>
      <c r="C29" s="35"/>
      <c r="D29" s="31"/>
      <c r="E29" s="35"/>
      <c r="F29" s="35"/>
      <c r="G29" s="35">
        <f t="shared" si="5"/>
        <v>0</v>
      </c>
      <c r="H29" s="31"/>
      <c r="I29" s="31">
        <f t="shared" si="6"/>
        <v>0</v>
      </c>
      <c r="J29" s="31">
        <f t="shared" si="7"/>
        <v>0</v>
      </c>
      <c r="K29" s="44">
        <f t="shared" si="8"/>
        <v>0</v>
      </c>
      <c r="L29" s="300">
        <f t="shared" si="9"/>
        <v>0</v>
      </c>
      <c r="M29" s="628"/>
      <c r="N29" s="628"/>
      <c r="O29" s="628"/>
    </row>
    <row r="30" spans="1:15" x14ac:dyDescent="0.15">
      <c r="A30" s="419"/>
      <c r="B30" s="315" t="s">
        <v>89</v>
      </c>
      <c r="C30" s="35" t="s">
        <v>16</v>
      </c>
      <c r="D30" s="31">
        <v>1145</v>
      </c>
      <c r="E30" s="35">
        <v>1202.28</v>
      </c>
      <c r="F30" s="35"/>
      <c r="G30" s="35">
        <f t="shared" si="5"/>
        <v>1202.28</v>
      </c>
      <c r="H30" s="31">
        <v>34</v>
      </c>
      <c r="I30" s="31">
        <f t="shared" si="6"/>
        <v>38930</v>
      </c>
      <c r="J30" s="31">
        <f t="shared" si="7"/>
        <v>40877.519999999997</v>
      </c>
      <c r="K30" s="44">
        <f t="shared" si="8"/>
        <v>0</v>
      </c>
      <c r="L30" s="300">
        <f t="shared" si="9"/>
        <v>40877.519999999997</v>
      </c>
      <c r="M30" s="628"/>
      <c r="N30" s="628"/>
      <c r="O30" s="628"/>
    </row>
    <row r="31" spans="1:15" x14ac:dyDescent="0.15">
      <c r="A31" s="419"/>
      <c r="B31" s="315" t="s">
        <v>25</v>
      </c>
      <c r="C31" s="35" t="s">
        <v>16</v>
      </c>
      <c r="D31" s="31">
        <v>623</v>
      </c>
      <c r="E31" s="35">
        <f>543.88-30.47</f>
        <v>513.41</v>
      </c>
      <c r="F31" s="35"/>
      <c r="G31" s="35">
        <f t="shared" si="5"/>
        <v>513.41</v>
      </c>
      <c r="H31" s="31">
        <v>34</v>
      </c>
      <c r="I31" s="31">
        <f t="shared" si="6"/>
        <v>21182</v>
      </c>
      <c r="J31" s="31">
        <f t="shared" si="7"/>
        <v>17455.939999999999</v>
      </c>
      <c r="K31" s="44">
        <f t="shared" si="8"/>
        <v>0</v>
      </c>
      <c r="L31" s="300">
        <f t="shared" si="9"/>
        <v>17455.939999999999</v>
      </c>
      <c r="M31" s="628"/>
      <c r="N31" s="628"/>
      <c r="O31" s="628"/>
    </row>
    <row r="32" spans="1:15" x14ac:dyDescent="0.15">
      <c r="A32" s="419"/>
      <c r="B32" s="315" t="s">
        <v>26</v>
      </c>
      <c r="C32" s="35" t="s">
        <v>16</v>
      </c>
      <c r="D32" s="31">
        <v>1455</v>
      </c>
      <c r="E32" s="35">
        <f>594.51-150.92</f>
        <v>443.59000000000003</v>
      </c>
      <c r="F32" s="35"/>
      <c r="G32" s="35">
        <f t="shared" si="5"/>
        <v>443.59000000000003</v>
      </c>
      <c r="H32" s="31">
        <v>35</v>
      </c>
      <c r="I32" s="31">
        <f t="shared" si="6"/>
        <v>50925</v>
      </c>
      <c r="J32" s="31">
        <f t="shared" si="7"/>
        <v>15525.650000000001</v>
      </c>
      <c r="K32" s="44">
        <f t="shared" si="8"/>
        <v>0</v>
      </c>
      <c r="L32" s="300">
        <f t="shared" si="9"/>
        <v>15525.650000000001</v>
      </c>
      <c r="M32" s="628"/>
      <c r="N32" s="628"/>
      <c r="O32" s="628"/>
    </row>
    <row r="33" spans="1:30" x14ac:dyDescent="0.15">
      <c r="A33" s="314">
        <v>2.6</v>
      </c>
      <c r="B33" s="419" t="s">
        <v>199</v>
      </c>
      <c r="C33" s="35" t="s">
        <v>174</v>
      </c>
      <c r="D33" s="31">
        <v>329</v>
      </c>
      <c r="E33" s="35"/>
      <c r="F33" s="35"/>
      <c r="G33" s="35">
        <f t="shared" si="5"/>
        <v>0</v>
      </c>
      <c r="H33" s="31">
        <v>35</v>
      </c>
      <c r="I33" s="31">
        <f t="shared" si="6"/>
        <v>11515</v>
      </c>
      <c r="J33" s="31">
        <f t="shared" si="7"/>
        <v>0</v>
      </c>
      <c r="K33" s="44">
        <f t="shared" si="8"/>
        <v>0</v>
      </c>
      <c r="L33" s="300">
        <f t="shared" si="9"/>
        <v>0</v>
      </c>
      <c r="M33" s="628"/>
      <c r="N33" s="628"/>
      <c r="O33" s="628"/>
    </row>
    <row r="34" spans="1:30" s="569" customFormat="1" ht="24.95" customHeight="1" thickBot="1" x14ac:dyDescent="0.2">
      <c r="A34" s="580"/>
      <c r="B34" s="1101" t="s">
        <v>64</v>
      </c>
      <c r="C34" s="1102"/>
      <c r="D34" s="1102"/>
      <c r="E34" s="1102"/>
      <c r="F34" s="1102"/>
      <c r="G34" s="1102"/>
      <c r="H34" s="1103"/>
      <c r="I34" s="568">
        <f>SUM(I17:I33)</f>
        <v>298364.30000000005</v>
      </c>
      <c r="J34" s="568">
        <f>SUM(J17:J33)</f>
        <v>151138.10999999999</v>
      </c>
      <c r="K34" s="568">
        <f>SUM(K17:K33)</f>
        <v>63122.8</v>
      </c>
      <c r="L34" s="568">
        <f>SUM(L17:L33)</f>
        <v>214260.90999999997</v>
      </c>
      <c r="M34" s="637"/>
      <c r="N34" s="637"/>
      <c r="O34" s="637"/>
      <c r="P34" s="616"/>
      <c r="Q34" s="616"/>
      <c r="R34" s="616"/>
      <c r="S34" s="616"/>
      <c r="T34" s="616"/>
      <c r="U34" s="616"/>
      <c r="V34" s="616"/>
      <c r="W34" s="616"/>
      <c r="X34" s="616"/>
      <c r="Y34" s="616"/>
      <c r="Z34" s="616"/>
      <c r="AA34" s="616"/>
      <c r="AB34" s="616"/>
      <c r="AC34" s="616"/>
      <c r="AD34" s="616"/>
    </row>
    <row r="35" spans="1:30" x14ac:dyDescent="0.15">
      <c r="A35" s="533">
        <v>3</v>
      </c>
      <c r="B35" s="328" t="s">
        <v>17</v>
      </c>
      <c r="C35" s="40"/>
      <c r="D35" s="39"/>
      <c r="E35" s="40"/>
      <c r="F35" s="40"/>
      <c r="G35" s="40"/>
      <c r="H35" s="39"/>
      <c r="I35" s="39"/>
      <c r="J35" s="39"/>
      <c r="K35" s="46"/>
      <c r="L35" s="300"/>
      <c r="M35" s="628"/>
      <c r="N35" s="628"/>
      <c r="O35" s="628"/>
    </row>
    <row r="36" spans="1:30" x14ac:dyDescent="0.15">
      <c r="A36" s="419">
        <v>3.1</v>
      </c>
      <c r="B36" s="315" t="s">
        <v>124</v>
      </c>
      <c r="C36" s="35" t="s">
        <v>12</v>
      </c>
      <c r="D36" s="31">
        <v>35.96</v>
      </c>
      <c r="E36" s="35">
        <f>75.88-16.36</f>
        <v>59.519999999999996</v>
      </c>
      <c r="F36" s="35"/>
      <c r="G36" s="35">
        <f>F36+E36</f>
        <v>59.519999999999996</v>
      </c>
      <c r="H36" s="31">
        <v>800</v>
      </c>
      <c r="I36" s="31">
        <f>D36*H36</f>
        <v>28768</v>
      </c>
      <c r="J36" s="31">
        <f>H36*E36</f>
        <v>47616</v>
      </c>
      <c r="K36" s="44">
        <f>H36*F36</f>
        <v>0</v>
      </c>
      <c r="L36" s="300">
        <f>K36+J36</f>
        <v>47616</v>
      </c>
      <c r="M36" s="628"/>
      <c r="N36" s="628"/>
      <c r="O36" s="628"/>
    </row>
    <row r="37" spans="1:30" x14ac:dyDescent="0.15">
      <c r="A37" s="317">
        <v>3.2</v>
      </c>
      <c r="B37" s="305" t="s">
        <v>119</v>
      </c>
      <c r="C37" s="51" t="s">
        <v>12</v>
      </c>
      <c r="D37" s="50">
        <v>44.95</v>
      </c>
      <c r="E37" s="51">
        <f>30.41+6.79</f>
        <v>37.200000000000003</v>
      </c>
      <c r="F37" s="35"/>
      <c r="G37" s="35">
        <f>F37+E37</f>
        <v>37.200000000000003</v>
      </c>
      <c r="H37" s="50">
        <v>880</v>
      </c>
      <c r="I37" s="31">
        <f>D37*H37</f>
        <v>39556</v>
      </c>
      <c r="J37" s="31">
        <f>H37*E37</f>
        <v>32736.000000000004</v>
      </c>
      <c r="K37" s="44">
        <f>H37*F37</f>
        <v>0</v>
      </c>
      <c r="L37" s="300">
        <f>K37+J37</f>
        <v>32736.000000000004</v>
      </c>
      <c r="M37" s="628"/>
      <c r="N37" s="628"/>
      <c r="O37" s="628"/>
    </row>
    <row r="38" spans="1:30" s="569" customFormat="1" ht="24.95" customHeight="1" thickBot="1" x14ac:dyDescent="0.2">
      <c r="A38" s="580"/>
      <c r="B38" s="1101" t="s">
        <v>64</v>
      </c>
      <c r="C38" s="1102"/>
      <c r="D38" s="1102"/>
      <c r="E38" s="1102"/>
      <c r="F38" s="1102"/>
      <c r="G38" s="1102"/>
      <c r="H38" s="1103"/>
      <c r="I38" s="568">
        <f>SUM(I36:I37)</f>
        <v>68324</v>
      </c>
      <c r="J38" s="568">
        <f>SUM(J36:J37)</f>
        <v>80352</v>
      </c>
      <c r="K38" s="568">
        <f>SUM(K36:K37)</f>
        <v>0</v>
      </c>
      <c r="L38" s="568">
        <f>SUM(L36:L37)</f>
        <v>80352</v>
      </c>
      <c r="M38" s="637"/>
      <c r="N38" s="637"/>
      <c r="O38" s="637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616"/>
      <c r="AB38" s="616"/>
      <c r="AC38" s="616"/>
      <c r="AD38" s="616"/>
    </row>
    <row r="39" spans="1:30" x14ac:dyDescent="0.15">
      <c r="A39" s="84"/>
      <c r="B39" s="84"/>
      <c r="C39" s="321"/>
      <c r="D39" s="84"/>
      <c r="E39" s="84"/>
      <c r="F39" s="84"/>
      <c r="G39" s="84"/>
      <c r="H39" s="84"/>
      <c r="I39" s="84"/>
      <c r="J39" s="84"/>
      <c r="K39" s="84"/>
      <c r="L39" s="84"/>
    </row>
    <row r="40" spans="1:30" ht="15" thickBot="1" x14ac:dyDescent="0.2">
      <c r="A40" s="279"/>
      <c r="B40" s="1127" t="s">
        <v>88</v>
      </c>
      <c r="C40" s="1127"/>
      <c r="D40" s="1127"/>
      <c r="E40" s="1127"/>
      <c r="F40" s="1127"/>
      <c r="G40" s="1127"/>
      <c r="H40" s="1127"/>
      <c r="I40" s="1127"/>
      <c r="J40" s="1127"/>
      <c r="K40" s="1127"/>
      <c r="L40" s="90"/>
      <c r="M40" s="616"/>
      <c r="N40" s="616"/>
      <c r="O40" s="616"/>
    </row>
    <row r="41" spans="1:30" s="254" customFormat="1" ht="21.75" customHeight="1" x14ac:dyDescent="0.15">
      <c r="A41" s="1107" t="s">
        <v>61</v>
      </c>
      <c r="B41" s="1128" t="s">
        <v>54</v>
      </c>
      <c r="C41" s="1128" t="s">
        <v>5</v>
      </c>
      <c r="D41" s="1117" t="s">
        <v>4</v>
      </c>
      <c r="E41" s="1118"/>
      <c r="F41" s="1119"/>
      <c r="G41" s="1128" t="s">
        <v>334</v>
      </c>
      <c r="H41" s="1110" t="s">
        <v>8</v>
      </c>
      <c r="I41" s="1136" t="s">
        <v>50</v>
      </c>
      <c r="J41" s="1118"/>
      <c r="K41" s="1119"/>
      <c r="L41" s="503"/>
      <c r="M41" s="635"/>
      <c r="N41" s="635"/>
      <c r="O41" s="635"/>
      <c r="P41" s="616"/>
      <c r="Q41" s="616"/>
      <c r="R41" s="616"/>
      <c r="S41" s="616"/>
      <c r="T41" s="616"/>
      <c r="U41" s="616"/>
      <c r="V41" s="616"/>
      <c r="W41" s="616"/>
      <c r="X41" s="616"/>
      <c r="Y41" s="616"/>
      <c r="Z41" s="616"/>
      <c r="AA41" s="616"/>
      <c r="AB41" s="616"/>
      <c r="AC41" s="616"/>
      <c r="AD41" s="616"/>
    </row>
    <row r="42" spans="1:30" s="254" customFormat="1" ht="19.5" customHeight="1" x14ac:dyDescent="0.15">
      <c r="A42" s="1108"/>
      <c r="B42" s="1129"/>
      <c r="C42" s="1129"/>
      <c r="D42" s="1130" t="s">
        <v>62</v>
      </c>
      <c r="E42" s="1120" t="s">
        <v>63</v>
      </c>
      <c r="F42" s="1121"/>
      <c r="G42" s="1129"/>
      <c r="H42" s="1111"/>
      <c r="I42" s="1122" t="s">
        <v>6</v>
      </c>
      <c r="J42" s="1134" t="s">
        <v>7</v>
      </c>
      <c r="K42" s="1135"/>
      <c r="L42" s="1132" t="s">
        <v>7</v>
      </c>
      <c r="M42" s="636"/>
      <c r="N42" s="636"/>
      <c r="O42" s="636"/>
      <c r="P42" s="616"/>
      <c r="Q42" s="616"/>
      <c r="R42" s="616"/>
      <c r="S42" s="616"/>
      <c r="T42" s="616"/>
      <c r="U42" s="616"/>
      <c r="V42" s="616"/>
      <c r="W42" s="616"/>
      <c r="X42" s="616"/>
      <c r="Y42" s="616"/>
      <c r="Z42" s="616"/>
      <c r="AA42" s="616"/>
      <c r="AB42" s="616"/>
      <c r="AC42" s="616"/>
      <c r="AD42" s="616"/>
    </row>
    <row r="43" spans="1:30" s="254" customFormat="1" ht="21" customHeight="1" thickBot="1" x14ac:dyDescent="0.2">
      <c r="A43" s="1109"/>
      <c r="B43" s="1123"/>
      <c r="C43" s="1123"/>
      <c r="D43" s="1131"/>
      <c r="E43" s="255" t="s">
        <v>98</v>
      </c>
      <c r="F43" s="255" t="s">
        <v>99</v>
      </c>
      <c r="G43" s="1129"/>
      <c r="H43" s="1112"/>
      <c r="I43" s="1123"/>
      <c r="J43" s="255" t="s">
        <v>98</v>
      </c>
      <c r="K43" s="255" t="s">
        <v>99</v>
      </c>
      <c r="L43" s="1133"/>
      <c r="M43" s="636"/>
      <c r="N43" s="636"/>
      <c r="O43" s="636"/>
      <c r="P43" s="616"/>
      <c r="Q43" s="616"/>
      <c r="R43" s="616"/>
      <c r="S43" s="616"/>
      <c r="T43" s="616"/>
      <c r="U43" s="616"/>
      <c r="V43" s="616"/>
      <c r="W43" s="616"/>
      <c r="X43" s="616"/>
      <c r="Y43" s="616"/>
      <c r="Z43" s="616"/>
      <c r="AA43" s="616"/>
      <c r="AB43" s="616"/>
      <c r="AC43" s="616"/>
      <c r="AD43" s="616"/>
    </row>
    <row r="44" spans="1:30" s="254" customFormat="1" ht="21" customHeight="1" thickBot="1" x14ac:dyDescent="0.2">
      <c r="A44" s="280" t="s">
        <v>102</v>
      </c>
      <c r="B44" s="257" t="s">
        <v>103</v>
      </c>
      <c r="C44" s="257" t="s">
        <v>104</v>
      </c>
      <c r="D44" s="258" t="s">
        <v>105</v>
      </c>
      <c r="E44" s="258" t="s">
        <v>106</v>
      </c>
      <c r="F44" s="258" t="s">
        <v>107</v>
      </c>
      <c r="G44" s="258"/>
      <c r="H44" s="259" t="s">
        <v>108</v>
      </c>
      <c r="I44" s="257" t="s">
        <v>116</v>
      </c>
      <c r="J44" s="258" t="s">
        <v>115</v>
      </c>
      <c r="K44" s="258" t="s">
        <v>114</v>
      </c>
      <c r="L44" s="260" t="s">
        <v>113</v>
      </c>
      <c r="M44" s="636"/>
      <c r="N44" s="636"/>
      <c r="O44" s="636"/>
      <c r="P44" s="616"/>
      <c r="Q44" s="616"/>
      <c r="R44" s="616"/>
      <c r="S44" s="616"/>
      <c r="T44" s="616"/>
      <c r="U44" s="616"/>
      <c r="V44" s="616"/>
      <c r="W44" s="616"/>
      <c r="X44" s="616"/>
      <c r="Y44" s="616"/>
      <c r="Z44" s="616"/>
      <c r="AA44" s="616"/>
      <c r="AB44" s="616"/>
      <c r="AC44" s="616"/>
      <c r="AD44" s="616"/>
    </row>
    <row r="45" spans="1:30" x14ac:dyDescent="0.15">
      <c r="A45" s="325"/>
      <c r="B45" s="326" t="s">
        <v>75</v>
      </c>
      <c r="C45" s="162"/>
      <c r="D45" s="294"/>
      <c r="E45" s="162"/>
      <c r="F45" s="162"/>
      <c r="G45" s="162"/>
      <c r="H45" s="294"/>
      <c r="I45" s="294"/>
      <c r="J45" s="295"/>
      <c r="K45" s="295"/>
      <c r="L45" s="296"/>
      <c r="M45" s="628"/>
      <c r="N45" s="628"/>
      <c r="O45" s="628"/>
    </row>
    <row r="46" spans="1:30" x14ac:dyDescent="0.15">
      <c r="A46" s="327"/>
      <c r="B46" s="328" t="s">
        <v>76</v>
      </c>
      <c r="C46" s="40"/>
      <c r="D46" s="39"/>
      <c r="E46" s="40"/>
      <c r="F46" s="40"/>
      <c r="G46" s="40"/>
      <c r="H46" s="39"/>
      <c r="I46" s="39"/>
      <c r="J46" s="231"/>
      <c r="K46" s="231"/>
      <c r="L46" s="300"/>
      <c r="M46" s="628"/>
      <c r="N46" s="628"/>
      <c r="O46" s="628"/>
    </row>
    <row r="47" spans="1:30" x14ac:dyDescent="0.15">
      <c r="A47" s="314">
        <v>1.01</v>
      </c>
      <c r="B47" s="328" t="s">
        <v>120</v>
      </c>
      <c r="C47" s="35"/>
      <c r="D47" s="31"/>
      <c r="E47" s="35"/>
      <c r="F47" s="35"/>
      <c r="G47" s="35"/>
      <c r="H47" s="31"/>
      <c r="I47" s="31">
        <f t="shared" ref="I47:I59" si="10">D47*H47</f>
        <v>0</v>
      </c>
      <c r="J47" s="31">
        <f>E47*H47</f>
        <v>0</v>
      </c>
      <c r="K47" s="31"/>
      <c r="L47" s="300"/>
      <c r="M47" s="628"/>
      <c r="N47" s="628"/>
      <c r="O47" s="628"/>
    </row>
    <row r="48" spans="1:30" ht="18" customHeight="1" x14ac:dyDescent="0.15">
      <c r="A48" s="314"/>
      <c r="B48" s="315" t="s">
        <v>77</v>
      </c>
      <c r="C48" s="35" t="s">
        <v>12</v>
      </c>
      <c r="D48" s="31">
        <v>2.88</v>
      </c>
      <c r="E48" s="35">
        <v>2.64</v>
      </c>
      <c r="F48" s="35"/>
      <c r="G48" s="35">
        <f>F48+E48</f>
        <v>2.64</v>
      </c>
      <c r="H48" s="31">
        <v>2600</v>
      </c>
      <c r="I48" s="31">
        <f t="shared" si="10"/>
        <v>7488</v>
      </c>
      <c r="J48" s="31">
        <f t="shared" ref="J48:J59" si="11">E48*H48</f>
        <v>6864</v>
      </c>
      <c r="K48" s="31">
        <f>H48*F48</f>
        <v>0</v>
      </c>
      <c r="L48" s="300">
        <f>K48+J48</f>
        <v>6864</v>
      </c>
      <c r="M48" s="628"/>
      <c r="N48" s="628"/>
      <c r="O48" s="628"/>
    </row>
    <row r="49" spans="1:30" ht="18" customHeight="1" x14ac:dyDescent="0.15">
      <c r="A49" s="314"/>
      <c r="B49" s="315" t="s">
        <v>74</v>
      </c>
      <c r="C49" s="35" t="s">
        <v>12</v>
      </c>
      <c r="D49" s="31">
        <v>10.039999999999999</v>
      </c>
      <c r="E49" s="35">
        <v>9.14</v>
      </c>
      <c r="F49" s="35"/>
      <c r="G49" s="35">
        <f t="shared" ref="G49:G59" si="12">F49+E49</f>
        <v>9.14</v>
      </c>
      <c r="H49" s="31">
        <v>2600</v>
      </c>
      <c r="I49" s="31">
        <f t="shared" si="10"/>
        <v>26103.999999999996</v>
      </c>
      <c r="J49" s="31">
        <f t="shared" si="11"/>
        <v>23764</v>
      </c>
      <c r="K49" s="31">
        <f t="shared" ref="K49:K58" si="13">H49*F49</f>
        <v>0</v>
      </c>
      <c r="L49" s="300">
        <f t="shared" ref="L49:L59" si="14">K49+J49</f>
        <v>23764</v>
      </c>
      <c r="M49" s="628"/>
      <c r="N49" s="628"/>
      <c r="O49" s="628"/>
    </row>
    <row r="50" spans="1:30" ht="18" customHeight="1" x14ac:dyDescent="0.15">
      <c r="A50" s="314"/>
      <c r="B50" s="315" t="s">
        <v>78</v>
      </c>
      <c r="C50" s="35" t="s">
        <v>12</v>
      </c>
      <c r="D50" s="31">
        <v>0.84</v>
      </c>
      <c r="E50" s="35"/>
      <c r="F50" s="35"/>
      <c r="G50" s="35">
        <f t="shared" si="12"/>
        <v>0</v>
      </c>
      <c r="H50" s="31">
        <v>2600</v>
      </c>
      <c r="I50" s="31">
        <f t="shared" si="10"/>
        <v>2184</v>
      </c>
      <c r="J50" s="31">
        <f t="shared" si="11"/>
        <v>0</v>
      </c>
      <c r="K50" s="31">
        <f t="shared" si="13"/>
        <v>0</v>
      </c>
      <c r="L50" s="300">
        <f t="shared" si="14"/>
        <v>0</v>
      </c>
      <c r="M50" s="628"/>
      <c r="N50" s="628"/>
      <c r="O50" s="628"/>
    </row>
    <row r="51" spans="1:30" x14ac:dyDescent="0.15">
      <c r="A51" s="327">
        <v>1.2</v>
      </c>
      <c r="B51" s="328" t="s">
        <v>109</v>
      </c>
      <c r="C51" s="40"/>
      <c r="D51" s="39"/>
      <c r="E51" s="40"/>
      <c r="F51" s="40"/>
      <c r="G51" s="35">
        <f t="shared" si="12"/>
        <v>0</v>
      </c>
      <c r="H51" s="39"/>
      <c r="I51" s="31">
        <f t="shared" si="10"/>
        <v>0</v>
      </c>
      <c r="J51" s="31">
        <f t="shared" si="11"/>
        <v>0</v>
      </c>
      <c r="K51" s="31">
        <f t="shared" si="13"/>
        <v>0</v>
      </c>
      <c r="L51" s="300">
        <f t="shared" si="14"/>
        <v>0</v>
      </c>
      <c r="M51" s="628"/>
      <c r="N51" s="628"/>
      <c r="O51" s="628"/>
    </row>
    <row r="52" spans="1:30" ht="18.75" customHeight="1" x14ac:dyDescent="0.15">
      <c r="A52" s="314"/>
      <c r="B52" s="315" t="s">
        <v>77</v>
      </c>
      <c r="C52" s="35" t="s">
        <v>11</v>
      </c>
      <c r="D52" s="31">
        <v>63.36</v>
      </c>
      <c r="E52" s="35">
        <v>52.8</v>
      </c>
      <c r="F52" s="35"/>
      <c r="G52" s="35">
        <f t="shared" si="12"/>
        <v>52.8</v>
      </c>
      <c r="H52" s="31">
        <v>85</v>
      </c>
      <c r="I52" s="31">
        <f t="shared" si="10"/>
        <v>5385.6</v>
      </c>
      <c r="J52" s="31">
        <f t="shared" si="11"/>
        <v>4488</v>
      </c>
      <c r="K52" s="31">
        <f t="shared" si="13"/>
        <v>0</v>
      </c>
      <c r="L52" s="300">
        <f t="shared" si="14"/>
        <v>4488</v>
      </c>
      <c r="M52" s="628"/>
      <c r="N52" s="628"/>
      <c r="O52" s="628"/>
    </row>
    <row r="53" spans="1:30" ht="18.75" customHeight="1" x14ac:dyDescent="0.15">
      <c r="A53" s="329"/>
      <c r="B53" s="315" t="s">
        <v>74</v>
      </c>
      <c r="C53" s="35" t="s">
        <v>11</v>
      </c>
      <c r="D53" s="31">
        <v>193.92</v>
      </c>
      <c r="E53" s="35">
        <v>121.92</v>
      </c>
      <c r="F53" s="35"/>
      <c r="G53" s="35">
        <f t="shared" si="12"/>
        <v>121.92</v>
      </c>
      <c r="H53" s="31">
        <v>85</v>
      </c>
      <c r="I53" s="31">
        <f t="shared" si="10"/>
        <v>16483.2</v>
      </c>
      <c r="J53" s="31">
        <f t="shared" si="11"/>
        <v>10363.200000000001</v>
      </c>
      <c r="K53" s="31">
        <f t="shared" si="13"/>
        <v>0</v>
      </c>
      <c r="L53" s="300">
        <f t="shared" si="14"/>
        <v>10363.200000000001</v>
      </c>
      <c r="M53" s="628"/>
      <c r="N53" s="628"/>
      <c r="O53" s="628"/>
    </row>
    <row r="54" spans="1:30" ht="18.75" customHeight="1" x14ac:dyDescent="0.15">
      <c r="A54" s="314"/>
      <c r="B54" s="315" t="s">
        <v>78</v>
      </c>
      <c r="C54" s="35" t="s">
        <v>11</v>
      </c>
      <c r="D54" s="31">
        <v>11.2</v>
      </c>
      <c r="E54" s="35"/>
      <c r="F54" s="35"/>
      <c r="G54" s="35">
        <f t="shared" si="12"/>
        <v>0</v>
      </c>
      <c r="H54" s="31">
        <v>85</v>
      </c>
      <c r="I54" s="31">
        <f t="shared" si="10"/>
        <v>951.99999999999989</v>
      </c>
      <c r="J54" s="31">
        <f t="shared" si="11"/>
        <v>0</v>
      </c>
      <c r="K54" s="31">
        <f t="shared" si="13"/>
        <v>0</v>
      </c>
      <c r="L54" s="300">
        <f t="shared" si="14"/>
        <v>0</v>
      </c>
      <c r="M54" s="628"/>
      <c r="N54" s="628"/>
      <c r="O54" s="628"/>
    </row>
    <row r="55" spans="1:30" x14ac:dyDescent="0.15">
      <c r="A55" s="314">
        <v>1.3</v>
      </c>
      <c r="B55" s="328" t="s">
        <v>15</v>
      </c>
      <c r="C55" s="35"/>
      <c r="D55" s="31"/>
      <c r="E55" s="35"/>
      <c r="F55" s="35"/>
      <c r="G55" s="35">
        <f t="shared" si="12"/>
        <v>0</v>
      </c>
      <c r="H55" s="31"/>
      <c r="I55" s="31">
        <f t="shared" si="10"/>
        <v>0</v>
      </c>
      <c r="J55" s="31">
        <f t="shared" si="11"/>
        <v>0</v>
      </c>
      <c r="K55" s="31">
        <f t="shared" si="13"/>
        <v>0</v>
      </c>
      <c r="L55" s="300">
        <f t="shared" si="14"/>
        <v>0</v>
      </c>
      <c r="M55" s="628"/>
      <c r="N55" s="628"/>
      <c r="O55" s="628"/>
    </row>
    <row r="56" spans="1:30" ht="18.75" customHeight="1" x14ac:dyDescent="0.15">
      <c r="A56" s="314"/>
      <c r="B56" s="315" t="s">
        <v>85</v>
      </c>
      <c r="C56" s="35" t="s">
        <v>16</v>
      </c>
      <c r="D56" s="31"/>
      <c r="E56" s="158"/>
      <c r="F56" s="35"/>
      <c r="G56" s="35">
        <f t="shared" si="12"/>
        <v>0</v>
      </c>
      <c r="H56" s="36"/>
      <c r="I56" s="31">
        <f t="shared" si="10"/>
        <v>0</v>
      </c>
      <c r="J56" s="31">
        <f t="shared" si="11"/>
        <v>0</v>
      </c>
      <c r="K56" s="31">
        <f t="shared" si="13"/>
        <v>0</v>
      </c>
      <c r="L56" s="300">
        <f t="shared" si="14"/>
        <v>0</v>
      </c>
      <c r="M56" s="628"/>
      <c r="N56" s="628"/>
      <c r="O56" s="628"/>
    </row>
    <row r="57" spans="1:30" ht="18.75" customHeight="1" x14ac:dyDescent="0.15">
      <c r="A57" s="314"/>
      <c r="B57" s="315" t="s">
        <v>25</v>
      </c>
      <c r="C57" s="35" t="s">
        <v>16</v>
      </c>
      <c r="D57" s="31">
        <v>1123</v>
      </c>
      <c r="E57" s="158">
        <f>269.6+857.56</f>
        <v>1127.1599999999999</v>
      </c>
      <c r="F57" s="35"/>
      <c r="G57" s="35">
        <f t="shared" si="12"/>
        <v>1127.1599999999999</v>
      </c>
      <c r="H57" s="31">
        <v>34</v>
      </c>
      <c r="I57" s="31">
        <f t="shared" si="10"/>
        <v>38182</v>
      </c>
      <c r="J57" s="31">
        <f t="shared" si="11"/>
        <v>38323.439999999995</v>
      </c>
      <c r="K57" s="31">
        <f t="shared" si="13"/>
        <v>0</v>
      </c>
      <c r="L57" s="300">
        <f t="shared" si="14"/>
        <v>38323.439999999995</v>
      </c>
      <c r="M57" s="628"/>
      <c r="N57" s="628"/>
      <c r="O57" s="628"/>
    </row>
    <row r="58" spans="1:30" ht="18.75" customHeight="1" x14ac:dyDescent="0.15">
      <c r="A58" s="314"/>
      <c r="B58" s="315" t="s">
        <v>26</v>
      </c>
      <c r="C58" s="35" t="s">
        <v>16</v>
      </c>
      <c r="D58" s="31">
        <v>289</v>
      </c>
      <c r="E58" s="158">
        <f>97.33+281.71</f>
        <v>379.03999999999996</v>
      </c>
      <c r="F58" s="35"/>
      <c r="G58" s="35">
        <f t="shared" si="12"/>
        <v>379.03999999999996</v>
      </c>
      <c r="H58" s="31">
        <v>35</v>
      </c>
      <c r="I58" s="31">
        <f t="shared" si="10"/>
        <v>10115</v>
      </c>
      <c r="J58" s="31">
        <f t="shared" si="11"/>
        <v>13266.399999999998</v>
      </c>
      <c r="K58" s="31">
        <f t="shared" si="13"/>
        <v>0</v>
      </c>
      <c r="L58" s="300">
        <f t="shared" si="14"/>
        <v>13266.399999999998</v>
      </c>
      <c r="M58" s="628"/>
      <c r="N58" s="628"/>
      <c r="O58" s="628"/>
    </row>
    <row r="59" spans="1:30" ht="18.75" customHeight="1" x14ac:dyDescent="0.15">
      <c r="A59" s="304"/>
      <c r="B59" s="305" t="s">
        <v>90</v>
      </c>
      <c r="C59" s="77" t="s">
        <v>16</v>
      </c>
      <c r="D59" s="50">
        <v>174</v>
      </c>
      <c r="E59" s="77">
        <v>0</v>
      </c>
      <c r="F59" s="159"/>
      <c r="G59" s="35">
        <f t="shared" si="12"/>
        <v>0</v>
      </c>
      <c r="H59" s="160">
        <v>35</v>
      </c>
      <c r="I59" s="31">
        <f t="shared" si="10"/>
        <v>6090</v>
      </c>
      <c r="J59" s="31">
        <f t="shared" si="11"/>
        <v>0</v>
      </c>
      <c r="K59" s="160">
        <f>H59*F59</f>
        <v>0</v>
      </c>
      <c r="L59" s="300">
        <f t="shared" si="14"/>
        <v>0</v>
      </c>
      <c r="M59" s="628"/>
      <c r="N59" s="628"/>
      <c r="O59" s="628"/>
    </row>
    <row r="60" spans="1:30" s="581" customFormat="1" ht="24.75" customHeight="1" thickBot="1" x14ac:dyDescent="0.2">
      <c r="A60" s="580"/>
      <c r="B60" s="1101" t="s">
        <v>64</v>
      </c>
      <c r="C60" s="1102"/>
      <c r="D60" s="1102"/>
      <c r="E60" s="1102"/>
      <c r="F60" s="1102"/>
      <c r="G60" s="1102"/>
      <c r="H60" s="1103"/>
      <c r="I60" s="568">
        <f>SUM(I46:I59)</f>
        <v>112983.8</v>
      </c>
      <c r="J60" s="568">
        <f>SUM(J46:J59)</f>
        <v>97069.039999999979</v>
      </c>
      <c r="K60" s="568">
        <f>SUM(K46:K59)</f>
        <v>0</v>
      </c>
      <c r="L60" s="568">
        <f>SUM(L46:L59)</f>
        <v>97069.039999999979</v>
      </c>
      <c r="M60" s="637"/>
      <c r="N60" s="637"/>
      <c r="O60" s="637"/>
      <c r="P60" s="626"/>
      <c r="Q60" s="626"/>
      <c r="R60" s="626"/>
      <c r="S60" s="626"/>
      <c r="T60" s="626"/>
      <c r="U60" s="626"/>
      <c r="V60" s="626"/>
      <c r="W60" s="626"/>
      <c r="X60" s="626"/>
      <c r="Y60" s="626"/>
      <c r="Z60" s="626"/>
      <c r="AA60" s="626"/>
      <c r="AB60" s="626"/>
      <c r="AC60" s="626"/>
      <c r="AD60" s="626"/>
    </row>
    <row r="61" spans="1:30" s="332" customFormat="1" ht="26.25" customHeight="1" x14ac:dyDescent="0.2">
      <c r="A61" s="710"/>
      <c r="B61" s="711" t="s">
        <v>292</v>
      </c>
      <c r="C61" s="712"/>
      <c r="D61" s="712"/>
      <c r="E61" s="712"/>
      <c r="F61" s="712"/>
      <c r="G61" s="712"/>
      <c r="H61" s="713"/>
      <c r="I61" s="713"/>
      <c r="J61" s="713"/>
      <c r="K61" s="713"/>
      <c r="L61" s="713"/>
      <c r="M61" s="629"/>
      <c r="N61" s="629"/>
      <c r="O61" s="629"/>
      <c r="P61" s="629"/>
      <c r="Q61" s="629"/>
      <c r="R61" s="629"/>
      <c r="S61" s="629"/>
      <c r="T61" s="629"/>
      <c r="U61" s="629"/>
      <c r="V61" s="629"/>
      <c r="W61" s="629"/>
      <c r="X61" s="629"/>
    </row>
    <row r="62" spans="1:30" s="332" customFormat="1" ht="21" customHeight="1" x14ac:dyDescent="0.2">
      <c r="A62" s="714">
        <v>2.1</v>
      </c>
      <c r="B62" s="715" t="s">
        <v>293</v>
      </c>
      <c r="C62" s="716"/>
      <c r="D62" s="716"/>
      <c r="E62" s="716"/>
      <c r="F62" s="716"/>
      <c r="G62" s="716"/>
      <c r="H62" s="422"/>
      <c r="I62" s="422"/>
      <c r="J62" s="422"/>
      <c r="K62" s="422"/>
      <c r="L62" s="717"/>
      <c r="M62" s="629"/>
      <c r="N62" s="629"/>
      <c r="O62" s="629"/>
      <c r="P62" s="629"/>
      <c r="Q62" s="629"/>
      <c r="R62" s="629"/>
      <c r="S62" s="629"/>
      <c r="T62" s="629"/>
      <c r="U62" s="629"/>
      <c r="V62" s="629"/>
      <c r="W62" s="629"/>
      <c r="X62" s="629"/>
    </row>
    <row r="63" spans="1:30" s="332" customFormat="1" ht="21" customHeight="1" x14ac:dyDescent="0.2">
      <c r="A63" s="714"/>
      <c r="B63" s="715" t="s">
        <v>294</v>
      </c>
      <c r="C63" s="716" t="s">
        <v>11</v>
      </c>
      <c r="D63" s="716">
        <v>223.3</v>
      </c>
      <c r="E63" s="422">
        <v>148.88</v>
      </c>
      <c r="F63" s="716"/>
      <c r="G63" s="716">
        <v>148.88</v>
      </c>
      <c r="H63" s="716">
        <v>310</v>
      </c>
      <c r="I63" s="130">
        <f>D63*H63</f>
        <v>69223</v>
      </c>
      <c r="J63" s="422">
        <f>H63*E63</f>
        <v>46152.799999999996</v>
      </c>
      <c r="K63" s="422">
        <f>H63*F63</f>
        <v>0</v>
      </c>
      <c r="L63" s="300">
        <f>H63*G63</f>
        <v>46152.799999999996</v>
      </c>
      <c r="M63" s="630">
        <f>177.18*50%</f>
        <v>88.59</v>
      </c>
      <c r="N63" s="629"/>
      <c r="O63" s="629"/>
      <c r="P63" s="629"/>
      <c r="Q63" s="629"/>
      <c r="R63" s="629"/>
      <c r="S63" s="629"/>
      <c r="T63" s="629"/>
      <c r="U63" s="629"/>
      <c r="V63" s="629"/>
      <c r="W63" s="629"/>
      <c r="X63" s="629"/>
    </row>
    <row r="64" spans="1:30" s="332" customFormat="1" ht="21" customHeight="1" x14ac:dyDescent="0.2">
      <c r="A64" s="714"/>
      <c r="B64" s="941" t="s">
        <v>295</v>
      </c>
      <c r="C64" s="716" t="s">
        <v>11</v>
      </c>
      <c r="D64" s="716">
        <v>276.33</v>
      </c>
      <c r="E64" s="422">
        <v>249.8</v>
      </c>
      <c r="F64" s="719"/>
      <c r="G64" s="716">
        <v>249</v>
      </c>
      <c r="H64" s="716">
        <v>295</v>
      </c>
      <c r="I64" s="130">
        <f>D64*H64</f>
        <v>81517.349999999991</v>
      </c>
      <c r="J64" s="422">
        <f>H64*E64</f>
        <v>73691</v>
      </c>
      <c r="K64" s="422">
        <f>H64*F64</f>
        <v>0</v>
      </c>
      <c r="L64" s="300">
        <f>K64+J64</f>
        <v>73691</v>
      </c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</row>
    <row r="65" spans="1:32" s="332" customFormat="1" ht="21" customHeight="1" x14ac:dyDescent="0.2">
      <c r="A65" s="714"/>
      <c r="B65" s="941" t="s">
        <v>385</v>
      </c>
      <c r="C65" s="716" t="s">
        <v>11</v>
      </c>
      <c r="D65" s="716">
        <v>18</v>
      </c>
      <c r="E65" s="422"/>
      <c r="F65" s="719">
        <v>59.22</v>
      </c>
      <c r="G65" s="716"/>
      <c r="H65" s="716">
        <v>285</v>
      </c>
      <c r="I65" s="130">
        <f>D65*H65</f>
        <v>5130</v>
      </c>
      <c r="J65" s="422">
        <f>H65*E65</f>
        <v>0</v>
      </c>
      <c r="K65" s="422">
        <f>H65*F65</f>
        <v>16877.7</v>
      </c>
      <c r="L65" s="300">
        <f>K65+J65</f>
        <v>16877.7</v>
      </c>
      <c r="M65" s="629"/>
      <c r="N65" s="629"/>
      <c r="O65" s="629"/>
      <c r="P65" s="629"/>
      <c r="Q65" s="629"/>
      <c r="R65" s="629"/>
      <c r="S65" s="629"/>
      <c r="T65" s="629"/>
      <c r="U65" s="629"/>
      <c r="V65" s="629"/>
      <c r="W65" s="629"/>
      <c r="X65" s="629"/>
    </row>
    <row r="66" spans="1:32" s="332" customFormat="1" ht="21" customHeight="1" x14ac:dyDescent="0.2">
      <c r="A66" s="714">
        <v>2.2000000000000002</v>
      </c>
      <c r="B66" s="718" t="s">
        <v>534</v>
      </c>
      <c r="C66" s="716" t="s">
        <v>11</v>
      </c>
      <c r="D66" s="716">
        <v>67.599999999999994</v>
      </c>
      <c r="E66" s="422"/>
      <c r="F66" s="719">
        <v>58.43</v>
      </c>
      <c r="G66" s="716"/>
      <c r="H66" s="716">
        <v>1500</v>
      </c>
      <c r="I66" s="130">
        <f>D66*H66</f>
        <v>101399.99999999999</v>
      </c>
      <c r="J66" s="422">
        <f>H66*E66</f>
        <v>0</v>
      </c>
      <c r="K66" s="422">
        <f>H66*F66</f>
        <v>87645</v>
      </c>
      <c r="L66" s="300">
        <f>K66+J66</f>
        <v>87645</v>
      </c>
      <c r="M66" s="629"/>
      <c r="N66" s="629"/>
      <c r="O66" s="629"/>
      <c r="P66" s="629"/>
      <c r="Q66" s="629"/>
      <c r="R66" s="629"/>
      <c r="S66" s="629"/>
      <c r="T66" s="629"/>
      <c r="U66" s="629"/>
      <c r="V66" s="629"/>
      <c r="W66" s="629"/>
      <c r="X66" s="629"/>
    </row>
    <row r="67" spans="1:32" s="581" customFormat="1" ht="26.25" customHeight="1" thickBot="1" x14ac:dyDescent="0.2">
      <c r="A67" s="579"/>
      <c r="B67" s="1101" t="s">
        <v>64</v>
      </c>
      <c r="C67" s="1102"/>
      <c r="D67" s="1102"/>
      <c r="E67" s="1102"/>
      <c r="F67" s="1102"/>
      <c r="G67" s="1102"/>
      <c r="H67" s="1103"/>
      <c r="I67" s="568">
        <f>SUM(I63:I66)</f>
        <v>257270.34999999998</v>
      </c>
      <c r="J67" s="568">
        <f>SUM(J63:J66)</f>
        <v>119843.79999999999</v>
      </c>
      <c r="K67" s="568">
        <f>SUM(K63:K66)</f>
        <v>104522.7</v>
      </c>
      <c r="L67" s="568">
        <f>SUM(L63:L66)</f>
        <v>224366.5</v>
      </c>
      <c r="M67" s="626"/>
      <c r="N67" s="626"/>
      <c r="O67" s="626"/>
      <c r="P67" s="626"/>
      <c r="Q67" s="626"/>
      <c r="R67" s="626"/>
      <c r="S67" s="626"/>
      <c r="T67" s="626"/>
      <c r="U67" s="626"/>
      <c r="V67" s="626"/>
      <c r="W67" s="626"/>
      <c r="X67" s="626"/>
    </row>
    <row r="68" spans="1:32" s="278" customFormat="1" ht="18" x14ac:dyDescent="0.2">
      <c r="A68" s="491"/>
      <c r="B68" s="492" t="s">
        <v>167</v>
      </c>
      <c r="C68" s="234"/>
      <c r="D68" s="233"/>
      <c r="E68" s="234"/>
      <c r="F68" s="234"/>
      <c r="G68" s="234"/>
      <c r="H68" s="233"/>
      <c r="I68" s="233"/>
      <c r="J68" s="233"/>
      <c r="K68" s="233"/>
      <c r="L68" s="493"/>
      <c r="M68" s="622"/>
      <c r="N68" s="622"/>
      <c r="O68" s="622"/>
      <c r="P68" s="622"/>
      <c r="Q68" s="622"/>
      <c r="R68" s="622"/>
      <c r="S68" s="622"/>
      <c r="T68" s="622"/>
      <c r="U68" s="622"/>
      <c r="V68" s="622"/>
      <c r="W68" s="622"/>
      <c r="X68" s="622"/>
      <c r="Y68" s="622"/>
      <c r="Z68" s="622"/>
      <c r="AA68" s="622"/>
      <c r="AB68" s="622"/>
      <c r="AC68" s="622"/>
      <c r="AD68" s="622"/>
      <c r="AE68" s="622"/>
      <c r="AF68" s="622"/>
    </row>
    <row r="69" spans="1:32" s="278" customFormat="1" ht="18" x14ac:dyDescent="0.2">
      <c r="A69" s="494">
        <v>3.1</v>
      </c>
      <c r="B69" s="495" t="s">
        <v>166</v>
      </c>
      <c r="C69" s="236" t="s">
        <v>11</v>
      </c>
      <c r="D69" s="235">
        <v>329.7</v>
      </c>
      <c r="E69" s="236">
        <v>331.58</v>
      </c>
      <c r="F69" s="407"/>
      <c r="G69" s="236">
        <f>F69+E69</f>
        <v>331.58</v>
      </c>
      <c r="H69" s="235">
        <v>245</v>
      </c>
      <c r="I69" s="235">
        <f>D69*H69</f>
        <v>80776.5</v>
      </c>
      <c r="J69" s="233">
        <f>E69*H69</f>
        <v>81237.099999999991</v>
      </c>
      <c r="K69" s="235">
        <f>H69*F69</f>
        <v>0</v>
      </c>
      <c r="L69" s="496">
        <f>K69+J69</f>
        <v>81237.099999999991</v>
      </c>
      <c r="M69" s="622"/>
      <c r="N69" s="622"/>
      <c r="O69" s="622"/>
      <c r="P69" s="622"/>
      <c r="Q69" s="622"/>
      <c r="R69" s="622"/>
      <c r="S69" s="622"/>
      <c r="T69" s="622"/>
      <c r="U69" s="622"/>
      <c r="V69" s="622"/>
      <c r="W69" s="622"/>
      <c r="X69" s="622"/>
      <c r="Y69" s="622"/>
      <c r="Z69" s="622"/>
      <c r="AA69" s="622"/>
      <c r="AB69" s="622"/>
      <c r="AC69" s="622"/>
      <c r="AD69" s="622"/>
      <c r="AE69" s="622"/>
      <c r="AF69" s="622"/>
    </row>
    <row r="70" spans="1:32" s="278" customFormat="1" ht="18" x14ac:dyDescent="0.2">
      <c r="A70" s="494">
        <v>3.2</v>
      </c>
      <c r="B70" s="495" t="s">
        <v>524</v>
      </c>
      <c r="C70" s="236" t="s">
        <v>174</v>
      </c>
      <c r="D70" s="235">
        <v>43</v>
      </c>
      <c r="E70" s="236"/>
      <c r="F70" s="407">
        <v>43.14</v>
      </c>
      <c r="G70" s="236"/>
      <c r="H70" s="235">
        <v>220</v>
      </c>
      <c r="I70" s="235">
        <f>D70*H70</f>
        <v>9460</v>
      </c>
      <c r="J70" s="233">
        <f>E70*H70</f>
        <v>0</v>
      </c>
      <c r="K70" s="235">
        <f>H70*F70</f>
        <v>9490.7999999999993</v>
      </c>
      <c r="L70" s="496">
        <f>K70+J70</f>
        <v>9490.7999999999993</v>
      </c>
      <c r="M70" s="622"/>
      <c r="N70" s="622"/>
      <c r="O70" s="622"/>
      <c r="P70" s="622"/>
      <c r="Q70" s="622"/>
      <c r="R70" s="622"/>
      <c r="S70" s="622"/>
      <c r="T70" s="622"/>
      <c r="U70" s="622"/>
      <c r="V70" s="622"/>
      <c r="W70" s="622"/>
      <c r="X70" s="622"/>
      <c r="Y70" s="622"/>
      <c r="Z70" s="622"/>
      <c r="AA70" s="622"/>
      <c r="AB70" s="622"/>
      <c r="AC70" s="622"/>
      <c r="AD70" s="622"/>
      <c r="AE70" s="622"/>
      <c r="AF70" s="622"/>
    </row>
    <row r="71" spans="1:32" s="574" customFormat="1" ht="21.75" customHeight="1" thickBot="1" x14ac:dyDescent="0.25">
      <c r="A71" s="585"/>
      <c r="B71" s="1174" t="s">
        <v>64</v>
      </c>
      <c r="C71" s="1175"/>
      <c r="D71" s="1175"/>
      <c r="E71" s="1175"/>
      <c r="F71" s="1175"/>
      <c r="G71" s="1175"/>
      <c r="H71" s="1176"/>
      <c r="I71" s="586">
        <f>SUM(I69:I70)</f>
        <v>90236.5</v>
      </c>
      <c r="J71" s="586">
        <f>SUM(J69:J70)</f>
        <v>81237.099999999991</v>
      </c>
      <c r="K71" s="586">
        <f>SUM(K69:K70)</f>
        <v>9490.7999999999993</v>
      </c>
      <c r="L71" s="586">
        <f>SUM(L69:L70)</f>
        <v>90727.9</v>
      </c>
      <c r="M71" s="622"/>
      <c r="N71" s="622"/>
      <c r="O71" s="622"/>
      <c r="P71" s="622"/>
      <c r="Q71" s="622"/>
      <c r="R71" s="622"/>
      <c r="S71" s="622"/>
      <c r="T71" s="622"/>
      <c r="U71" s="622"/>
      <c r="V71" s="622"/>
      <c r="W71" s="622"/>
      <c r="X71" s="622"/>
      <c r="Y71" s="622"/>
      <c r="Z71" s="622"/>
      <c r="AA71" s="622"/>
      <c r="AB71" s="622"/>
      <c r="AC71" s="622"/>
      <c r="AD71" s="622"/>
      <c r="AE71" s="622"/>
      <c r="AF71" s="622"/>
    </row>
    <row r="72" spans="1:32" s="278" customFormat="1" ht="18" x14ac:dyDescent="0.2">
      <c r="A72" s="491"/>
      <c r="B72" s="492" t="s">
        <v>168</v>
      </c>
      <c r="C72" s="234"/>
      <c r="D72" s="233"/>
      <c r="E72" s="234"/>
      <c r="F72" s="234"/>
      <c r="G72" s="234"/>
      <c r="H72" s="233"/>
      <c r="I72" s="233"/>
      <c r="J72" s="233"/>
      <c r="K72" s="233"/>
      <c r="L72" s="493"/>
      <c r="M72" s="622"/>
      <c r="N72" s="622"/>
      <c r="O72" s="622"/>
      <c r="P72" s="622"/>
      <c r="Q72" s="622"/>
      <c r="R72" s="622"/>
      <c r="S72" s="622"/>
      <c r="T72" s="622"/>
      <c r="U72" s="622"/>
      <c r="V72" s="622"/>
      <c r="W72" s="622"/>
      <c r="X72" s="622"/>
      <c r="Y72" s="622"/>
      <c r="Z72" s="622"/>
      <c r="AA72" s="622"/>
      <c r="AB72" s="622"/>
      <c r="AC72" s="622"/>
      <c r="AD72" s="622"/>
      <c r="AE72" s="622"/>
      <c r="AF72" s="622"/>
    </row>
    <row r="73" spans="1:32" s="278" customFormat="1" ht="18" x14ac:dyDescent="0.2">
      <c r="A73" s="497">
        <v>4.0999999999999996</v>
      </c>
      <c r="B73" s="498" t="s">
        <v>169</v>
      </c>
      <c r="C73" s="218"/>
      <c r="D73" s="232"/>
      <c r="E73" s="218"/>
      <c r="F73" s="218"/>
      <c r="G73" s="218"/>
      <c r="H73" s="232"/>
      <c r="I73" s="232"/>
      <c r="J73" s="232"/>
      <c r="K73" s="232"/>
      <c r="L73" s="499"/>
      <c r="M73" s="622"/>
      <c r="N73" s="622"/>
      <c r="O73" s="622"/>
      <c r="P73" s="622"/>
      <c r="Q73" s="622"/>
      <c r="R73" s="622"/>
      <c r="S73" s="622"/>
      <c r="T73" s="622"/>
      <c r="U73" s="622"/>
      <c r="V73" s="622"/>
      <c r="W73" s="622"/>
      <c r="X73" s="622"/>
      <c r="Y73" s="622"/>
      <c r="Z73" s="622"/>
      <c r="AA73" s="622"/>
      <c r="AB73" s="622"/>
      <c r="AC73" s="622"/>
      <c r="AD73" s="622"/>
      <c r="AE73" s="622"/>
      <c r="AF73" s="622"/>
    </row>
    <row r="74" spans="1:32" s="278" customFormat="1" ht="18" x14ac:dyDescent="0.2">
      <c r="A74" s="497"/>
      <c r="B74" s="498" t="s">
        <v>170</v>
      </c>
      <c r="C74" s="218"/>
      <c r="D74" s="232"/>
      <c r="E74" s="218"/>
      <c r="F74" s="218"/>
      <c r="G74" s="218"/>
      <c r="H74" s="232"/>
      <c r="I74" s="232"/>
      <c r="J74" s="232"/>
      <c r="K74" s="232"/>
      <c r="L74" s="499"/>
      <c r="M74" s="622"/>
      <c r="N74" s="622"/>
      <c r="O74" s="622"/>
      <c r="P74" s="622"/>
      <c r="Q74" s="622"/>
      <c r="R74" s="622"/>
      <c r="S74" s="622"/>
      <c r="T74" s="622"/>
      <c r="U74" s="622"/>
      <c r="V74" s="622"/>
      <c r="W74" s="622"/>
      <c r="X74" s="622"/>
      <c r="Y74" s="622"/>
      <c r="Z74" s="622"/>
      <c r="AA74" s="622"/>
      <c r="AB74" s="622"/>
      <c r="AC74" s="622"/>
      <c r="AD74" s="622"/>
      <c r="AE74" s="622"/>
      <c r="AF74" s="622"/>
    </row>
    <row r="75" spans="1:32" s="278" customFormat="1" ht="18" x14ac:dyDescent="0.2">
      <c r="A75" s="497"/>
      <c r="B75" s="498" t="s">
        <v>172</v>
      </c>
      <c r="C75" s="218" t="s">
        <v>174</v>
      </c>
      <c r="D75" s="232">
        <v>456</v>
      </c>
      <c r="E75" s="402">
        <v>537.41</v>
      </c>
      <c r="F75" s="402"/>
      <c r="G75" s="237">
        <f>F75+E75</f>
        <v>537.41</v>
      </c>
      <c r="H75" s="232">
        <v>20</v>
      </c>
      <c r="I75" s="232">
        <f>H75*D75</f>
        <v>9120</v>
      </c>
      <c r="J75" s="232">
        <f>H75*E75</f>
        <v>10748.199999999999</v>
      </c>
      <c r="K75" s="232">
        <f>H75*F75</f>
        <v>0</v>
      </c>
      <c r="L75" s="499">
        <f>K75+J75</f>
        <v>10748.199999999999</v>
      </c>
      <c r="M75" s="622"/>
      <c r="N75" s="622"/>
      <c r="O75" s="622"/>
      <c r="P75" s="622"/>
      <c r="Q75" s="622"/>
      <c r="R75" s="622"/>
      <c r="S75" s="622"/>
      <c r="T75" s="622"/>
      <c r="U75" s="622"/>
      <c r="V75" s="622"/>
      <c r="W75" s="622"/>
      <c r="X75" s="622"/>
      <c r="Y75" s="622"/>
      <c r="Z75" s="622"/>
      <c r="AA75" s="622"/>
      <c r="AB75" s="622"/>
      <c r="AC75" s="622"/>
      <c r="AD75" s="622"/>
      <c r="AE75" s="622"/>
      <c r="AF75" s="622"/>
    </row>
    <row r="76" spans="1:32" s="278" customFormat="1" ht="18" x14ac:dyDescent="0.2">
      <c r="A76" s="497"/>
      <c r="B76" s="498" t="s">
        <v>173</v>
      </c>
      <c r="C76" s="218" t="s">
        <v>174</v>
      </c>
      <c r="D76" s="232">
        <v>299</v>
      </c>
      <c r="E76" s="402">
        <v>576.98</v>
      </c>
      <c r="F76" s="402"/>
      <c r="G76" s="237">
        <f>F76+E76</f>
        <v>576.98</v>
      </c>
      <c r="H76" s="232">
        <v>19</v>
      </c>
      <c r="I76" s="232">
        <f>H76*D76</f>
        <v>5681</v>
      </c>
      <c r="J76" s="232">
        <f>H76*E76</f>
        <v>10962.62</v>
      </c>
      <c r="K76" s="232">
        <f>H76*F76</f>
        <v>0</v>
      </c>
      <c r="L76" s="499">
        <f>K76+J76</f>
        <v>10962.62</v>
      </c>
      <c r="M76" s="622"/>
      <c r="N76" s="622"/>
      <c r="O76" s="622"/>
      <c r="P76" s="622"/>
      <c r="Q76" s="622"/>
      <c r="R76" s="622"/>
      <c r="S76" s="622"/>
      <c r="T76" s="622"/>
      <c r="U76" s="622"/>
      <c r="V76" s="622"/>
      <c r="W76" s="622"/>
      <c r="X76" s="622"/>
      <c r="Y76" s="622"/>
      <c r="Z76" s="622"/>
      <c r="AA76" s="622"/>
      <c r="AB76" s="622"/>
      <c r="AC76" s="622"/>
      <c r="AD76" s="622"/>
      <c r="AE76" s="622"/>
      <c r="AF76" s="622"/>
    </row>
    <row r="77" spans="1:32" s="278" customFormat="1" ht="18" x14ac:dyDescent="0.2">
      <c r="A77" s="494"/>
      <c r="B77" s="495" t="s">
        <v>171</v>
      </c>
      <c r="C77" s="236" t="s">
        <v>174</v>
      </c>
      <c r="D77" s="235">
        <v>471</v>
      </c>
      <c r="E77" s="402">
        <v>423.9</v>
      </c>
      <c r="F77" s="402"/>
      <c r="G77" s="237">
        <f>F77+E77</f>
        <v>423.9</v>
      </c>
      <c r="H77" s="235">
        <v>45</v>
      </c>
      <c r="I77" s="232">
        <f>H77*D77</f>
        <v>21195</v>
      </c>
      <c r="J77" s="232">
        <f>H77*E77</f>
        <v>19075.5</v>
      </c>
      <c r="K77" s="232">
        <f>H77*F77</f>
        <v>0</v>
      </c>
      <c r="L77" s="499">
        <f>K77+J77</f>
        <v>19075.5</v>
      </c>
      <c r="M77" s="622"/>
      <c r="N77" s="622"/>
      <c r="O77" s="622"/>
      <c r="P77" s="622"/>
      <c r="Q77" s="622"/>
      <c r="R77" s="622"/>
      <c r="S77" s="622"/>
      <c r="T77" s="622"/>
      <c r="U77" s="622"/>
      <c r="V77" s="622"/>
      <c r="W77" s="622"/>
      <c r="X77" s="622"/>
      <c r="Y77" s="622"/>
      <c r="Z77" s="622"/>
      <c r="AA77" s="622"/>
      <c r="AB77" s="622"/>
      <c r="AC77" s="622"/>
      <c r="AD77" s="622"/>
      <c r="AE77" s="622"/>
      <c r="AF77" s="622"/>
    </row>
    <row r="78" spans="1:32" s="312" customFormat="1" ht="22.5" customHeight="1" x14ac:dyDescent="0.2">
      <c r="A78" s="304">
        <v>4.2</v>
      </c>
      <c r="B78" s="317" t="s">
        <v>238</v>
      </c>
      <c r="C78" s="51" t="s">
        <v>174</v>
      </c>
      <c r="D78" s="50">
        <v>61.1</v>
      </c>
      <c r="E78" s="795"/>
      <c r="F78" s="51">
        <v>76.099999999999994</v>
      </c>
      <c r="G78" s="51">
        <f>F78+E78</f>
        <v>76.099999999999994</v>
      </c>
      <c r="H78" s="50">
        <v>105</v>
      </c>
      <c r="I78" s="232">
        <f>H78*D78</f>
        <v>6415.5</v>
      </c>
      <c r="J78" s="50">
        <f>H78*F78</f>
        <v>7990.4999999999991</v>
      </c>
      <c r="K78" s="232">
        <f>H78*F78</f>
        <v>7990.4999999999991</v>
      </c>
      <c r="L78" s="499">
        <f>K78+J78</f>
        <v>15980.999999999998</v>
      </c>
    </row>
    <row r="79" spans="1:32" s="574" customFormat="1" ht="21.75" customHeight="1" thickBot="1" x14ac:dyDescent="0.25">
      <c r="A79" s="585"/>
      <c r="B79" s="1174" t="s">
        <v>64</v>
      </c>
      <c r="C79" s="1175"/>
      <c r="D79" s="1175"/>
      <c r="E79" s="1175"/>
      <c r="F79" s="1175"/>
      <c r="G79" s="1175"/>
      <c r="H79" s="1176"/>
      <c r="I79" s="586">
        <f>SUM(I75:I78)</f>
        <v>42411.5</v>
      </c>
      <c r="J79" s="586">
        <f>SUM(J75:J78)</f>
        <v>48776.82</v>
      </c>
      <c r="K79" s="586">
        <f>SUM(K75:K78)</f>
        <v>7990.4999999999991</v>
      </c>
      <c r="L79" s="586">
        <f>SUM(L75:L78)</f>
        <v>56767.32</v>
      </c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22"/>
      <c r="AB79" s="622"/>
      <c r="AC79" s="622"/>
      <c r="AD79" s="622"/>
      <c r="AE79" s="622"/>
      <c r="AF79" s="622"/>
    </row>
    <row r="80" spans="1:32" s="254" customFormat="1" ht="21.75" customHeight="1" thickBot="1" x14ac:dyDescent="0.2">
      <c r="A80" s="253"/>
      <c r="B80" s="1116" t="s">
        <v>68</v>
      </c>
      <c r="C80" s="1116"/>
      <c r="D80" s="1116"/>
      <c r="E80" s="1116"/>
      <c r="F80" s="1116"/>
      <c r="G80" s="1116"/>
      <c r="H80" s="1116"/>
      <c r="I80" s="1116"/>
      <c r="J80" s="1116"/>
      <c r="K80" s="1116"/>
      <c r="M80" s="616"/>
      <c r="N80" s="616"/>
      <c r="O80" s="616"/>
      <c r="P80" s="616"/>
      <c r="Q80" s="616"/>
      <c r="R80" s="616"/>
      <c r="S80" s="616"/>
      <c r="T80" s="616"/>
      <c r="U80" s="616"/>
      <c r="V80" s="616"/>
      <c r="W80" s="616"/>
      <c r="X80" s="616"/>
      <c r="Y80" s="616"/>
      <c r="Z80" s="616"/>
      <c r="AA80" s="616"/>
      <c r="AB80" s="616"/>
      <c r="AC80" s="616"/>
      <c r="AD80" s="616"/>
    </row>
    <row r="81" spans="1:30" s="254" customFormat="1" ht="21.75" customHeight="1" x14ac:dyDescent="0.15">
      <c r="A81" s="1107" t="s">
        <v>61</v>
      </c>
      <c r="B81" s="1128" t="s">
        <v>54</v>
      </c>
      <c r="C81" s="1128" t="s">
        <v>5</v>
      </c>
      <c r="D81" s="1117" t="s">
        <v>4</v>
      </c>
      <c r="E81" s="1118"/>
      <c r="F81" s="1119"/>
      <c r="G81" s="1128" t="s">
        <v>334</v>
      </c>
      <c r="H81" s="1128" t="s">
        <v>8</v>
      </c>
      <c r="I81" s="1136" t="s">
        <v>50</v>
      </c>
      <c r="J81" s="1118"/>
      <c r="K81" s="1119"/>
      <c r="L81" s="503"/>
      <c r="M81" s="635"/>
      <c r="N81" s="635"/>
      <c r="O81" s="635"/>
      <c r="P81" s="616"/>
      <c r="Q81" s="616"/>
      <c r="R81" s="616"/>
      <c r="S81" s="616"/>
      <c r="T81" s="616"/>
      <c r="U81" s="616"/>
      <c r="V81" s="616"/>
      <c r="W81" s="616"/>
      <c r="X81" s="616"/>
      <c r="Y81" s="616"/>
      <c r="Z81" s="616"/>
      <c r="AA81" s="616"/>
      <c r="AB81" s="616"/>
      <c r="AC81" s="616"/>
      <c r="AD81" s="616"/>
    </row>
    <row r="82" spans="1:30" s="254" customFormat="1" ht="19.5" customHeight="1" x14ac:dyDescent="0.15">
      <c r="A82" s="1108"/>
      <c r="B82" s="1129"/>
      <c r="C82" s="1129"/>
      <c r="D82" s="1130" t="s">
        <v>62</v>
      </c>
      <c r="E82" s="1120" t="s">
        <v>63</v>
      </c>
      <c r="F82" s="1121"/>
      <c r="G82" s="1129"/>
      <c r="H82" s="1170"/>
      <c r="I82" s="1122" t="s">
        <v>6</v>
      </c>
      <c r="J82" s="1134" t="s">
        <v>7</v>
      </c>
      <c r="K82" s="1135"/>
      <c r="L82" s="1132" t="s">
        <v>336</v>
      </c>
      <c r="M82" s="636"/>
      <c r="N82" s="636"/>
      <c r="O82" s="636"/>
      <c r="P82" s="616"/>
      <c r="Q82" s="616"/>
      <c r="R82" s="616"/>
      <c r="S82" s="616"/>
      <c r="T82" s="616"/>
      <c r="U82" s="616"/>
      <c r="V82" s="616"/>
      <c r="W82" s="616"/>
      <c r="X82" s="616"/>
      <c r="Y82" s="616"/>
      <c r="Z82" s="616"/>
      <c r="AA82" s="616"/>
      <c r="AB82" s="616"/>
      <c r="AC82" s="616"/>
      <c r="AD82" s="616"/>
    </row>
    <row r="83" spans="1:30" s="254" customFormat="1" ht="21" customHeight="1" thickBot="1" x14ac:dyDescent="0.2">
      <c r="A83" s="1109"/>
      <c r="B83" s="1123"/>
      <c r="C83" s="1123"/>
      <c r="D83" s="1131"/>
      <c r="E83" s="880" t="s">
        <v>98</v>
      </c>
      <c r="F83" s="880" t="s">
        <v>99</v>
      </c>
      <c r="G83" s="1129"/>
      <c r="H83" s="1123"/>
      <c r="I83" s="1123"/>
      <c r="J83" s="880" t="s">
        <v>98</v>
      </c>
      <c r="K83" s="880" t="s">
        <v>99</v>
      </c>
      <c r="L83" s="1133"/>
      <c r="M83" s="636"/>
      <c r="N83" s="636"/>
      <c r="O83" s="636"/>
      <c r="P83" s="616"/>
      <c r="Q83" s="616"/>
      <c r="R83" s="616"/>
      <c r="S83" s="616"/>
      <c r="T83" s="616"/>
      <c r="U83" s="616"/>
      <c r="V83" s="616"/>
      <c r="W83" s="616"/>
      <c r="X83" s="616"/>
      <c r="Y83" s="616"/>
      <c r="Z83" s="616"/>
      <c r="AA83" s="616"/>
      <c r="AB83" s="616"/>
      <c r="AC83" s="616"/>
      <c r="AD83" s="616"/>
    </row>
    <row r="84" spans="1:30" s="254" customFormat="1" ht="21" customHeight="1" thickBot="1" x14ac:dyDescent="0.2">
      <c r="A84" s="280" t="s">
        <v>102</v>
      </c>
      <c r="B84" s="257" t="s">
        <v>103</v>
      </c>
      <c r="C84" s="257" t="s">
        <v>104</v>
      </c>
      <c r="D84" s="258" t="s">
        <v>105</v>
      </c>
      <c r="E84" s="258" t="s">
        <v>106</v>
      </c>
      <c r="F84" s="258" t="s">
        <v>107</v>
      </c>
      <c r="G84" s="258"/>
      <c r="H84" s="259" t="s">
        <v>108</v>
      </c>
      <c r="I84" s="257" t="s">
        <v>116</v>
      </c>
      <c r="J84" s="258" t="s">
        <v>115</v>
      </c>
      <c r="K84" s="258" t="s">
        <v>114</v>
      </c>
      <c r="L84" s="260" t="s">
        <v>113</v>
      </c>
      <c r="M84" s="636"/>
      <c r="N84" s="636"/>
      <c r="O84" s="636"/>
      <c r="P84" s="616"/>
      <c r="Q84" s="616"/>
      <c r="R84" s="616"/>
      <c r="S84" s="616"/>
      <c r="T84" s="616"/>
      <c r="U84" s="616"/>
      <c r="V84" s="616"/>
      <c r="W84" s="616"/>
      <c r="X84" s="616"/>
      <c r="Y84" s="616"/>
      <c r="Z84" s="616"/>
      <c r="AA84" s="616"/>
      <c r="AB84" s="616"/>
      <c r="AC84" s="616"/>
      <c r="AD84" s="616"/>
    </row>
    <row r="85" spans="1:30" s="797" customFormat="1" ht="26.25" customHeight="1" x14ac:dyDescent="0.15">
      <c r="A85" s="337"/>
      <c r="B85" s="338" t="s">
        <v>404</v>
      </c>
      <c r="C85" s="49"/>
      <c r="D85" s="32"/>
      <c r="E85" s="49"/>
      <c r="F85" s="49"/>
      <c r="G85" s="49"/>
      <c r="H85" s="32"/>
      <c r="I85" s="32"/>
      <c r="J85" s="32"/>
      <c r="K85" s="790"/>
      <c r="L85" s="339"/>
      <c r="M85" s="796"/>
      <c r="N85" s="796"/>
      <c r="O85" s="796"/>
      <c r="P85" s="796"/>
      <c r="Q85" s="796"/>
    </row>
    <row r="86" spans="1:30" s="797" customFormat="1" ht="26.25" customHeight="1" x14ac:dyDescent="0.2">
      <c r="A86" s="798">
        <v>5.0999999999999996</v>
      </c>
      <c r="B86" s="799" t="s">
        <v>405</v>
      </c>
      <c r="C86" s="800" t="s">
        <v>406</v>
      </c>
      <c r="D86" s="800">
        <v>1</v>
      </c>
      <c r="E86" s="863">
        <v>0</v>
      </c>
      <c r="F86" s="799"/>
      <c r="G86" s="799">
        <f>F86+E86</f>
        <v>0</v>
      </c>
      <c r="H86" s="31">
        <v>15360</v>
      </c>
      <c r="I86" s="802">
        <f>H86*D86</f>
        <v>15360</v>
      </c>
      <c r="J86" s="802">
        <f>H86*E86</f>
        <v>0</v>
      </c>
      <c r="K86" s="799">
        <f>F86*H86</f>
        <v>0</v>
      </c>
      <c r="L86" s="499">
        <f t="shared" ref="L86:L100" si="15">K86+J86</f>
        <v>0</v>
      </c>
      <c r="M86" s="796"/>
      <c r="N86" s="796"/>
      <c r="O86" s="796"/>
      <c r="P86" s="796"/>
      <c r="Q86" s="796"/>
    </row>
    <row r="87" spans="1:30" s="797" customFormat="1" ht="26.25" customHeight="1" x14ac:dyDescent="0.2">
      <c r="A87" s="798">
        <v>5.2</v>
      </c>
      <c r="B87" s="799" t="s">
        <v>407</v>
      </c>
      <c r="C87" s="800" t="s">
        <v>406</v>
      </c>
      <c r="D87" s="800">
        <v>1</v>
      </c>
      <c r="E87" s="231">
        <v>0</v>
      </c>
      <c r="F87" s="799"/>
      <c r="G87" s="801">
        <f t="shared" ref="G87:G94" si="16">F87+E87</f>
        <v>0</v>
      </c>
      <c r="H87" s="31">
        <v>4000</v>
      </c>
      <c r="I87" s="802">
        <f t="shared" ref="I87:I99" si="17">H87*D87</f>
        <v>4000</v>
      </c>
      <c r="J87" s="802">
        <f t="shared" ref="J87:J99" si="18">H87*E87</f>
        <v>0</v>
      </c>
      <c r="K87" s="799">
        <f t="shared" ref="K87:K100" si="19">F87*H87</f>
        <v>0</v>
      </c>
      <c r="L87" s="499">
        <f t="shared" si="15"/>
        <v>0</v>
      </c>
      <c r="M87" s="796"/>
      <c r="N87" s="796"/>
      <c r="O87" s="796"/>
      <c r="P87" s="803">
        <v>0</v>
      </c>
      <c r="Q87" s="803">
        <v>0</v>
      </c>
    </row>
    <row r="88" spans="1:30" s="797" customFormat="1" ht="26.25" customHeight="1" x14ac:dyDescent="0.2">
      <c r="A88" s="798">
        <v>5.3</v>
      </c>
      <c r="B88" s="804" t="s">
        <v>408</v>
      </c>
      <c r="C88" s="800" t="s">
        <v>406</v>
      </c>
      <c r="D88" s="800">
        <v>2</v>
      </c>
      <c r="E88" s="231">
        <v>0</v>
      </c>
      <c r="F88" s="804">
        <v>2</v>
      </c>
      <c r="G88" s="801">
        <f t="shared" si="16"/>
        <v>2</v>
      </c>
      <c r="H88" s="31">
        <v>525</v>
      </c>
      <c r="I88" s="802">
        <f t="shared" si="17"/>
        <v>1050</v>
      </c>
      <c r="J88" s="802">
        <f t="shared" si="18"/>
        <v>0</v>
      </c>
      <c r="K88" s="799">
        <f t="shared" si="19"/>
        <v>1050</v>
      </c>
      <c r="L88" s="499">
        <f t="shared" si="15"/>
        <v>1050</v>
      </c>
      <c r="M88" s="796"/>
      <c r="N88" s="796"/>
      <c r="O88" s="796"/>
      <c r="P88" s="796"/>
      <c r="Q88" s="796"/>
    </row>
    <row r="89" spans="1:30" s="797" customFormat="1" ht="26.25" customHeight="1" x14ac:dyDescent="0.2">
      <c r="A89" s="798">
        <v>5.4</v>
      </c>
      <c r="B89" s="799" t="s">
        <v>409</v>
      </c>
      <c r="C89" s="800" t="s">
        <v>406</v>
      </c>
      <c r="D89" s="800">
        <v>2</v>
      </c>
      <c r="E89" s="231">
        <v>0</v>
      </c>
      <c r="F89" s="804">
        <v>2</v>
      </c>
      <c r="G89" s="801">
        <f t="shared" si="16"/>
        <v>2</v>
      </c>
      <c r="H89" s="31">
        <v>900</v>
      </c>
      <c r="I89" s="802">
        <f t="shared" si="17"/>
        <v>1800</v>
      </c>
      <c r="J89" s="802">
        <f t="shared" si="18"/>
        <v>0</v>
      </c>
      <c r="K89" s="799">
        <f t="shared" si="19"/>
        <v>1800</v>
      </c>
      <c r="L89" s="499">
        <f t="shared" si="15"/>
        <v>1800</v>
      </c>
      <c r="M89" s="796"/>
      <c r="N89" s="796"/>
      <c r="O89" s="796"/>
      <c r="P89" s="796"/>
      <c r="Q89" s="796"/>
    </row>
    <row r="90" spans="1:30" s="797" customFormat="1" ht="26.25" customHeight="1" x14ac:dyDescent="0.2">
      <c r="A90" s="798">
        <v>5.5</v>
      </c>
      <c r="B90" s="799" t="s">
        <v>410</v>
      </c>
      <c r="C90" s="800" t="s">
        <v>406</v>
      </c>
      <c r="D90" s="800">
        <v>1</v>
      </c>
      <c r="E90" s="231"/>
      <c r="F90" s="804"/>
      <c r="G90" s="801">
        <f t="shared" si="16"/>
        <v>0</v>
      </c>
      <c r="H90" s="31">
        <v>2400</v>
      </c>
      <c r="I90" s="802">
        <f t="shared" si="17"/>
        <v>2400</v>
      </c>
      <c r="J90" s="802">
        <f t="shared" si="18"/>
        <v>0</v>
      </c>
      <c r="K90" s="799">
        <f t="shared" si="19"/>
        <v>0</v>
      </c>
      <c r="L90" s="499">
        <f t="shared" si="15"/>
        <v>0</v>
      </c>
      <c r="M90" s="796"/>
      <c r="N90" s="796"/>
      <c r="O90" s="796"/>
      <c r="P90" s="796"/>
      <c r="Q90" s="796"/>
    </row>
    <row r="91" spans="1:30" s="797" customFormat="1" ht="26.25" customHeight="1" x14ac:dyDescent="0.2">
      <c r="A91" s="798">
        <v>5.6</v>
      </c>
      <c r="B91" s="799" t="s">
        <v>411</v>
      </c>
      <c r="C91" s="800" t="s">
        <v>406</v>
      </c>
      <c r="D91" s="800">
        <v>2</v>
      </c>
      <c r="E91" s="231"/>
      <c r="F91" s="804">
        <v>2</v>
      </c>
      <c r="G91" s="801">
        <f t="shared" si="16"/>
        <v>2</v>
      </c>
      <c r="H91" s="31">
        <v>1125</v>
      </c>
      <c r="I91" s="802">
        <f t="shared" si="17"/>
        <v>2250</v>
      </c>
      <c r="J91" s="802">
        <f t="shared" si="18"/>
        <v>0</v>
      </c>
      <c r="K91" s="799">
        <f t="shared" si="19"/>
        <v>2250</v>
      </c>
      <c r="L91" s="499">
        <f t="shared" si="15"/>
        <v>2250</v>
      </c>
      <c r="M91" s="796"/>
      <c r="N91" s="796"/>
      <c r="O91" s="796"/>
      <c r="P91" s="796"/>
      <c r="Q91" s="796"/>
    </row>
    <row r="92" spans="1:30" s="797" customFormat="1" ht="26.25" customHeight="1" x14ac:dyDescent="0.2">
      <c r="A92" s="805">
        <v>5.7</v>
      </c>
      <c r="B92" s="799" t="s">
        <v>412</v>
      </c>
      <c r="C92" s="800" t="s">
        <v>406</v>
      </c>
      <c r="D92" s="800">
        <v>3</v>
      </c>
      <c r="E92" s="231"/>
      <c r="F92" s="804">
        <v>2</v>
      </c>
      <c r="G92" s="801">
        <f t="shared" si="16"/>
        <v>2</v>
      </c>
      <c r="H92" s="31">
        <v>750</v>
      </c>
      <c r="I92" s="802">
        <f t="shared" si="17"/>
        <v>2250</v>
      </c>
      <c r="J92" s="802">
        <f t="shared" si="18"/>
        <v>0</v>
      </c>
      <c r="K92" s="799">
        <f t="shared" si="19"/>
        <v>1500</v>
      </c>
      <c r="L92" s="499">
        <f t="shared" si="15"/>
        <v>1500</v>
      </c>
      <c r="M92" s="796"/>
      <c r="N92" s="796"/>
      <c r="O92" s="796"/>
      <c r="P92" s="796"/>
      <c r="Q92" s="796"/>
    </row>
    <row r="93" spans="1:30" s="797" customFormat="1" ht="26.25" customHeight="1" x14ac:dyDescent="0.2">
      <c r="A93" s="798">
        <v>5.8</v>
      </c>
      <c r="B93" s="799" t="s">
        <v>413</v>
      </c>
      <c r="C93" s="800" t="s">
        <v>406</v>
      </c>
      <c r="D93" s="800">
        <v>10</v>
      </c>
      <c r="E93" s="231"/>
      <c r="F93" s="804">
        <v>10</v>
      </c>
      <c r="G93" s="801">
        <f t="shared" si="16"/>
        <v>10</v>
      </c>
      <c r="H93" s="31">
        <v>3000</v>
      </c>
      <c r="I93" s="802">
        <f t="shared" si="17"/>
        <v>30000</v>
      </c>
      <c r="J93" s="802">
        <f t="shared" si="18"/>
        <v>0</v>
      </c>
      <c r="K93" s="799">
        <f t="shared" si="19"/>
        <v>30000</v>
      </c>
      <c r="L93" s="499">
        <f t="shared" si="15"/>
        <v>30000</v>
      </c>
      <c r="M93" s="796"/>
      <c r="N93" s="796"/>
      <c r="O93" s="796"/>
      <c r="P93" s="796"/>
      <c r="Q93" s="796"/>
    </row>
    <row r="94" spans="1:30" s="797" customFormat="1" ht="21.75" customHeight="1" x14ac:dyDescent="0.2">
      <c r="A94" s="805">
        <v>5.9</v>
      </c>
      <c r="B94" s="799" t="s">
        <v>414</v>
      </c>
      <c r="C94" s="800" t="s">
        <v>406</v>
      </c>
      <c r="D94" s="800">
        <v>2</v>
      </c>
      <c r="E94" s="231"/>
      <c r="F94" s="804">
        <v>2</v>
      </c>
      <c r="G94" s="801">
        <f t="shared" si="16"/>
        <v>2</v>
      </c>
      <c r="H94" s="31">
        <v>2000</v>
      </c>
      <c r="I94" s="802">
        <f t="shared" si="17"/>
        <v>4000</v>
      </c>
      <c r="J94" s="802">
        <f t="shared" si="18"/>
        <v>0</v>
      </c>
      <c r="K94" s="799">
        <f t="shared" si="19"/>
        <v>4000</v>
      </c>
      <c r="L94" s="499">
        <f t="shared" si="15"/>
        <v>4000</v>
      </c>
      <c r="M94" s="806"/>
      <c r="N94" s="806"/>
      <c r="O94" s="806"/>
    </row>
    <row r="95" spans="1:30" ht="23.25" customHeight="1" x14ac:dyDescent="0.2">
      <c r="A95" s="798">
        <v>5.0999999999999996</v>
      </c>
      <c r="B95" s="799" t="s">
        <v>415</v>
      </c>
      <c r="C95" s="800" t="s">
        <v>406</v>
      </c>
      <c r="D95" s="800">
        <v>1</v>
      </c>
      <c r="E95" s="231"/>
      <c r="F95" s="799">
        <v>1</v>
      </c>
      <c r="G95" s="801">
        <f>F95+E95</f>
        <v>1</v>
      </c>
      <c r="H95" s="31">
        <v>1600</v>
      </c>
      <c r="I95" s="802">
        <f t="shared" si="17"/>
        <v>1600</v>
      </c>
      <c r="J95" s="802">
        <f t="shared" si="18"/>
        <v>0</v>
      </c>
      <c r="K95" s="799">
        <f t="shared" si="19"/>
        <v>1600</v>
      </c>
      <c r="L95" s="499">
        <f t="shared" si="15"/>
        <v>1600</v>
      </c>
      <c r="M95" s="324"/>
      <c r="N95" s="324"/>
      <c r="O95" s="324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</row>
    <row r="96" spans="1:30" s="312" customFormat="1" ht="23.25" customHeight="1" x14ac:dyDescent="0.2">
      <c r="A96" s="807"/>
      <c r="B96" s="808" t="s">
        <v>416</v>
      </c>
      <c r="C96" s="809"/>
      <c r="D96" s="809"/>
      <c r="E96" s="707"/>
      <c r="F96" s="810"/>
      <c r="G96" s="801"/>
      <c r="H96" s="50"/>
      <c r="I96" s="802">
        <f t="shared" si="17"/>
        <v>0</v>
      </c>
      <c r="J96" s="802">
        <f t="shared" si="18"/>
        <v>0</v>
      </c>
      <c r="K96" s="799">
        <f t="shared" si="19"/>
        <v>0</v>
      </c>
      <c r="L96" s="499">
        <f t="shared" si="15"/>
        <v>0</v>
      </c>
      <c r="M96" s="324"/>
      <c r="N96" s="324"/>
      <c r="O96" s="324"/>
    </row>
    <row r="97" spans="1:30" ht="23.25" customHeight="1" x14ac:dyDescent="0.2">
      <c r="A97" s="807">
        <v>5.1100000000000003</v>
      </c>
      <c r="B97" s="808" t="s">
        <v>417</v>
      </c>
      <c r="C97" s="800" t="s">
        <v>406</v>
      </c>
      <c r="D97" s="809">
        <v>6</v>
      </c>
      <c r="E97" s="707"/>
      <c r="F97" s="810">
        <v>4</v>
      </c>
      <c r="G97" s="801">
        <f>F97+E97</f>
        <v>4</v>
      </c>
      <c r="H97" s="50">
        <v>2362.5</v>
      </c>
      <c r="I97" s="802">
        <f t="shared" si="17"/>
        <v>14175</v>
      </c>
      <c r="J97" s="802">
        <f t="shared" si="18"/>
        <v>0</v>
      </c>
      <c r="K97" s="799">
        <f t="shared" si="19"/>
        <v>9450</v>
      </c>
      <c r="L97" s="499">
        <f t="shared" si="15"/>
        <v>9450</v>
      </c>
      <c r="M97" s="324"/>
      <c r="N97" s="324"/>
      <c r="O97" s="324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</row>
    <row r="98" spans="1:30" s="278" customFormat="1" ht="23.25" customHeight="1" x14ac:dyDescent="0.2">
      <c r="A98" s="807">
        <v>5.12</v>
      </c>
      <c r="B98" s="808" t="s">
        <v>418</v>
      </c>
      <c r="C98" s="800" t="s">
        <v>406</v>
      </c>
      <c r="D98" s="809">
        <v>1</v>
      </c>
      <c r="E98" s="809"/>
      <c r="F98" s="809">
        <v>1</v>
      </c>
      <c r="G98" s="809">
        <f>F98+E98</f>
        <v>1</v>
      </c>
      <c r="H98" s="51">
        <v>2700</v>
      </c>
      <c r="I98" s="802">
        <f t="shared" si="17"/>
        <v>2700</v>
      </c>
      <c r="J98" s="802">
        <f t="shared" si="18"/>
        <v>0</v>
      </c>
      <c r="K98" s="799">
        <f t="shared" si="19"/>
        <v>2700</v>
      </c>
      <c r="L98" s="499">
        <f t="shared" si="15"/>
        <v>2700</v>
      </c>
    </row>
    <row r="99" spans="1:30" s="278" customFormat="1" ht="23.25" customHeight="1" x14ac:dyDescent="0.2">
      <c r="A99" s="807">
        <v>5.13</v>
      </c>
      <c r="B99" s="808" t="s">
        <v>419</v>
      </c>
      <c r="C99" s="800" t="s">
        <v>406</v>
      </c>
      <c r="D99" s="809">
        <v>2</v>
      </c>
      <c r="E99" s="809"/>
      <c r="F99" s="809">
        <v>2</v>
      </c>
      <c r="G99" s="809">
        <f>F99+E99</f>
        <v>2</v>
      </c>
      <c r="H99" s="51">
        <v>4725</v>
      </c>
      <c r="I99" s="802">
        <f t="shared" si="17"/>
        <v>9450</v>
      </c>
      <c r="J99" s="802">
        <f t="shared" si="18"/>
        <v>0</v>
      </c>
      <c r="K99" s="799">
        <f t="shared" si="19"/>
        <v>9450</v>
      </c>
      <c r="L99" s="499">
        <f t="shared" si="15"/>
        <v>9450</v>
      </c>
    </row>
    <row r="100" spans="1:30" s="278" customFormat="1" ht="23.25" customHeight="1" x14ac:dyDescent="0.2">
      <c r="A100" s="811"/>
      <c r="B100" s="808"/>
      <c r="C100" s="812"/>
      <c r="D100" s="809"/>
      <c r="E100" s="707"/>
      <c r="F100" s="809"/>
      <c r="G100" s="810"/>
      <c r="H100" s="50"/>
      <c r="I100" s="809"/>
      <c r="J100" s="802">
        <f>F100*H100</f>
        <v>0</v>
      </c>
      <c r="K100" s="799">
        <f t="shared" si="19"/>
        <v>0</v>
      </c>
      <c r="L100" s="499">
        <f t="shared" si="15"/>
        <v>0</v>
      </c>
    </row>
    <row r="101" spans="1:30" s="278" customFormat="1" ht="23.25" customHeight="1" thickBot="1" x14ac:dyDescent="0.2">
      <c r="A101" s="580"/>
      <c r="B101" s="1101" t="s">
        <v>64</v>
      </c>
      <c r="C101" s="1102"/>
      <c r="D101" s="1102"/>
      <c r="E101" s="1102"/>
      <c r="F101" s="1102"/>
      <c r="G101" s="1102"/>
      <c r="H101" s="1103"/>
      <c r="I101" s="568">
        <f>SUM(I86:I100)</f>
        <v>91035</v>
      </c>
      <c r="J101" s="568">
        <f>SUM(J86:J100)</f>
        <v>0</v>
      </c>
      <c r="K101" s="568">
        <f>SUM(K86:K100)</f>
        <v>63800</v>
      </c>
      <c r="L101" s="568">
        <f>SUM(L86:L100)</f>
        <v>63800</v>
      </c>
    </row>
    <row r="102" spans="1:30" s="312" customFormat="1" ht="18" x14ac:dyDescent="0.2">
      <c r="A102" s="474"/>
      <c r="B102" s="475" t="s">
        <v>297</v>
      </c>
      <c r="C102" s="476"/>
      <c r="D102" s="476"/>
      <c r="E102" s="720"/>
      <c r="F102" s="720"/>
      <c r="G102" s="720"/>
      <c r="H102" s="721"/>
      <c r="I102" s="721"/>
      <c r="J102" s="362"/>
      <c r="K102" s="362"/>
      <c r="L102" s="362"/>
      <c r="M102" s="628"/>
      <c r="N102" s="628"/>
      <c r="O102" s="628"/>
      <c r="P102" s="628"/>
      <c r="Q102" s="628"/>
      <c r="R102" s="628"/>
      <c r="S102" s="628"/>
      <c r="T102" s="628"/>
      <c r="U102" s="628"/>
      <c r="V102" s="628"/>
    </row>
    <row r="103" spans="1:30" s="312" customFormat="1" ht="18" x14ac:dyDescent="0.2">
      <c r="A103" s="451">
        <v>6.1</v>
      </c>
      <c r="B103" s="452" t="s">
        <v>298</v>
      </c>
      <c r="C103" s="476"/>
      <c r="D103" s="476"/>
      <c r="E103" s="244"/>
      <c r="F103" s="244"/>
      <c r="G103" s="244"/>
      <c r="H103" s="244"/>
      <c r="I103" s="244"/>
      <c r="J103" s="244"/>
      <c r="K103" s="244"/>
      <c r="L103" s="244"/>
      <c r="M103" s="628"/>
      <c r="N103" s="628"/>
      <c r="O103" s="628"/>
      <c r="P103" s="628"/>
      <c r="Q103" s="628"/>
      <c r="R103" s="628"/>
      <c r="S103" s="628"/>
      <c r="T103" s="628"/>
      <c r="U103" s="628"/>
      <c r="V103" s="628"/>
    </row>
    <row r="104" spans="1:30" s="312" customFormat="1" ht="20.25" x14ac:dyDescent="0.2">
      <c r="A104" s="451"/>
      <c r="B104" s="452" t="s">
        <v>299</v>
      </c>
      <c r="C104" s="218" t="s">
        <v>303</v>
      </c>
      <c r="D104" s="218">
        <v>190.04</v>
      </c>
      <c r="E104" s="244">
        <v>128.79</v>
      </c>
      <c r="F104" s="244"/>
      <c r="G104" s="244">
        <f t="shared" ref="G104:G110" si="20">F104+E104</f>
        <v>128.79</v>
      </c>
      <c r="H104" s="232">
        <v>110</v>
      </c>
      <c r="I104" s="232">
        <f t="shared" ref="I104:I109" si="21">H104*D104</f>
        <v>20904.399999999998</v>
      </c>
      <c r="J104" s="130">
        <f t="shared" ref="J104:J109" si="22">H104*E104</f>
        <v>14166.9</v>
      </c>
      <c r="K104" s="130">
        <f t="shared" ref="K104:K109" si="23">H104*F104</f>
        <v>0</v>
      </c>
      <c r="L104" s="244">
        <f t="shared" ref="L104:L109" si="24">K104+J104</f>
        <v>14166.9</v>
      </c>
      <c r="M104" s="628"/>
      <c r="N104" s="628"/>
      <c r="O104" s="628"/>
      <c r="P104" s="628"/>
      <c r="Q104" s="628"/>
      <c r="R104" s="628"/>
      <c r="S104" s="628"/>
      <c r="T104" s="628"/>
      <c r="U104" s="628"/>
      <c r="V104" s="628"/>
    </row>
    <row r="105" spans="1:30" s="312" customFormat="1" ht="25.5" customHeight="1" x14ac:dyDescent="0.2">
      <c r="A105" s="451">
        <v>6.2</v>
      </c>
      <c r="B105" s="452" t="s">
        <v>301</v>
      </c>
      <c r="C105" s="218"/>
      <c r="D105" s="218"/>
      <c r="E105" s="381"/>
      <c r="F105" s="381"/>
      <c r="G105" s="244">
        <f t="shared" si="20"/>
        <v>0</v>
      </c>
      <c r="H105" s="232"/>
      <c r="I105" s="232">
        <f t="shared" si="21"/>
        <v>0</v>
      </c>
      <c r="J105" s="130">
        <f t="shared" si="22"/>
        <v>0</v>
      </c>
      <c r="K105" s="130">
        <f t="shared" si="23"/>
        <v>0</v>
      </c>
      <c r="L105" s="244">
        <f t="shared" si="24"/>
        <v>0</v>
      </c>
      <c r="M105" s="628"/>
      <c r="N105" s="628"/>
      <c r="O105" s="628"/>
      <c r="P105" s="628"/>
      <c r="Q105" s="628"/>
      <c r="R105" s="628"/>
      <c r="S105" s="628"/>
      <c r="T105" s="628"/>
      <c r="U105" s="628"/>
      <c r="V105" s="628"/>
    </row>
    <row r="106" spans="1:30" s="312" customFormat="1" ht="21.75" customHeight="1" x14ac:dyDescent="0.2">
      <c r="A106" s="451"/>
      <c r="B106" s="453" t="s">
        <v>302</v>
      </c>
      <c r="C106" s="218" t="s">
        <v>303</v>
      </c>
      <c r="D106" s="218">
        <v>687.86</v>
      </c>
      <c r="E106" s="244"/>
      <c r="F106" s="381">
        <v>600</v>
      </c>
      <c r="G106" s="244">
        <f t="shared" si="20"/>
        <v>600</v>
      </c>
      <c r="H106" s="232">
        <v>140</v>
      </c>
      <c r="I106" s="232">
        <f t="shared" si="21"/>
        <v>96300.400000000009</v>
      </c>
      <c r="J106" s="130">
        <f t="shared" si="22"/>
        <v>0</v>
      </c>
      <c r="K106" s="130">
        <f t="shared" si="23"/>
        <v>84000</v>
      </c>
      <c r="L106" s="244">
        <f t="shared" si="24"/>
        <v>84000</v>
      </c>
      <c r="M106" s="628"/>
      <c r="N106" s="628"/>
      <c r="O106" s="628"/>
      <c r="P106" s="628"/>
      <c r="Q106" s="628"/>
      <c r="R106" s="628"/>
      <c r="S106" s="628"/>
      <c r="T106" s="628"/>
      <c r="U106" s="628"/>
      <c r="V106" s="628"/>
    </row>
    <row r="107" spans="1:30" s="312" customFormat="1" ht="21.75" customHeight="1" x14ac:dyDescent="0.2">
      <c r="A107" s="936">
        <v>6.3</v>
      </c>
      <c r="B107" s="887" t="s">
        <v>535</v>
      </c>
      <c r="C107" s="218" t="s">
        <v>303</v>
      </c>
      <c r="D107" s="236">
        <v>254</v>
      </c>
      <c r="E107" s="925"/>
      <c r="F107" s="925">
        <v>242.78</v>
      </c>
      <c r="G107" s="244">
        <f t="shared" si="20"/>
        <v>242.78</v>
      </c>
      <c r="H107" s="235">
        <v>340</v>
      </c>
      <c r="I107" s="232">
        <f t="shared" si="21"/>
        <v>86360</v>
      </c>
      <c r="J107" s="130">
        <f t="shared" si="22"/>
        <v>0</v>
      </c>
      <c r="K107" s="130">
        <f t="shared" si="23"/>
        <v>82545.2</v>
      </c>
      <c r="L107" s="244">
        <f t="shared" si="24"/>
        <v>82545.2</v>
      </c>
      <c r="M107" s="628"/>
      <c r="N107" s="628"/>
      <c r="O107" s="628"/>
      <c r="P107" s="628"/>
      <c r="Q107" s="628"/>
      <c r="R107" s="628"/>
      <c r="S107" s="628"/>
      <c r="T107" s="628"/>
      <c r="U107" s="628"/>
      <c r="V107" s="628"/>
    </row>
    <row r="108" spans="1:30" s="312" customFormat="1" ht="21.75" customHeight="1" x14ac:dyDescent="0.2">
      <c r="A108" s="936">
        <v>6.5</v>
      </c>
      <c r="B108" s="887" t="s">
        <v>533</v>
      </c>
      <c r="C108" s="218" t="s">
        <v>303</v>
      </c>
      <c r="D108" s="236">
        <v>213</v>
      </c>
      <c r="E108" s="925"/>
      <c r="F108" s="925"/>
      <c r="G108" s="244">
        <f t="shared" si="20"/>
        <v>0</v>
      </c>
      <c r="H108" s="235">
        <v>380</v>
      </c>
      <c r="I108" s="232">
        <f t="shared" si="21"/>
        <v>80940</v>
      </c>
      <c r="J108" s="130">
        <f t="shared" si="22"/>
        <v>0</v>
      </c>
      <c r="K108" s="130">
        <f t="shared" si="23"/>
        <v>0</v>
      </c>
      <c r="L108" s="244">
        <f t="shared" si="24"/>
        <v>0</v>
      </c>
      <c r="M108" s="628"/>
      <c r="N108" s="628"/>
      <c r="O108" s="628"/>
      <c r="P108" s="628"/>
      <c r="Q108" s="628"/>
      <c r="R108" s="628"/>
      <c r="S108" s="628"/>
      <c r="T108" s="628"/>
      <c r="U108" s="628"/>
      <c r="V108" s="628"/>
    </row>
    <row r="109" spans="1:30" s="312" customFormat="1" ht="21.75" customHeight="1" x14ac:dyDescent="0.2">
      <c r="A109" s="936">
        <v>6.6</v>
      </c>
      <c r="B109" s="887" t="s">
        <v>536</v>
      </c>
      <c r="C109" s="218" t="s">
        <v>174</v>
      </c>
      <c r="D109" s="236">
        <v>273</v>
      </c>
      <c r="E109" s="925"/>
      <c r="F109" s="925"/>
      <c r="G109" s="244">
        <f t="shared" si="20"/>
        <v>0</v>
      </c>
      <c r="H109" s="235">
        <v>50</v>
      </c>
      <c r="I109" s="232">
        <f t="shared" si="21"/>
        <v>13650</v>
      </c>
      <c r="J109" s="130">
        <f t="shared" si="22"/>
        <v>0</v>
      </c>
      <c r="K109" s="130">
        <f t="shared" si="23"/>
        <v>0</v>
      </c>
      <c r="L109" s="244">
        <f t="shared" si="24"/>
        <v>0</v>
      </c>
      <c r="M109" s="628"/>
      <c r="N109" s="628"/>
      <c r="O109" s="628"/>
      <c r="P109" s="628"/>
      <c r="Q109" s="628"/>
      <c r="R109" s="628"/>
      <c r="S109" s="628"/>
      <c r="T109" s="628"/>
      <c r="U109" s="628"/>
      <c r="V109" s="628"/>
    </row>
    <row r="110" spans="1:30" s="312" customFormat="1" ht="21.75" customHeight="1" x14ac:dyDescent="0.2">
      <c r="A110" s="938"/>
      <c r="B110" s="939"/>
      <c r="C110" s="218"/>
      <c r="D110" s="218"/>
      <c r="E110" s="244"/>
      <c r="F110" s="244"/>
      <c r="G110" s="244">
        <f t="shared" si="20"/>
        <v>0</v>
      </c>
      <c r="H110" s="232"/>
      <c r="I110" s="232"/>
      <c r="J110" s="130"/>
      <c r="K110" s="130"/>
      <c r="L110" s="244"/>
      <c r="M110" s="628"/>
      <c r="N110" s="628"/>
      <c r="O110" s="628"/>
      <c r="P110" s="628"/>
      <c r="Q110" s="628"/>
      <c r="R110" s="628"/>
      <c r="S110" s="628"/>
      <c r="T110" s="628"/>
      <c r="U110" s="628"/>
      <c r="V110" s="628"/>
    </row>
    <row r="111" spans="1:30" s="582" customFormat="1" ht="27" customHeight="1" thickBot="1" x14ac:dyDescent="0.25">
      <c r="A111" s="599"/>
      <c r="B111" s="1171" t="s">
        <v>64</v>
      </c>
      <c r="C111" s="1172"/>
      <c r="D111" s="1172"/>
      <c r="E111" s="1172"/>
      <c r="F111" s="1172"/>
      <c r="G111" s="1172"/>
      <c r="H111" s="1173"/>
      <c r="I111" s="600">
        <f>SUM(I104:I110)</f>
        <v>298154.8</v>
      </c>
      <c r="J111" s="600">
        <f>SUM(J104:J110)</f>
        <v>14166.9</v>
      </c>
      <c r="K111" s="600">
        <f>SUM(K104:K110)</f>
        <v>166545.20000000001</v>
      </c>
      <c r="L111" s="600">
        <f>SUM(L104:L110)</f>
        <v>180712.09999999998</v>
      </c>
      <c r="M111" s="628"/>
      <c r="N111" s="628"/>
      <c r="O111" s="628"/>
      <c r="P111" s="628"/>
      <c r="Q111" s="628"/>
      <c r="R111" s="628"/>
      <c r="S111" s="628"/>
      <c r="T111" s="628"/>
      <c r="U111" s="628"/>
      <c r="V111" s="628"/>
    </row>
    <row r="112" spans="1:30" x14ac:dyDescent="0.15">
      <c r="A112" s="84"/>
      <c r="B112" s="84"/>
      <c r="C112" s="321"/>
      <c r="D112" s="84"/>
      <c r="E112" s="84"/>
      <c r="F112" s="84"/>
      <c r="G112" s="84"/>
      <c r="H112" s="84"/>
      <c r="I112" s="84"/>
      <c r="J112" s="84"/>
      <c r="K112" s="84"/>
      <c r="L112" s="84"/>
    </row>
    <row r="113" spans="1:12" x14ac:dyDescent="0.15">
      <c r="A113" s="84"/>
      <c r="B113" s="84"/>
      <c r="C113" s="321"/>
      <c r="D113" s="84"/>
      <c r="E113" s="84"/>
      <c r="F113" s="84"/>
      <c r="G113" s="84"/>
      <c r="H113" s="84"/>
      <c r="I113" s="84"/>
      <c r="J113" s="84"/>
      <c r="K113" s="84"/>
      <c r="L113" s="84"/>
    </row>
    <row r="114" spans="1:12" x14ac:dyDescent="0.15">
      <c r="A114" s="84"/>
      <c r="B114" s="84"/>
      <c r="C114" s="321"/>
      <c r="D114" s="84"/>
      <c r="E114" s="84"/>
      <c r="F114" s="84"/>
      <c r="G114" s="84"/>
      <c r="H114" s="84"/>
      <c r="I114" s="84"/>
      <c r="J114" s="84"/>
      <c r="K114" s="84"/>
      <c r="L114" s="84"/>
    </row>
    <row r="115" spans="1:12" x14ac:dyDescent="0.15">
      <c r="A115" s="84"/>
      <c r="B115" s="84"/>
      <c r="C115" s="321"/>
      <c r="D115" s="84"/>
      <c r="E115" s="84"/>
      <c r="F115" s="84"/>
      <c r="G115" s="84"/>
      <c r="H115" s="84"/>
      <c r="I115" s="84"/>
      <c r="J115" s="84"/>
      <c r="K115" s="84"/>
      <c r="L115" s="84"/>
    </row>
    <row r="116" spans="1:12" x14ac:dyDescent="0.15">
      <c r="A116" s="84"/>
      <c r="B116" s="84"/>
      <c r="C116" s="321"/>
      <c r="D116" s="84"/>
      <c r="E116" s="84"/>
      <c r="F116" s="84"/>
      <c r="G116" s="84"/>
      <c r="H116" s="84"/>
      <c r="I116" s="84"/>
      <c r="J116" s="84"/>
      <c r="K116" s="84"/>
      <c r="L116" s="84"/>
    </row>
    <row r="117" spans="1:12" x14ac:dyDescent="0.15">
      <c r="A117" s="84"/>
      <c r="B117" s="84"/>
      <c r="C117" s="321"/>
      <c r="D117" s="84"/>
      <c r="E117" s="84"/>
      <c r="F117" s="84"/>
      <c r="G117" s="84"/>
      <c r="H117" s="84"/>
      <c r="I117" s="84"/>
      <c r="J117" s="84"/>
      <c r="K117" s="84"/>
      <c r="L117" s="84"/>
    </row>
    <row r="118" spans="1:12" x14ac:dyDescent="0.15">
      <c r="A118" s="84"/>
      <c r="B118" s="84"/>
      <c r="C118" s="321"/>
      <c r="D118" s="84"/>
      <c r="E118" s="84"/>
      <c r="F118" s="84"/>
      <c r="G118" s="84"/>
      <c r="H118" s="84"/>
      <c r="I118" s="84"/>
      <c r="J118" s="84"/>
      <c r="K118" s="84"/>
      <c r="L118" s="84"/>
    </row>
    <row r="119" spans="1:12" x14ac:dyDescent="0.15">
      <c r="A119" s="84"/>
      <c r="B119" s="84"/>
      <c r="C119" s="321"/>
      <c r="D119" s="84"/>
      <c r="E119" s="84"/>
      <c r="F119" s="84"/>
      <c r="G119" s="84"/>
      <c r="H119" s="84"/>
      <c r="I119" s="84"/>
      <c r="J119" s="84"/>
      <c r="K119" s="84"/>
      <c r="L119" s="84"/>
    </row>
    <row r="120" spans="1:12" x14ac:dyDescent="0.15">
      <c r="A120" s="84"/>
      <c r="B120" s="84"/>
      <c r="C120" s="321"/>
      <c r="D120" s="84"/>
      <c r="E120" s="84"/>
      <c r="F120" s="84"/>
      <c r="G120" s="84"/>
      <c r="H120" s="84"/>
      <c r="I120" s="84"/>
      <c r="J120" s="84"/>
      <c r="K120" s="84"/>
      <c r="L120" s="84"/>
    </row>
    <row r="121" spans="1:12" x14ac:dyDescent="0.15">
      <c r="A121" s="84"/>
      <c r="B121" s="84"/>
      <c r="C121" s="321"/>
      <c r="D121" s="84"/>
      <c r="E121" s="84"/>
      <c r="F121" s="84"/>
      <c r="G121" s="84"/>
      <c r="H121" s="84"/>
      <c r="I121" s="84"/>
      <c r="J121" s="84"/>
      <c r="K121" s="84"/>
      <c r="L121" s="84"/>
    </row>
    <row r="122" spans="1:12" x14ac:dyDescent="0.15">
      <c r="A122" s="84"/>
      <c r="B122" s="84"/>
      <c r="C122" s="321"/>
      <c r="D122" s="84"/>
      <c r="E122" s="84"/>
      <c r="F122" s="84"/>
      <c r="G122" s="84"/>
      <c r="H122" s="84"/>
      <c r="I122" s="84"/>
      <c r="J122" s="84"/>
      <c r="K122" s="84"/>
      <c r="L122" s="84"/>
    </row>
    <row r="123" spans="1:12" x14ac:dyDescent="0.15">
      <c r="A123" s="84"/>
      <c r="B123" s="84"/>
      <c r="C123" s="321"/>
      <c r="D123" s="84"/>
      <c r="E123" s="84"/>
      <c r="F123" s="84"/>
      <c r="G123" s="84"/>
      <c r="H123" s="84"/>
      <c r="I123" s="84"/>
      <c r="J123" s="84"/>
      <c r="K123" s="84"/>
      <c r="L123" s="84"/>
    </row>
    <row r="124" spans="1:12" x14ac:dyDescent="0.15">
      <c r="A124" s="84"/>
      <c r="B124" s="84"/>
      <c r="C124" s="321"/>
      <c r="D124" s="84"/>
      <c r="E124" s="84"/>
      <c r="F124" s="84"/>
      <c r="G124" s="84"/>
      <c r="H124" s="84"/>
      <c r="I124" s="84"/>
      <c r="J124" s="84"/>
      <c r="K124" s="84"/>
      <c r="L124" s="84"/>
    </row>
    <row r="125" spans="1:12" x14ac:dyDescent="0.15">
      <c r="A125" s="84"/>
      <c r="B125" s="84"/>
      <c r="C125" s="321"/>
      <c r="D125" s="84"/>
      <c r="E125" s="84"/>
      <c r="F125" s="84"/>
      <c r="G125" s="84"/>
      <c r="H125" s="84"/>
      <c r="I125" s="84"/>
      <c r="J125" s="84"/>
      <c r="K125" s="84"/>
      <c r="L125" s="84"/>
    </row>
    <row r="126" spans="1:12" x14ac:dyDescent="0.15">
      <c r="A126" s="84"/>
      <c r="B126" s="84"/>
      <c r="C126" s="321"/>
      <c r="D126" s="84"/>
      <c r="E126" s="84"/>
      <c r="F126" s="84"/>
      <c r="G126" s="84"/>
      <c r="H126" s="84"/>
      <c r="I126" s="84"/>
      <c r="J126" s="84"/>
      <c r="K126" s="84"/>
      <c r="L126" s="84"/>
    </row>
    <row r="127" spans="1:12" x14ac:dyDescent="0.15">
      <c r="A127" s="84"/>
      <c r="B127" s="84"/>
      <c r="C127" s="321"/>
      <c r="D127" s="84"/>
      <c r="E127" s="84"/>
      <c r="F127" s="84"/>
      <c r="G127" s="84"/>
      <c r="H127" s="84"/>
      <c r="I127" s="84"/>
      <c r="J127" s="84"/>
      <c r="K127" s="84"/>
      <c r="L127" s="84"/>
    </row>
    <row r="128" spans="1:12" x14ac:dyDescent="0.15">
      <c r="A128" s="84"/>
      <c r="B128" s="84"/>
      <c r="C128" s="321"/>
      <c r="D128" s="84"/>
      <c r="E128" s="84"/>
      <c r="F128" s="84"/>
      <c r="G128" s="84"/>
      <c r="H128" s="84"/>
      <c r="I128" s="84"/>
      <c r="J128" s="84"/>
      <c r="K128" s="84"/>
      <c r="L128" s="84"/>
    </row>
    <row r="129" spans="1:12" x14ac:dyDescent="0.15">
      <c r="A129" s="84"/>
      <c r="B129" s="84"/>
      <c r="C129" s="321"/>
      <c r="D129" s="84"/>
      <c r="E129" s="84"/>
      <c r="F129" s="84"/>
      <c r="G129" s="84"/>
      <c r="H129" s="84"/>
      <c r="I129" s="84"/>
      <c r="J129" s="84"/>
      <c r="K129" s="84"/>
      <c r="L129" s="84"/>
    </row>
    <row r="130" spans="1:12" x14ac:dyDescent="0.15">
      <c r="A130" s="84"/>
      <c r="B130" s="84"/>
      <c r="C130" s="321"/>
      <c r="D130" s="84"/>
      <c r="E130" s="84"/>
      <c r="F130" s="84"/>
      <c r="G130" s="84"/>
      <c r="H130" s="84"/>
      <c r="I130" s="84"/>
      <c r="J130" s="84"/>
      <c r="K130" s="84"/>
      <c r="L130" s="84"/>
    </row>
    <row r="131" spans="1:12" x14ac:dyDescent="0.15">
      <c r="A131" s="84"/>
      <c r="B131" s="84"/>
      <c r="C131" s="321"/>
      <c r="D131" s="84"/>
      <c r="E131" s="84"/>
      <c r="F131" s="84"/>
      <c r="G131" s="84"/>
      <c r="H131" s="84"/>
      <c r="I131" s="84"/>
      <c r="J131" s="84"/>
      <c r="K131" s="84"/>
      <c r="L131" s="84"/>
    </row>
    <row r="132" spans="1:12" x14ac:dyDescent="0.15">
      <c r="A132" s="84"/>
      <c r="B132" s="84"/>
      <c r="C132" s="321"/>
      <c r="D132" s="84"/>
      <c r="E132" s="84"/>
      <c r="F132" s="84"/>
      <c r="G132" s="84"/>
      <c r="H132" s="84"/>
      <c r="I132" s="84"/>
      <c r="J132" s="84"/>
      <c r="K132" s="84"/>
      <c r="L132" s="84"/>
    </row>
    <row r="133" spans="1:12" x14ac:dyDescent="0.15">
      <c r="A133" s="84"/>
      <c r="B133" s="84"/>
      <c r="C133" s="321"/>
      <c r="D133" s="84"/>
      <c r="E133" s="84"/>
      <c r="F133" s="84"/>
      <c r="G133" s="84"/>
      <c r="H133" s="84"/>
      <c r="I133" s="84"/>
      <c r="J133" s="84"/>
      <c r="K133" s="84"/>
      <c r="L133" s="84"/>
    </row>
    <row r="134" spans="1:12" x14ac:dyDescent="0.15">
      <c r="A134" s="84"/>
      <c r="B134" s="84"/>
      <c r="C134" s="321"/>
      <c r="D134" s="84"/>
      <c r="E134" s="84"/>
      <c r="F134" s="84"/>
      <c r="G134" s="84"/>
      <c r="H134" s="84"/>
      <c r="I134" s="84"/>
      <c r="J134" s="84"/>
      <c r="K134" s="84"/>
      <c r="L134" s="84"/>
    </row>
    <row r="135" spans="1:12" x14ac:dyDescent="0.15">
      <c r="A135" s="84"/>
      <c r="B135" s="84"/>
      <c r="C135" s="321"/>
      <c r="D135" s="84"/>
      <c r="E135" s="84"/>
      <c r="F135" s="84"/>
      <c r="G135" s="84"/>
      <c r="H135" s="84"/>
      <c r="I135" s="84"/>
      <c r="J135" s="84"/>
      <c r="K135" s="84"/>
      <c r="L135" s="84"/>
    </row>
    <row r="136" spans="1:12" x14ac:dyDescent="0.15">
      <c r="A136" s="84"/>
      <c r="B136" s="84"/>
      <c r="C136" s="321"/>
      <c r="D136" s="84"/>
      <c r="E136" s="84"/>
      <c r="F136" s="84"/>
      <c r="G136" s="84"/>
      <c r="H136" s="84"/>
      <c r="I136" s="84"/>
      <c r="J136" s="84"/>
      <c r="K136" s="84"/>
      <c r="L136" s="84"/>
    </row>
    <row r="137" spans="1:12" x14ac:dyDescent="0.15">
      <c r="A137" s="84"/>
      <c r="B137" s="84"/>
      <c r="C137" s="321"/>
      <c r="D137" s="84"/>
      <c r="E137" s="84"/>
      <c r="F137" s="84"/>
      <c r="G137" s="84"/>
      <c r="H137" s="84"/>
      <c r="I137" s="84"/>
      <c r="J137" s="84"/>
      <c r="K137" s="84"/>
      <c r="L137" s="84"/>
    </row>
    <row r="138" spans="1:12" x14ac:dyDescent="0.15">
      <c r="A138" s="84"/>
      <c r="B138" s="84"/>
      <c r="C138" s="321"/>
      <c r="D138" s="84"/>
      <c r="E138" s="84"/>
      <c r="F138" s="84"/>
      <c r="G138" s="84"/>
      <c r="H138" s="84"/>
      <c r="I138" s="84"/>
      <c r="J138" s="84"/>
      <c r="K138" s="84"/>
      <c r="L138" s="84"/>
    </row>
    <row r="139" spans="1:12" x14ac:dyDescent="0.15">
      <c r="A139" s="84"/>
      <c r="B139" s="84"/>
      <c r="C139" s="321"/>
      <c r="D139" s="84"/>
      <c r="E139" s="84"/>
      <c r="F139" s="84"/>
      <c r="G139" s="84"/>
      <c r="H139" s="84"/>
      <c r="I139" s="84"/>
      <c r="J139" s="84"/>
      <c r="K139" s="84"/>
      <c r="L139" s="84"/>
    </row>
    <row r="140" spans="1:12" x14ac:dyDescent="0.15">
      <c r="A140" s="84"/>
      <c r="B140" s="84"/>
      <c r="C140" s="321"/>
      <c r="D140" s="84"/>
      <c r="E140" s="84"/>
      <c r="F140" s="84"/>
      <c r="G140" s="84"/>
      <c r="H140" s="84"/>
      <c r="I140" s="84"/>
      <c r="J140" s="84"/>
      <c r="K140" s="84"/>
      <c r="L140" s="84"/>
    </row>
    <row r="141" spans="1:12" x14ac:dyDescent="0.15">
      <c r="A141" s="84"/>
      <c r="B141" s="84"/>
      <c r="C141" s="321"/>
      <c r="D141" s="84"/>
      <c r="E141" s="84"/>
      <c r="F141" s="84"/>
      <c r="G141" s="84"/>
      <c r="H141" s="84"/>
      <c r="I141" s="84"/>
      <c r="J141" s="84"/>
      <c r="K141" s="84"/>
      <c r="L141" s="84"/>
    </row>
    <row r="142" spans="1:12" x14ac:dyDescent="0.15">
      <c r="A142" s="84"/>
      <c r="B142" s="84"/>
      <c r="C142" s="321"/>
      <c r="D142" s="84"/>
      <c r="E142" s="84"/>
      <c r="F142" s="84"/>
      <c r="G142" s="84"/>
      <c r="H142" s="84"/>
      <c r="I142" s="84"/>
      <c r="J142" s="84"/>
      <c r="K142" s="84"/>
      <c r="L142" s="84"/>
    </row>
    <row r="143" spans="1:12" x14ac:dyDescent="0.15">
      <c r="A143" s="84"/>
      <c r="B143" s="84"/>
      <c r="C143" s="321"/>
      <c r="D143" s="84"/>
      <c r="E143" s="84"/>
      <c r="F143" s="84"/>
      <c r="G143" s="84"/>
      <c r="H143" s="84"/>
      <c r="I143" s="84"/>
      <c r="J143" s="84"/>
      <c r="K143" s="84"/>
      <c r="L143" s="84"/>
    </row>
    <row r="144" spans="1:12" x14ac:dyDescent="0.15">
      <c r="A144" s="84"/>
      <c r="B144" s="84"/>
      <c r="C144" s="321"/>
      <c r="D144" s="84"/>
      <c r="E144" s="84"/>
      <c r="F144" s="84"/>
      <c r="G144" s="84"/>
      <c r="H144" s="84"/>
      <c r="I144" s="84"/>
      <c r="J144" s="84"/>
      <c r="K144" s="84"/>
      <c r="L144" s="84"/>
    </row>
    <row r="145" spans="1:12" x14ac:dyDescent="0.15">
      <c r="A145" s="84"/>
      <c r="B145" s="84"/>
      <c r="C145" s="321"/>
      <c r="D145" s="84"/>
      <c r="E145" s="84"/>
      <c r="F145" s="84"/>
      <c r="G145" s="84"/>
      <c r="H145" s="84"/>
      <c r="I145" s="84"/>
      <c r="J145" s="84"/>
      <c r="K145" s="84"/>
      <c r="L145" s="84"/>
    </row>
    <row r="146" spans="1:12" x14ac:dyDescent="0.15">
      <c r="A146" s="84"/>
      <c r="B146" s="84"/>
      <c r="C146" s="321"/>
      <c r="D146" s="84"/>
      <c r="E146" s="84"/>
      <c r="F146" s="84"/>
      <c r="G146" s="84"/>
      <c r="H146" s="84"/>
      <c r="I146" s="84"/>
      <c r="J146" s="84"/>
      <c r="K146" s="84"/>
      <c r="L146" s="84"/>
    </row>
    <row r="147" spans="1:12" x14ac:dyDescent="0.15">
      <c r="A147" s="84"/>
      <c r="B147" s="84"/>
      <c r="C147" s="321"/>
      <c r="D147" s="84"/>
      <c r="E147" s="84"/>
      <c r="F147" s="84"/>
      <c r="G147" s="84"/>
      <c r="H147" s="84"/>
      <c r="I147" s="84"/>
      <c r="J147" s="84"/>
      <c r="K147" s="84"/>
      <c r="L147" s="84"/>
    </row>
    <row r="148" spans="1:12" x14ac:dyDescent="0.15">
      <c r="A148" s="84"/>
      <c r="B148" s="84"/>
      <c r="C148" s="321"/>
      <c r="D148" s="84"/>
      <c r="E148" s="84"/>
      <c r="F148" s="84"/>
      <c r="G148" s="84"/>
      <c r="H148" s="84"/>
      <c r="I148" s="84"/>
      <c r="J148" s="84"/>
      <c r="K148" s="84"/>
      <c r="L148" s="84"/>
    </row>
    <row r="149" spans="1:12" x14ac:dyDescent="0.15">
      <c r="A149" s="84"/>
      <c r="B149" s="84"/>
      <c r="C149" s="321"/>
      <c r="D149" s="84"/>
      <c r="E149" s="84"/>
      <c r="F149" s="84"/>
      <c r="G149" s="84"/>
      <c r="H149" s="84"/>
      <c r="I149" s="84"/>
      <c r="J149" s="84"/>
      <c r="K149" s="84"/>
      <c r="L149" s="84"/>
    </row>
    <row r="150" spans="1:12" x14ac:dyDescent="0.15">
      <c r="A150" s="84"/>
      <c r="B150" s="84"/>
      <c r="C150" s="321"/>
      <c r="D150" s="84"/>
      <c r="E150" s="84"/>
      <c r="F150" s="84"/>
      <c r="G150" s="84"/>
      <c r="H150" s="84"/>
      <c r="I150" s="84"/>
      <c r="J150" s="84"/>
      <c r="K150" s="84"/>
      <c r="L150" s="84"/>
    </row>
    <row r="151" spans="1:12" x14ac:dyDescent="0.15">
      <c r="A151" s="84"/>
      <c r="B151" s="84"/>
      <c r="C151" s="321"/>
      <c r="D151" s="84"/>
      <c r="E151" s="84"/>
      <c r="F151" s="84"/>
      <c r="G151" s="84"/>
      <c r="H151" s="84"/>
      <c r="I151" s="84"/>
      <c r="J151" s="84"/>
      <c r="K151" s="84"/>
      <c r="L151" s="84"/>
    </row>
    <row r="152" spans="1:12" x14ac:dyDescent="0.15">
      <c r="A152" s="84"/>
      <c r="B152" s="84"/>
      <c r="C152" s="321"/>
      <c r="D152" s="84"/>
      <c r="E152" s="84"/>
      <c r="F152" s="84"/>
      <c r="G152" s="84"/>
      <c r="H152" s="84"/>
      <c r="I152" s="84"/>
      <c r="J152" s="84"/>
      <c r="K152" s="84"/>
      <c r="L152" s="84"/>
    </row>
    <row r="153" spans="1:12" x14ac:dyDescent="0.15">
      <c r="A153" s="84"/>
      <c r="B153" s="84"/>
      <c r="C153" s="321"/>
      <c r="D153" s="84"/>
      <c r="E153" s="84"/>
      <c r="F153" s="84"/>
      <c r="G153" s="84"/>
      <c r="H153" s="84"/>
      <c r="I153" s="84"/>
      <c r="J153" s="84"/>
      <c r="K153" s="84"/>
      <c r="L153" s="84"/>
    </row>
    <row r="154" spans="1:12" x14ac:dyDescent="0.15">
      <c r="A154" s="84"/>
      <c r="B154" s="84"/>
      <c r="C154" s="321"/>
      <c r="D154" s="84"/>
      <c r="E154" s="84"/>
      <c r="F154" s="84"/>
      <c r="G154" s="84"/>
      <c r="H154" s="84"/>
      <c r="I154" s="84"/>
      <c r="J154" s="84"/>
      <c r="K154" s="84"/>
      <c r="L154" s="84"/>
    </row>
    <row r="155" spans="1:12" x14ac:dyDescent="0.15">
      <c r="A155" s="84"/>
      <c r="B155" s="84"/>
      <c r="C155" s="321"/>
      <c r="D155" s="84"/>
      <c r="E155" s="84"/>
      <c r="F155" s="84"/>
      <c r="G155" s="84"/>
      <c r="H155" s="84"/>
      <c r="I155" s="84"/>
      <c r="J155" s="84"/>
      <c r="K155" s="84"/>
      <c r="L155" s="84"/>
    </row>
    <row r="156" spans="1:12" x14ac:dyDescent="0.15">
      <c r="A156" s="84"/>
      <c r="B156" s="84"/>
      <c r="C156" s="321"/>
      <c r="D156" s="84"/>
      <c r="E156" s="84"/>
      <c r="F156" s="84"/>
      <c r="G156" s="84"/>
      <c r="H156" s="84"/>
      <c r="I156" s="84"/>
      <c r="J156" s="84"/>
      <c r="K156" s="84"/>
      <c r="L156" s="84"/>
    </row>
    <row r="157" spans="1:12" x14ac:dyDescent="0.15">
      <c r="A157" s="84"/>
      <c r="B157" s="84"/>
      <c r="C157" s="321"/>
      <c r="D157" s="84"/>
      <c r="E157" s="84"/>
      <c r="F157" s="84"/>
      <c r="G157" s="84"/>
      <c r="H157" s="84"/>
      <c r="I157" s="84"/>
      <c r="J157" s="84"/>
      <c r="K157" s="84"/>
      <c r="L157" s="84"/>
    </row>
    <row r="158" spans="1:12" x14ac:dyDescent="0.15">
      <c r="A158" s="84"/>
      <c r="B158" s="84"/>
      <c r="C158" s="321"/>
      <c r="D158" s="84"/>
      <c r="E158" s="84"/>
      <c r="F158" s="84"/>
      <c r="G158" s="84"/>
      <c r="H158" s="84"/>
      <c r="I158" s="84"/>
      <c r="J158" s="84"/>
      <c r="K158" s="84"/>
      <c r="L158" s="84"/>
    </row>
    <row r="159" spans="1:12" x14ac:dyDescent="0.15">
      <c r="A159" s="84"/>
      <c r="B159" s="84"/>
      <c r="C159" s="321"/>
      <c r="D159" s="84"/>
      <c r="E159" s="84"/>
      <c r="F159" s="84"/>
      <c r="G159" s="84"/>
      <c r="H159" s="84"/>
      <c r="I159" s="84"/>
      <c r="J159" s="84"/>
      <c r="K159" s="84"/>
      <c r="L159" s="84"/>
    </row>
    <row r="160" spans="1:12" x14ac:dyDescent="0.15">
      <c r="A160" s="84"/>
      <c r="B160" s="84"/>
      <c r="C160" s="321"/>
      <c r="D160" s="84"/>
      <c r="E160" s="84"/>
      <c r="F160" s="84"/>
      <c r="G160" s="84"/>
      <c r="H160" s="84"/>
      <c r="I160" s="84"/>
      <c r="J160" s="84"/>
      <c r="K160" s="84"/>
      <c r="L160" s="84"/>
    </row>
    <row r="161" spans="1:12" x14ac:dyDescent="0.15">
      <c r="A161" s="84"/>
      <c r="B161" s="84"/>
      <c r="C161" s="321"/>
      <c r="D161" s="84"/>
      <c r="E161" s="84"/>
      <c r="F161" s="84"/>
      <c r="G161" s="84"/>
      <c r="H161" s="84"/>
      <c r="I161" s="84"/>
      <c r="J161" s="84"/>
      <c r="K161" s="84"/>
      <c r="L161" s="84"/>
    </row>
    <row r="162" spans="1:12" x14ac:dyDescent="0.15">
      <c r="A162" s="84"/>
      <c r="B162" s="84"/>
      <c r="C162" s="321"/>
      <c r="D162" s="84"/>
      <c r="E162" s="84"/>
      <c r="F162" s="84"/>
      <c r="G162" s="84"/>
      <c r="H162" s="84"/>
      <c r="I162" s="84"/>
      <c r="J162" s="84"/>
      <c r="K162" s="84"/>
      <c r="L162" s="84"/>
    </row>
    <row r="163" spans="1:12" x14ac:dyDescent="0.15">
      <c r="A163" s="84"/>
      <c r="B163" s="84"/>
      <c r="C163" s="321"/>
      <c r="D163" s="84"/>
      <c r="E163" s="84"/>
      <c r="F163" s="84"/>
      <c r="G163" s="84"/>
      <c r="H163" s="84"/>
      <c r="I163" s="84"/>
      <c r="J163" s="84"/>
      <c r="K163" s="84"/>
      <c r="L163" s="84"/>
    </row>
    <row r="164" spans="1:12" x14ac:dyDescent="0.15">
      <c r="A164" s="84"/>
      <c r="B164" s="84"/>
      <c r="C164" s="321"/>
      <c r="D164" s="84"/>
      <c r="E164" s="84"/>
      <c r="F164" s="84"/>
      <c r="G164" s="84"/>
      <c r="H164" s="84"/>
      <c r="I164" s="84"/>
      <c r="J164" s="84"/>
      <c r="K164" s="84"/>
      <c r="L164" s="84"/>
    </row>
    <row r="165" spans="1:12" x14ac:dyDescent="0.15">
      <c r="A165" s="84"/>
      <c r="B165" s="84"/>
      <c r="C165" s="321"/>
      <c r="D165" s="84"/>
      <c r="E165" s="84"/>
      <c r="F165" s="84"/>
      <c r="G165" s="84"/>
      <c r="H165" s="84"/>
      <c r="I165" s="84"/>
      <c r="J165" s="84"/>
      <c r="K165" s="84"/>
      <c r="L165" s="84"/>
    </row>
    <row r="166" spans="1:12" x14ac:dyDescent="0.15">
      <c r="A166" s="84"/>
      <c r="B166" s="84"/>
      <c r="C166" s="321"/>
      <c r="D166" s="84"/>
      <c r="E166" s="84"/>
      <c r="F166" s="84"/>
      <c r="G166" s="84"/>
      <c r="H166" s="84"/>
      <c r="I166" s="84"/>
      <c r="J166" s="84"/>
      <c r="K166" s="84"/>
      <c r="L166" s="84"/>
    </row>
    <row r="167" spans="1:12" x14ac:dyDescent="0.15">
      <c r="A167" s="84"/>
      <c r="B167" s="84"/>
      <c r="C167" s="321"/>
      <c r="D167" s="84"/>
      <c r="E167" s="84"/>
      <c r="F167" s="84"/>
      <c r="G167" s="84"/>
      <c r="H167" s="84"/>
      <c r="I167" s="84"/>
      <c r="J167" s="84"/>
      <c r="K167" s="84"/>
      <c r="L167" s="84"/>
    </row>
    <row r="168" spans="1:12" x14ac:dyDescent="0.15">
      <c r="A168" s="84"/>
      <c r="B168" s="84"/>
      <c r="C168" s="321"/>
      <c r="D168" s="84"/>
      <c r="E168" s="84"/>
      <c r="F168" s="84"/>
      <c r="G168" s="84"/>
      <c r="H168" s="84"/>
      <c r="I168" s="84"/>
      <c r="J168" s="84"/>
      <c r="K168" s="84"/>
      <c r="L168" s="84"/>
    </row>
    <row r="169" spans="1:12" x14ac:dyDescent="0.15">
      <c r="A169" s="84"/>
      <c r="B169" s="84"/>
      <c r="C169" s="321"/>
      <c r="D169" s="84"/>
      <c r="E169" s="84"/>
      <c r="F169" s="84"/>
      <c r="G169" s="84"/>
      <c r="H169" s="84"/>
      <c r="I169" s="84"/>
      <c r="J169" s="84"/>
      <c r="K169" s="84"/>
      <c r="L169" s="84"/>
    </row>
    <row r="170" spans="1:12" x14ac:dyDescent="0.15">
      <c r="A170" s="84"/>
      <c r="B170" s="84"/>
      <c r="C170" s="321"/>
      <c r="D170" s="84"/>
      <c r="E170" s="84"/>
      <c r="F170" s="84"/>
      <c r="G170" s="84"/>
      <c r="H170" s="84"/>
      <c r="I170" s="84"/>
      <c r="J170" s="84"/>
      <c r="K170" s="84"/>
      <c r="L170" s="84"/>
    </row>
    <row r="171" spans="1:12" x14ac:dyDescent="0.15">
      <c r="A171" s="84"/>
      <c r="B171" s="84"/>
      <c r="C171" s="321"/>
      <c r="D171" s="84"/>
      <c r="E171" s="84"/>
      <c r="F171" s="84"/>
      <c r="G171" s="84"/>
      <c r="H171" s="84"/>
      <c r="I171" s="84"/>
      <c r="J171" s="84"/>
      <c r="K171" s="84"/>
      <c r="L171" s="84"/>
    </row>
    <row r="172" spans="1:12" x14ac:dyDescent="0.15">
      <c r="A172" s="84"/>
      <c r="B172" s="84"/>
      <c r="C172" s="321"/>
      <c r="D172" s="84"/>
      <c r="E172" s="84"/>
      <c r="F172" s="84"/>
      <c r="G172" s="84"/>
      <c r="H172" s="84"/>
      <c r="I172" s="84"/>
      <c r="J172" s="84"/>
      <c r="K172" s="84"/>
      <c r="L172" s="84"/>
    </row>
    <row r="173" spans="1:12" x14ac:dyDescent="0.15">
      <c r="A173" s="84"/>
      <c r="B173" s="84"/>
      <c r="C173" s="321"/>
      <c r="D173" s="84"/>
      <c r="E173" s="84"/>
      <c r="F173" s="84"/>
      <c r="G173" s="84"/>
      <c r="H173" s="84"/>
      <c r="I173" s="84"/>
      <c r="J173" s="84"/>
      <c r="K173" s="84"/>
      <c r="L173" s="84"/>
    </row>
    <row r="174" spans="1:12" x14ac:dyDescent="0.15">
      <c r="A174" s="84"/>
      <c r="B174" s="84"/>
      <c r="C174" s="321"/>
      <c r="D174" s="84"/>
      <c r="E174" s="84"/>
      <c r="F174" s="84"/>
      <c r="G174" s="84"/>
      <c r="H174" s="84"/>
      <c r="I174" s="84"/>
      <c r="J174" s="84"/>
      <c r="K174" s="84"/>
      <c r="L174" s="84"/>
    </row>
    <row r="175" spans="1:12" x14ac:dyDescent="0.15">
      <c r="A175" s="84"/>
      <c r="B175" s="84"/>
      <c r="C175" s="321"/>
      <c r="D175" s="84"/>
      <c r="E175" s="84"/>
      <c r="F175" s="84"/>
      <c r="G175" s="84"/>
      <c r="H175" s="84"/>
      <c r="I175" s="84"/>
      <c r="J175" s="84"/>
      <c r="K175" s="84"/>
      <c r="L175" s="84"/>
    </row>
    <row r="176" spans="1:12" x14ac:dyDescent="0.15">
      <c r="A176" s="84"/>
      <c r="B176" s="84"/>
      <c r="C176" s="321"/>
      <c r="D176" s="84"/>
      <c r="E176" s="84"/>
      <c r="F176" s="84"/>
      <c r="G176" s="84"/>
      <c r="H176" s="84"/>
      <c r="I176" s="84"/>
      <c r="J176" s="84"/>
      <c r="K176" s="84"/>
      <c r="L176" s="84"/>
    </row>
    <row r="177" spans="1:12" x14ac:dyDescent="0.15">
      <c r="A177" s="84"/>
      <c r="B177" s="84"/>
      <c r="C177" s="321"/>
      <c r="D177" s="84"/>
      <c r="E177" s="84"/>
      <c r="F177" s="84"/>
      <c r="G177" s="84"/>
      <c r="H177" s="84"/>
      <c r="I177" s="84"/>
      <c r="J177" s="84"/>
      <c r="K177" s="84"/>
      <c r="L177" s="84"/>
    </row>
    <row r="178" spans="1:12" x14ac:dyDescent="0.15">
      <c r="A178" s="84"/>
      <c r="B178" s="84"/>
      <c r="C178" s="321"/>
      <c r="D178" s="84"/>
      <c r="E178" s="84"/>
      <c r="F178" s="84"/>
      <c r="G178" s="84"/>
      <c r="H178" s="84"/>
      <c r="I178" s="84"/>
      <c r="J178" s="84"/>
      <c r="K178" s="84"/>
      <c r="L178" s="84"/>
    </row>
    <row r="179" spans="1:12" x14ac:dyDescent="0.15">
      <c r="A179" s="84"/>
      <c r="B179" s="84"/>
      <c r="C179" s="321"/>
      <c r="D179" s="84"/>
      <c r="E179" s="84"/>
      <c r="F179" s="84"/>
      <c r="G179" s="84"/>
      <c r="H179" s="84"/>
      <c r="I179" s="84"/>
      <c r="J179" s="84"/>
      <c r="K179" s="84"/>
      <c r="L179" s="84"/>
    </row>
    <row r="180" spans="1:12" x14ac:dyDescent="0.15">
      <c r="A180" s="84"/>
      <c r="B180" s="84"/>
      <c r="C180" s="321"/>
      <c r="D180" s="84"/>
      <c r="E180" s="84"/>
      <c r="F180" s="84"/>
      <c r="G180" s="84"/>
      <c r="H180" s="84"/>
      <c r="I180" s="84"/>
      <c r="J180" s="84"/>
      <c r="K180" s="84"/>
      <c r="L180" s="84"/>
    </row>
    <row r="181" spans="1:12" x14ac:dyDescent="0.15">
      <c r="A181" s="84"/>
      <c r="B181" s="84"/>
      <c r="C181" s="321"/>
      <c r="D181" s="84"/>
      <c r="E181" s="84"/>
      <c r="F181" s="84"/>
      <c r="G181" s="84"/>
      <c r="H181" s="84"/>
      <c r="I181" s="84"/>
      <c r="J181" s="84"/>
      <c r="K181" s="84"/>
      <c r="L181" s="84"/>
    </row>
    <row r="182" spans="1:12" x14ac:dyDescent="0.15">
      <c r="A182" s="84"/>
      <c r="B182" s="84"/>
      <c r="C182" s="321"/>
      <c r="D182" s="84"/>
      <c r="E182" s="84"/>
      <c r="F182" s="84"/>
      <c r="G182" s="84"/>
      <c r="H182" s="84"/>
      <c r="I182" s="84"/>
      <c r="J182" s="84"/>
      <c r="K182" s="84"/>
      <c r="L182" s="84"/>
    </row>
    <row r="183" spans="1:12" x14ac:dyDescent="0.15">
      <c r="A183" s="84"/>
      <c r="B183" s="84"/>
      <c r="C183" s="321"/>
      <c r="D183" s="84"/>
      <c r="E183" s="84"/>
      <c r="F183" s="84"/>
      <c r="G183" s="84"/>
      <c r="H183" s="84"/>
      <c r="I183" s="84"/>
      <c r="J183" s="84"/>
      <c r="K183" s="84"/>
      <c r="L183" s="84"/>
    </row>
  </sheetData>
  <mergeCells count="48">
    <mergeCell ref="B111:H111"/>
    <mergeCell ref="L3:L4"/>
    <mergeCell ref="B14:H14"/>
    <mergeCell ref="B38:H38"/>
    <mergeCell ref="I41:K41"/>
    <mergeCell ref="D42:D43"/>
    <mergeCell ref="G41:G43"/>
    <mergeCell ref="L42:L43"/>
    <mergeCell ref="I81:K81"/>
    <mergeCell ref="D82:D83"/>
    <mergeCell ref="B1:K1"/>
    <mergeCell ref="I2:K2"/>
    <mergeCell ref="I3:I4"/>
    <mergeCell ref="J3:K3"/>
    <mergeCell ref="J42:K42"/>
    <mergeCell ref="B34:H34"/>
    <mergeCell ref="I42:I43"/>
    <mergeCell ref="A2:A4"/>
    <mergeCell ref="B2:B4"/>
    <mergeCell ref="C2:C4"/>
    <mergeCell ref="D2:F2"/>
    <mergeCell ref="H2:H4"/>
    <mergeCell ref="D3:D4"/>
    <mergeCell ref="E3:F3"/>
    <mergeCell ref="G2:G4"/>
    <mergeCell ref="A41:A43"/>
    <mergeCell ref="B41:B43"/>
    <mergeCell ref="C41:C43"/>
    <mergeCell ref="D41:F41"/>
    <mergeCell ref="H41:H43"/>
    <mergeCell ref="E42:F42"/>
    <mergeCell ref="B101:H101"/>
    <mergeCell ref="B60:H60"/>
    <mergeCell ref="B40:K40"/>
    <mergeCell ref="B67:H67"/>
    <mergeCell ref="B71:H71"/>
    <mergeCell ref="B79:H79"/>
    <mergeCell ref="I82:I83"/>
    <mergeCell ref="J82:K82"/>
    <mergeCell ref="L82:L83"/>
    <mergeCell ref="B80:K80"/>
    <mergeCell ref="A81:A83"/>
    <mergeCell ref="B81:B83"/>
    <mergeCell ref="C81:C83"/>
    <mergeCell ref="D81:F81"/>
    <mergeCell ref="G81:G83"/>
    <mergeCell ref="H81:H83"/>
    <mergeCell ref="E82:F82"/>
  </mergeCells>
  <pageMargins left="0.28125" right="0.34" top="0.75" bottom="0.75" header="0.3" footer="0.3"/>
  <pageSetup paperSize="9" scale="64" orientation="landscape" horizontalDpi="300" verticalDpi="300" r:id="rId1"/>
  <headerFooter>
    <oddHeader>&amp;C&amp;22BRIGHT CONSTRUCTION plc</oddHeader>
    <oddFooter>&amp;LCONTRACTOR:-__________________&amp;RSUPERVISOR:-__________________</oddFooter>
  </headerFooter>
  <rowBreaks count="2" manualBreakCount="2">
    <brk id="39" max="16383" man="1"/>
    <brk id="79" max="11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5"/>
  <sheetViews>
    <sheetView topLeftCell="A70" zoomScale="70" zoomScaleNormal="60" zoomScaleSheetLayoutView="70" workbookViewId="0">
      <selection activeCell="F52" sqref="F1:F65536"/>
    </sheetView>
  </sheetViews>
  <sheetFormatPr defaultColWidth="9.14453125" defaultRowHeight="15" x14ac:dyDescent="0.2"/>
  <cols>
    <col min="1" max="1" width="8.609375" style="351" customWidth="1"/>
    <col min="2" max="2" width="52.1953125" style="351" customWidth="1"/>
    <col min="3" max="3" width="9.14453125" style="351"/>
    <col min="4" max="4" width="11.703125" style="351" customWidth="1"/>
    <col min="5" max="5" width="14.52734375" style="351" customWidth="1"/>
    <col min="6" max="7" width="12.9140625" style="351" customWidth="1"/>
    <col min="8" max="8" width="15.73828125" style="351" customWidth="1"/>
    <col min="9" max="9" width="18.0234375" style="351" bestFit="1" customWidth="1"/>
    <col min="10" max="10" width="23.80859375" style="351" customWidth="1"/>
    <col min="11" max="11" width="21.25390625" style="351" customWidth="1"/>
    <col min="12" max="12" width="22.59765625" style="351" customWidth="1"/>
    <col min="13" max="25" width="9.14453125" style="638"/>
    <col min="26" max="16384" width="9.14453125" style="351"/>
  </cols>
  <sheetData>
    <row r="1" spans="1:25" ht="15.75" thickBot="1" x14ac:dyDescent="0.25">
      <c r="A1" s="279"/>
      <c r="B1" s="1169" t="s">
        <v>229</v>
      </c>
      <c r="C1" s="1169"/>
      <c r="D1" s="1169"/>
      <c r="E1" s="1169"/>
      <c r="F1" s="1169"/>
      <c r="G1" s="1169"/>
      <c r="H1" s="1169"/>
      <c r="I1" s="1169"/>
      <c r="J1" s="1169"/>
      <c r="K1" s="1169"/>
      <c r="L1" s="90"/>
    </row>
    <row r="2" spans="1:25" s="254" customFormat="1" ht="21.75" customHeight="1" x14ac:dyDescent="0.15">
      <c r="A2" s="1194" t="s">
        <v>61</v>
      </c>
      <c r="B2" s="1197" t="s">
        <v>54</v>
      </c>
      <c r="C2" s="1197" t="s">
        <v>5</v>
      </c>
      <c r="D2" s="1089" t="s">
        <v>4</v>
      </c>
      <c r="E2" s="1188"/>
      <c r="F2" s="1189"/>
      <c r="G2" s="1128" t="s">
        <v>334</v>
      </c>
      <c r="H2" s="1199" t="s">
        <v>8</v>
      </c>
      <c r="I2" s="1187" t="s">
        <v>50</v>
      </c>
      <c r="J2" s="1188"/>
      <c r="K2" s="1189"/>
      <c r="L2" s="506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  <c r="Y2" s="616"/>
    </row>
    <row r="3" spans="1:25" s="254" customFormat="1" ht="19.5" customHeight="1" x14ac:dyDescent="0.15">
      <c r="A3" s="1195"/>
      <c r="B3" s="1198"/>
      <c r="C3" s="1198"/>
      <c r="D3" s="1190" t="s">
        <v>62</v>
      </c>
      <c r="E3" s="1192" t="s">
        <v>63</v>
      </c>
      <c r="F3" s="1193"/>
      <c r="G3" s="1129"/>
      <c r="H3" s="1200"/>
      <c r="I3" s="1183" t="s">
        <v>6</v>
      </c>
      <c r="J3" s="1093" t="s">
        <v>7</v>
      </c>
      <c r="K3" s="1094"/>
      <c r="L3" s="1132" t="s">
        <v>336</v>
      </c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</row>
    <row r="4" spans="1:25" s="254" customFormat="1" ht="21" customHeight="1" thickBot="1" x14ac:dyDescent="0.2">
      <c r="A4" s="1196"/>
      <c r="B4" s="1092"/>
      <c r="C4" s="1092"/>
      <c r="D4" s="1191"/>
      <c r="E4" s="352" t="s">
        <v>98</v>
      </c>
      <c r="F4" s="352" t="s">
        <v>99</v>
      </c>
      <c r="G4" s="1129"/>
      <c r="H4" s="1201"/>
      <c r="I4" s="1092"/>
      <c r="J4" s="352" t="s">
        <v>98</v>
      </c>
      <c r="K4" s="352" t="s">
        <v>99</v>
      </c>
      <c r="L4" s="1133"/>
      <c r="M4" s="616"/>
      <c r="N4" s="616"/>
      <c r="O4" s="616"/>
      <c r="P4" s="616"/>
      <c r="Q4" s="616"/>
      <c r="R4" s="616"/>
      <c r="S4" s="616"/>
      <c r="T4" s="616"/>
      <c r="U4" s="616"/>
      <c r="V4" s="616"/>
      <c r="W4" s="616"/>
      <c r="X4" s="616"/>
      <c r="Y4" s="616"/>
    </row>
    <row r="5" spans="1:25" s="254" customFormat="1" ht="21" customHeight="1" thickBot="1" x14ac:dyDescent="0.2">
      <c r="A5" s="353" t="s">
        <v>102</v>
      </c>
      <c r="B5" s="354" t="s">
        <v>103</v>
      </c>
      <c r="C5" s="354" t="s">
        <v>104</v>
      </c>
      <c r="D5" s="355" t="s">
        <v>105</v>
      </c>
      <c r="E5" s="355" t="s">
        <v>106</v>
      </c>
      <c r="F5" s="355" t="s">
        <v>107</v>
      </c>
      <c r="G5" s="355"/>
      <c r="H5" s="356" t="s">
        <v>108</v>
      </c>
      <c r="I5" s="354" t="s">
        <v>116</v>
      </c>
      <c r="J5" s="355" t="s">
        <v>115</v>
      </c>
      <c r="K5" s="355" t="s">
        <v>114</v>
      </c>
      <c r="L5" s="357" t="s">
        <v>113</v>
      </c>
      <c r="M5" s="616"/>
      <c r="N5" s="616"/>
      <c r="O5" s="616"/>
      <c r="P5" s="616"/>
      <c r="Q5" s="616"/>
      <c r="R5" s="616"/>
      <c r="S5" s="616"/>
      <c r="T5" s="616"/>
      <c r="U5" s="616"/>
      <c r="V5" s="616"/>
      <c r="W5" s="616"/>
      <c r="X5" s="616"/>
      <c r="Y5" s="616"/>
    </row>
    <row r="6" spans="1:25" ht="18" x14ac:dyDescent="0.2">
      <c r="A6" s="358"/>
      <c r="B6" s="359" t="s">
        <v>9</v>
      </c>
      <c r="C6" s="360"/>
      <c r="D6" s="361"/>
      <c r="E6" s="360"/>
      <c r="F6" s="360"/>
      <c r="G6" s="360"/>
      <c r="H6" s="361"/>
      <c r="I6" s="361"/>
      <c r="J6" s="362"/>
      <c r="K6" s="363"/>
      <c r="L6" s="364"/>
    </row>
    <row r="7" spans="1:25" ht="18" x14ac:dyDescent="0.2">
      <c r="A7" s="365">
        <v>1</v>
      </c>
      <c r="B7" s="366" t="s">
        <v>10</v>
      </c>
      <c r="C7" s="208"/>
      <c r="D7" s="207"/>
      <c r="E7" s="208"/>
      <c r="F7" s="208"/>
      <c r="G7" s="208"/>
      <c r="H7" s="207"/>
      <c r="I7" s="207"/>
      <c r="J7" s="244"/>
      <c r="K7" s="367"/>
      <c r="L7" s="368"/>
    </row>
    <row r="8" spans="1:25" ht="18" x14ac:dyDescent="0.2">
      <c r="A8" s="369">
        <v>1.1000000000000001</v>
      </c>
      <c r="B8" s="370" t="s">
        <v>18</v>
      </c>
      <c r="C8" s="202" t="s">
        <v>11</v>
      </c>
      <c r="D8" s="130">
        <v>196</v>
      </c>
      <c r="E8" s="202">
        <v>163.4</v>
      </c>
      <c r="F8" s="202"/>
      <c r="G8" s="202">
        <f>F8+E8</f>
        <v>163.4</v>
      </c>
      <c r="H8" s="130">
        <f>store!H8</f>
        <v>6</v>
      </c>
      <c r="I8" s="130">
        <f>D8*H8</f>
        <v>1176</v>
      </c>
      <c r="J8" s="130">
        <f>E8*H8</f>
        <v>980.40000000000009</v>
      </c>
      <c r="K8" s="203">
        <f>H8*F8</f>
        <v>0</v>
      </c>
      <c r="L8" s="368">
        <f>J8+K8</f>
        <v>980.40000000000009</v>
      </c>
    </row>
    <row r="9" spans="1:25" ht="18" x14ac:dyDescent="0.2">
      <c r="A9" s="369">
        <v>1.2</v>
      </c>
      <c r="B9" s="370" t="s">
        <v>123</v>
      </c>
      <c r="C9" s="202" t="s">
        <v>12</v>
      </c>
      <c r="D9" s="130">
        <v>93</v>
      </c>
      <c r="E9" s="202">
        <v>68.400000000000006</v>
      </c>
      <c r="F9" s="202"/>
      <c r="G9" s="202">
        <f t="shared" ref="G9:G15" si="0">F9+E9</f>
        <v>68.400000000000006</v>
      </c>
      <c r="H9" s="130">
        <f>store!H9</f>
        <v>25</v>
      </c>
      <c r="I9" s="130">
        <f t="shared" ref="I9:I15" si="1">D9*H9</f>
        <v>2325</v>
      </c>
      <c r="J9" s="130">
        <f t="shared" ref="J9:J15" si="2">E9*H9</f>
        <v>1710.0000000000002</v>
      </c>
      <c r="K9" s="203">
        <f t="shared" ref="K9:K15" si="3">H9*F9</f>
        <v>0</v>
      </c>
      <c r="L9" s="368">
        <f t="shared" ref="L9:L15" si="4">J9+K9</f>
        <v>1710.0000000000002</v>
      </c>
    </row>
    <row r="10" spans="1:25" ht="18" x14ac:dyDescent="0.2">
      <c r="A10" s="369">
        <v>1.3</v>
      </c>
      <c r="B10" s="370" t="s">
        <v>179</v>
      </c>
      <c r="C10" s="202" t="s">
        <v>12</v>
      </c>
      <c r="D10" s="130">
        <v>36</v>
      </c>
      <c r="E10" s="202">
        <v>10.86</v>
      </c>
      <c r="F10" s="202"/>
      <c r="G10" s="202">
        <f t="shared" si="0"/>
        <v>10.86</v>
      </c>
      <c r="H10" s="130">
        <v>30</v>
      </c>
      <c r="I10" s="130">
        <f t="shared" si="1"/>
        <v>1080</v>
      </c>
      <c r="J10" s="130">
        <f t="shared" si="2"/>
        <v>325.79999999999995</v>
      </c>
      <c r="K10" s="203">
        <f t="shared" si="3"/>
        <v>0</v>
      </c>
      <c r="L10" s="368">
        <f t="shared" si="4"/>
        <v>325.79999999999995</v>
      </c>
    </row>
    <row r="11" spans="1:25" ht="18" x14ac:dyDescent="0.2">
      <c r="A11" s="369">
        <v>1.4</v>
      </c>
      <c r="B11" s="370" t="s">
        <v>181</v>
      </c>
      <c r="C11" s="202" t="s">
        <v>180</v>
      </c>
      <c r="D11" s="130">
        <v>28</v>
      </c>
      <c r="E11" s="202">
        <v>21.97</v>
      </c>
      <c r="F11" s="202"/>
      <c r="G11" s="202">
        <f t="shared" si="0"/>
        <v>21.97</v>
      </c>
      <c r="H11" s="130">
        <v>30</v>
      </c>
      <c r="I11" s="130">
        <f t="shared" si="1"/>
        <v>840</v>
      </c>
      <c r="J11" s="130">
        <f t="shared" si="2"/>
        <v>659.09999999999991</v>
      </c>
      <c r="K11" s="203">
        <f t="shared" si="3"/>
        <v>0</v>
      </c>
      <c r="L11" s="368">
        <f t="shared" si="4"/>
        <v>659.09999999999991</v>
      </c>
    </row>
    <row r="12" spans="1:25" ht="18" x14ac:dyDescent="0.2">
      <c r="A12" s="369">
        <v>1.5</v>
      </c>
      <c r="B12" s="370" t="s">
        <v>183</v>
      </c>
      <c r="C12" s="202" t="s">
        <v>182</v>
      </c>
      <c r="D12" s="130">
        <v>28</v>
      </c>
      <c r="E12" s="202"/>
      <c r="F12" s="202"/>
      <c r="G12" s="202">
        <f t="shared" si="0"/>
        <v>0</v>
      </c>
      <c r="H12" s="130">
        <f>store!H12</f>
        <v>80</v>
      </c>
      <c r="I12" s="130">
        <f t="shared" si="1"/>
        <v>2240</v>
      </c>
      <c r="J12" s="130">
        <f t="shared" si="2"/>
        <v>0</v>
      </c>
      <c r="K12" s="203">
        <f t="shared" si="3"/>
        <v>0</v>
      </c>
      <c r="L12" s="368">
        <f t="shared" si="4"/>
        <v>0</v>
      </c>
    </row>
    <row r="13" spans="1:25" ht="18" x14ac:dyDescent="0.2">
      <c r="A13" s="369">
        <v>1.6</v>
      </c>
      <c r="B13" s="370" t="s">
        <v>101</v>
      </c>
      <c r="C13" s="202" t="s">
        <v>12</v>
      </c>
      <c r="D13" s="130">
        <v>174</v>
      </c>
      <c r="E13" s="202">
        <v>116.81</v>
      </c>
      <c r="F13" s="202"/>
      <c r="G13" s="202">
        <f t="shared" si="0"/>
        <v>116.81</v>
      </c>
      <c r="H13" s="130">
        <v>40</v>
      </c>
      <c r="I13" s="130">
        <f t="shared" si="1"/>
        <v>6960</v>
      </c>
      <c r="J13" s="130">
        <f t="shared" si="2"/>
        <v>4672.3999999999996</v>
      </c>
      <c r="K13" s="203">
        <f t="shared" si="3"/>
        <v>0</v>
      </c>
      <c r="L13" s="368">
        <f t="shared" si="4"/>
        <v>4672.3999999999996</v>
      </c>
    </row>
    <row r="14" spans="1:25" ht="18" x14ac:dyDescent="0.2">
      <c r="A14" s="369">
        <v>1.7</v>
      </c>
      <c r="B14" s="369" t="s">
        <v>87</v>
      </c>
      <c r="C14" s="202" t="s">
        <v>12</v>
      </c>
      <c r="D14" s="204">
        <v>316</v>
      </c>
      <c r="E14" s="202">
        <v>150.25</v>
      </c>
      <c r="F14" s="219"/>
      <c r="G14" s="202">
        <f t="shared" si="0"/>
        <v>150.25</v>
      </c>
      <c r="H14" s="130">
        <v>25</v>
      </c>
      <c r="I14" s="130">
        <f t="shared" si="1"/>
        <v>7900</v>
      </c>
      <c r="J14" s="130">
        <f t="shared" si="2"/>
        <v>3756.25</v>
      </c>
      <c r="K14" s="203">
        <f t="shared" si="3"/>
        <v>0</v>
      </c>
      <c r="L14" s="368">
        <f t="shared" si="4"/>
        <v>3756.25</v>
      </c>
    </row>
    <row r="15" spans="1:25" ht="18" x14ac:dyDescent="0.2">
      <c r="A15" s="371">
        <v>1.8</v>
      </c>
      <c r="B15" s="372" t="s">
        <v>94</v>
      </c>
      <c r="C15" s="205" t="s">
        <v>12</v>
      </c>
      <c r="D15" s="140">
        <v>96</v>
      </c>
      <c r="E15" s="205">
        <v>96</v>
      </c>
      <c r="F15" s="205"/>
      <c r="G15" s="202">
        <f t="shared" si="0"/>
        <v>96</v>
      </c>
      <c r="H15" s="130">
        <v>105</v>
      </c>
      <c r="I15" s="130">
        <f t="shared" si="1"/>
        <v>10080</v>
      </c>
      <c r="J15" s="130">
        <f t="shared" si="2"/>
        <v>10080</v>
      </c>
      <c r="K15" s="203">
        <f t="shared" si="3"/>
        <v>0</v>
      </c>
      <c r="L15" s="368">
        <f t="shared" si="4"/>
        <v>10080</v>
      </c>
    </row>
    <row r="16" spans="1:25" s="587" customFormat="1" ht="18.75" thickBot="1" x14ac:dyDescent="0.25">
      <c r="A16" s="585"/>
      <c r="B16" s="1174" t="s">
        <v>64</v>
      </c>
      <c r="C16" s="1175"/>
      <c r="D16" s="1175"/>
      <c r="E16" s="1175"/>
      <c r="F16" s="1175"/>
      <c r="G16" s="1175"/>
      <c r="H16" s="1176"/>
      <c r="I16" s="586">
        <f>SUM(I8:I15)</f>
        <v>32601</v>
      </c>
      <c r="J16" s="586">
        <f>SUM(J8:J15)</f>
        <v>22183.95</v>
      </c>
      <c r="K16" s="586">
        <f>SUM(K8:K15)</f>
        <v>0</v>
      </c>
      <c r="L16" s="586">
        <f>SUM(L8:L15)</f>
        <v>22183.95</v>
      </c>
      <c r="M16" s="638"/>
      <c r="N16" s="638"/>
      <c r="O16" s="638"/>
      <c r="P16" s="638"/>
      <c r="Q16" s="638"/>
      <c r="R16" s="638"/>
      <c r="S16" s="638"/>
      <c r="T16" s="638"/>
      <c r="U16" s="638"/>
      <c r="V16" s="638"/>
      <c r="W16" s="638"/>
      <c r="X16" s="638"/>
      <c r="Y16" s="638"/>
    </row>
    <row r="17" spans="1:25" ht="18" x14ac:dyDescent="0.2">
      <c r="A17" s="376">
        <v>2</v>
      </c>
      <c r="B17" s="377" t="s">
        <v>17</v>
      </c>
      <c r="C17" s="165"/>
      <c r="D17" s="166"/>
      <c r="E17" s="165"/>
      <c r="F17" s="165"/>
      <c r="G17" s="165"/>
      <c r="H17" s="166"/>
      <c r="I17" s="166"/>
      <c r="J17" s="166"/>
      <c r="K17" s="206"/>
      <c r="L17" s="379"/>
    </row>
    <row r="18" spans="1:25" ht="18.75" x14ac:dyDescent="0.25">
      <c r="A18" s="369">
        <v>2.1</v>
      </c>
      <c r="B18" s="370" t="s">
        <v>124</v>
      </c>
      <c r="C18" s="202" t="s">
        <v>12</v>
      </c>
      <c r="D18" s="130">
        <v>34</v>
      </c>
      <c r="E18" s="202">
        <v>28.96</v>
      </c>
      <c r="F18" s="380"/>
      <c r="G18" s="380">
        <f>F18+E18</f>
        <v>28.96</v>
      </c>
      <c r="H18" s="130">
        <v>800</v>
      </c>
      <c r="I18" s="130">
        <f>D18*H18</f>
        <v>27200</v>
      </c>
      <c r="J18" s="130">
        <f>H18*E18</f>
        <v>23168</v>
      </c>
      <c r="K18" s="203">
        <f>H18*F18</f>
        <v>0</v>
      </c>
      <c r="L18" s="368">
        <f>K18+J18</f>
        <v>23168</v>
      </c>
    </row>
    <row r="19" spans="1:25" ht="18.75" x14ac:dyDescent="0.25">
      <c r="A19" s="371">
        <v>2.2000000000000002</v>
      </c>
      <c r="B19" s="372" t="s">
        <v>119</v>
      </c>
      <c r="C19" s="205" t="s">
        <v>12</v>
      </c>
      <c r="D19" s="140">
        <v>10</v>
      </c>
      <c r="E19" s="205">
        <v>25.34</v>
      </c>
      <c r="F19" s="380"/>
      <c r="G19" s="380">
        <f>F19+E19</f>
        <v>25.34</v>
      </c>
      <c r="H19" s="140">
        <v>880</v>
      </c>
      <c r="I19" s="130">
        <f>D19*H19</f>
        <v>8800</v>
      </c>
      <c r="J19" s="130">
        <f>H19*E19</f>
        <v>22299.200000000001</v>
      </c>
      <c r="K19" s="203">
        <f>H19*F19</f>
        <v>0</v>
      </c>
      <c r="L19" s="368">
        <f>K19+J19</f>
        <v>22299.200000000001</v>
      </c>
    </row>
    <row r="20" spans="1:25" s="587" customFormat="1" ht="18.75" thickBot="1" x14ac:dyDescent="0.25">
      <c r="A20" s="585"/>
      <c r="B20" s="1174" t="s">
        <v>64</v>
      </c>
      <c r="C20" s="1175"/>
      <c r="D20" s="1175"/>
      <c r="E20" s="1175"/>
      <c r="F20" s="1175"/>
      <c r="G20" s="1175"/>
      <c r="H20" s="1176"/>
      <c r="I20" s="586">
        <f>SUM(I18:I19)</f>
        <v>36000</v>
      </c>
      <c r="J20" s="586">
        <f>SUM(J18:J19)</f>
        <v>45467.199999999997</v>
      </c>
      <c r="K20" s="586">
        <f>SUM(K18:K19)</f>
        <v>0</v>
      </c>
      <c r="L20" s="586">
        <f>SUM(L18:L19)</f>
        <v>45467.199999999997</v>
      </c>
      <c r="M20" s="638"/>
      <c r="N20" s="638"/>
      <c r="O20" s="638"/>
      <c r="P20" s="638"/>
      <c r="Q20" s="638"/>
      <c r="R20" s="638"/>
      <c r="S20" s="638"/>
      <c r="T20" s="638"/>
      <c r="U20" s="638"/>
      <c r="V20" s="638"/>
      <c r="W20" s="638"/>
      <c r="X20" s="638"/>
      <c r="Y20" s="638"/>
    </row>
    <row r="21" spans="1:25" ht="18" x14ac:dyDescent="0.2">
      <c r="A21" s="377"/>
      <c r="B21" s="166" t="s">
        <v>184</v>
      </c>
      <c r="C21" s="165"/>
      <c r="D21" s="166"/>
      <c r="E21" s="165"/>
      <c r="F21" s="165"/>
      <c r="G21" s="165"/>
      <c r="H21" s="166"/>
      <c r="I21" s="166"/>
      <c r="J21" s="166"/>
      <c r="K21" s="166"/>
      <c r="L21" s="379"/>
    </row>
    <row r="22" spans="1:25" ht="18" x14ac:dyDescent="0.2">
      <c r="A22" s="370">
        <v>3.1</v>
      </c>
      <c r="B22" s="130" t="s">
        <v>20</v>
      </c>
      <c r="C22" s="202"/>
      <c r="D22" s="207"/>
      <c r="E22" s="208"/>
      <c r="F22" s="208"/>
      <c r="G22" s="208"/>
      <c r="H22" s="130"/>
      <c r="I22" s="207"/>
      <c r="J22" s="207"/>
      <c r="K22" s="207"/>
      <c r="L22" s="368"/>
    </row>
    <row r="23" spans="1:25" ht="18.75" x14ac:dyDescent="0.25">
      <c r="A23" s="382"/>
      <c r="B23" s="130" t="s">
        <v>21</v>
      </c>
      <c r="C23" s="202" t="s">
        <v>11</v>
      </c>
      <c r="D23" s="130">
        <v>23</v>
      </c>
      <c r="E23" s="202">
        <v>34.5</v>
      </c>
      <c r="F23" s="380"/>
      <c r="G23" s="380">
        <f>F23+E23</f>
        <v>34.5</v>
      </c>
      <c r="H23" s="130">
        <v>65</v>
      </c>
      <c r="I23" s="130">
        <f>D23*H23</f>
        <v>1495</v>
      </c>
      <c r="J23" s="130">
        <f t="shared" ref="J23:J38" si="5">E23*H23</f>
        <v>2242.5</v>
      </c>
      <c r="K23" s="203">
        <f t="shared" ref="K23:K38" si="6">H23*F23</f>
        <v>0</v>
      </c>
      <c r="L23" s="368">
        <f>K23+J23</f>
        <v>2242.5</v>
      </c>
    </row>
    <row r="24" spans="1:25" ht="18.75" x14ac:dyDescent="0.25">
      <c r="A24" s="370"/>
      <c r="B24" s="130" t="s">
        <v>22</v>
      </c>
      <c r="C24" s="202" t="s">
        <v>11</v>
      </c>
      <c r="D24" s="130">
        <v>15</v>
      </c>
      <c r="E24" s="202">
        <v>10</v>
      </c>
      <c r="F24" s="380"/>
      <c r="G24" s="380">
        <f t="shared" ref="G24:G38" si="7">F24+E24</f>
        <v>10</v>
      </c>
      <c r="H24" s="130">
        <v>65</v>
      </c>
      <c r="I24" s="130">
        <f t="shared" ref="I24:I38" si="8">D24*H24</f>
        <v>975</v>
      </c>
      <c r="J24" s="130">
        <f t="shared" si="5"/>
        <v>650</v>
      </c>
      <c r="K24" s="203">
        <f t="shared" si="6"/>
        <v>0</v>
      </c>
      <c r="L24" s="368">
        <f t="shared" ref="L24:L38" si="9">K24+J24</f>
        <v>650</v>
      </c>
    </row>
    <row r="25" spans="1:25" ht="18.75" x14ac:dyDescent="0.25">
      <c r="A25" s="369">
        <v>3.2</v>
      </c>
      <c r="B25" s="366" t="s">
        <v>120</v>
      </c>
      <c r="C25" s="202"/>
      <c r="D25" s="130"/>
      <c r="E25" s="202"/>
      <c r="F25" s="380"/>
      <c r="G25" s="380">
        <f t="shared" si="7"/>
        <v>0</v>
      </c>
      <c r="H25" s="130"/>
      <c r="I25" s="130">
        <f t="shared" si="8"/>
        <v>0</v>
      </c>
      <c r="J25" s="130">
        <f t="shared" si="5"/>
        <v>0</v>
      </c>
      <c r="K25" s="203">
        <f t="shared" si="6"/>
        <v>0</v>
      </c>
      <c r="L25" s="368">
        <f t="shared" si="9"/>
        <v>0</v>
      </c>
    </row>
    <row r="26" spans="1:25" ht="18.75" x14ac:dyDescent="0.25">
      <c r="A26" s="369"/>
      <c r="B26" s="370" t="s">
        <v>188</v>
      </c>
      <c r="C26" s="202" t="s">
        <v>12</v>
      </c>
      <c r="D26" s="130">
        <v>3</v>
      </c>
      <c r="E26" s="202">
        <v>2</v>
      </c>
      <c r="F26" s="380"/>
      <c r="G26" s="380">
        <f t="shared" si="7"/>
        <v>2</v>
      </c>
      <c r="H26" s="130">
        <v>2600</v>
      </c>
      <c r="I26" s="130">
        <f t="shared" si="8"/>
        <v>7800</v>
      </c>
      <c r="J26" s="130">
        <f t="shared" si="5"/>
        <v>5200</v>
      </c>
      <c r="K26" s="203">
        <f t="shared" si="6"/>
        <v>0</v>
      </c>
      <c r="L26" s="368">
        <f t="shared" si="9"/>
        <v>5200</v>
      </c>
    </row>
    <row r="27" spans="1:25" ht="18.75" x14ac:dyDescent="0.25">
      <c r="A27" s="369"/>
      <c r="B27" s="370" t="s">
        <v>189</v>
      </c>
      <c r="C27" s="202" t="s">
        <v>12</v>
      </c>
      <c r="D27" s="130">
        <v>2</v>
      </c>
      <c r="E27" s="202">
        <v>0.92</v>
      </c>
      <c r="F27" s="380"/>
      <c r="G27" s="380">
        <f t="shared" si="7"/>
        <v>0.92</v>
      </c>
      <c r="H27" s="130">
        <v>2600</v>
      </c>
      <c r="I27" s="130">
        <f t="shared" si="8"/>
        <v>5200</v>
      </c>
      <c r="J27" s="130">
        <f t="shared" si="5"/>
        <v>2392</v>
      </c>
      <c r="K27" s="203">
        <f t="shared" si="6"/>
        <v>0</v>
      </c>
      <c r="L27" s="368">
        <f t="shared" si="9"/>
        <v>2392</v>
      </c>
    </row>
    <row r="28" spans="1:25" ht="18.75" x14ac:dyDescent="0.25">
      <c r="A28" s="369"/>
      <c r="B28" s="370" t="s">
        <v>190</v>
      </c>
      <c r="C28" s="202" t="s">
        <v>12</v>
      </c>
      <c r="D28" s="130">
        <v>7</v>
      </c>
      <c r="E28" s="202">
        <v>7.23</v>
      </c>
      <c r="F28" s="380"/>
      <c r="G28" s="380">
        <f t="shared" si="7"/>
        <v>7.23</v>
      </c>
      <c r="H28" s="130">
        <v>2600</v>
      </c>
      <c r="I28" s="130">
        <f t="shared" si="8"/>
        <v>18200</v>
      </c>
      <c r="J28" s="130">
        <f t="shared" si="5"/>
        <v>18798</v>
      </c>
      <c r="K28" s="203">
        <f t="shared" si="6"/>
        <v>0</v>
      </c>
      <c r="L28" s="368">
        <f t="shared" si="9"/>
        <v>18798</v>
      </c>
    </row>
    <row r="29" spans="1:25" ht="18.75" x14ac:dyDescent="0.25">
      <c r="A29" s="383">
        <v>3.3</v>
      </c>
      <c r="B29" s="370" t="s">
        <v>165</v>
      </c>
      <c r="C29" s="202" t="s">
        <v>11</v>
      </c>
      <c r="D29" s="130">
        <v>96</v>
      </c>
      <c r="E29" s="202">
        <v>0</v>
      </c>
      <c r="F29" s="380">
        <v>0</v>
      </c>
      <c r="G29" s="380">
        <f t="shared" si="7"/>
        <v>0</v>
      </c>
      <c r="H29" s="130">
        <v>260</v>
      </c>
      <c r="I29" s="130">
        <f t="shared" si="8"/>
        <v>24960</v>
      </c>
      <c r="J29" s="130">
        <f t="shared" si="5"/>
        <v>0</v>
      </c>
      <c r="K29" s="203">
        <f t="shared" si="6"/>
        <v>0</v>
      </c>
      <c r="L29" s="368">
        <f t="shared" si="9"/>
        <v>0</v>
      </c>
    </row>
    <row r="30" spans="1:25" ht="18.75" x14ac:dyDescent="0.25">
      <c r="A30" s="369">
        <v>3.4</v>
      </c>
      <c r="B30" s="366" t="s">
        <v>109</v>
      </c>
      <c r="C30" s="202"/>
      <c r="D30" s="130"/>
      <c r="E30" s="202"/>
      <c r="F30" s="380"/>
      <c r="G30" s="380">
        <f t="shared" si="7"/>
        <v>0</v>
      </c>
      <c r="H30" s="130"/>
      <c r="I30" s="130">
        <f t="shared" si="8"/>
        <v>0</v>
      </c>
      <c r="J30" s="130">
        <f t="shared" si="5"/>
        <v>0</v>
      </c>
      <c r="K30" s="203">
        <f t="shared" si="6"/>
        <v>0</v>
      </c>
      <c r="L30" s="368">
        <f t="shared" si="9"/>
        <v>0</v>
      </c>
    </row>
    <row r="31" spans="1:25" ht="18.75" x14ac:dyDescent="0.25">
      <c r="A31" s="369"/>
      <c r="B31" s="370" t="s">
        <v>188</v>
      </c>
      <c r="C31" s="202" t="s">
        <v>11</v>
      </c>
      <c r="D31" s="130">
        <v>12</v>
      </c>
      <c r="E31" s="202">
        <v>8</v>
      </c>
      <c r="F31" s="380"/>
      <c r="G31" s="380">
        <f t="shared" si="7"/>
        <v>8</v>
      </c>
      <c r="H31" s="130">
        <v>85</v>
      </c>
      <c r="I31" s="130">
        <f t="shared" si="8"/>
        <v>1020</v>
      </c>
      <c r="J31" s="130">
        <f t="shared" si="5"/>
        <v>680</v>
      </c>
      <c r="K31" s="203">
        <f t="shared" si="6"/>
        <v>0</v>
      </c>
      <c r="L31" s="368">
        <f t="shared" si="9"/>
        <v>680</v>
      </c>
    </row>
    <row r="32" spans="1:25" ht="18.75" x14ac:dyDescent="0.25">
      <c r="A32" s="369"/>
      <c r="B32" s="370" t="s">
        <v>189</v>
      </c>
      <c r="C32" s="202" t="s">
        <v>11</v>
      </c>
      <c r="D32" s="130">
        <v>34</v>
      </c>
      <c r="E32" s="202">
        <v>18.399999999999999</v>
      </c>
      <c r="F32" s="380"/>
      <c r="G32" s="380">
        <f t="shared" si="7"/>
        <v>18.399999999999999</v>
      </c>
      <c r="H32" s="130">
        <v>85</v>
      </c>
      <c r="I32" s="130">
        <f t="shared" si="8"/>
        <v>2890</v>
      </c>
      <c r="J32" s="130">
        <f t="shared" si="5"/>
        <v>1563.9999999999998</v>
      </c>
      <c r="K32" s="203">
        <f t="shared" si="6"/>
        <v>0</v>
      </c>
      <c r="L32" s="368">
        <f t="shared" si="9"/>
        <v>1563.9999999999998</v>
      </c>
    </row>
    <row r="33" spans="1:25" ht="18.75" x14ac:dyDescent="0.25">
      <c r="A33" s="369"/>
      <c r="B33" s="370" t="s">
        <v>190</v>
      </c>
      <c r="C33" s="202" t="s">
        <v>11</v>
      </c>
      <c r="D33" s="130">
        <v>66</v>
      </c>
      <c r="E33" s="202">
        <v>55.8</v>
      </c>
      <c r="F33" s="380"/>
      <c r="G33" s="380">
        <f t="shared" si="7"/>
        <v>55.8</v>
      </c>
      <c r="H33" s="130">
        <v>85</v>
      </c>
      <c r="I33" s="130">
        <f t="shared" si="8"/>
        <v>5610</v>
      </c>
      <c r="J33" s="130">
        <f t="shared" si="5"/>
        <v>4743</v>
      </c>
      <c r="K33" s="203">
        <f t="shared" si="6"/>
        <v>0</v>
      </c>
      <c r="L33" s="368">
        <f t="shared" si="9"/>
        <v>4743</v>
      </c>
    </row>
    <row r="34" spans="1:25" ht="18.75" x14ac:dyDescent="0.25">
      <c r="A34" s="369">
        <v>3.5</v>
      </c>
      <c r="B34" s="366" t="s">
        <v>15</v>
      </c>
      <c r="C34" s="202"/>
      <c r="D34" s="130"/>
      <c r="E34" s="202"/>
      <c r="F34" s="380"/>
      <c r="G34" s="380">
        <f t="shared" si="7"/>
        <v>0</v>
      </c>
      <c r="H34" s="130"/>
      <c r="I34" s="130">
        <f t="shared" si="8"/>
        <v>0</v>
      </c>
      <c r="J34" s="130">
        <f t="shared" si="5"/>
        <v>0</v>
      </c>
      <c r="K34" s="203">
        <f t="shared" si="6"/>
        <v>0</v>
      </c>
      <c r="L34" s="368">
        <f t="shared" si="9"/>
        <v>0</v>
      </c>
    </row>
    <row r="35" spans="1:25" ht="18.75" x14ac:dyDescent="0.25">
      <c r="A35" s="369"/>
      <c r="B35" s="370" t="s">
        <v>185</v>
      </c>
      <c r="C35" s="202" t="s">
        <v>16</v>
      </c>
      <c r="D35" s="130">
        <v>47</v>
      </c>
      <c r="E35" s="202"/>
      <c r="F35" s="380"/>
      <c r="G35" s="380">
        <f t="shared" si="7"/>
        <v>0</v>
      </c>
      <c r="H35" s="130">
        <v>38</v>
      </c>
      <c r="I35" s="130">
        <f t="shared" si="8"/>
        <v>1786</v>
      </c>
      <c r="J35" s="130">
        <f t="shared" si="5"/>
        <v>0</v>
      </c>
      <c r="K35" s="203">
        <f t="shared" si="6"/>
        <v>0</v>
      </c>
      <c r="L35" s="368">
        <f t="shared" si="9"/>
        <v>0</v>
      </c>
    </row>
    <row r="36" spans="1:25" ht="18.75" x14ac:dyDescent="0.25">
      <c r="A36" s="369"/>
      <c r="B36" s="370" t="s">
        <v>43</v>
      </c>
      <c r="C36" s="202" t="s">
        <v>16</v>
      </c>
      <c r="D36" s="130">
        <v>583</v>
      </c>
      <c r="E36" s="202">
        <v>182.89</v>
      </c>
      <c r="F36" s="380"/>
      <c r="G36" s="380">
        <f t="shared" si="7"/>
        <v>182.89</v>
      </c>
      <c r="H36" s="130">
        <v>34</v>
      </c>
      <c r="I36" s="130">
        <f t="shared" si="8"/>
        <v>19822</v>
      </c>
      <c r="J36" s="130">
        <f t="shared" si="5"/>
        <v>6218.2599999999993</v>
      </c>
      <c r="K36" s="203">
        <f t="shared" si="6"/>
        <v>0</v>
      </c>
      <c r="L36" s="368">
        <f t="shared" si="9"/>
        <v>6218.2599999999993</v>
      </c>
    </row>
    <row r="37" spans="1:25" ht="18.75" x14ac:dyDescent="0.25">
      <c r="A37" s="369"/>
      <c r="B37" s="370" t="s">
        <v>186</v>
      </c>
      <c r="C37" s="202" t="s">
        <v>16</v>
      </c>
      <c r="D37" s="130">
        <v>134</v>
      </c>
      <c r="E37" s="202">
        <v>258.23</v>
      </c>
      <c r="F37" s="380"/>
      <c r="G37" s="380">
        <f t="shared" si="7"/>
        <v>258.23</v>
      </c>
      <c r="H37" s="130">
        <v>34</v>
      </c>
      <c r="I37" s="130">
        <f t="shared" si="8"/>
        <v>4556</v>
      </c>
      <c r="J37" s="130">
        <f t="shared" si="5"/>
        <v>8779.82</v>
      </c>
      <c r="K37" s="203">
        <f t="shared" si="6"/>
        <v>0</v>
      </c>
      <c r="L37" s="368">
        <f t="shared" si="9"/>
        <v>8779.82</v>
      </c>
    </row>
    <row r="38" spans="1:25" ht="19.5" thickBot="1" x14ac:dyDescent="0.3">
      <c r="A38" s="371"/>
      <c r="B38" s="372" t="s">
        <v>187</v>
      </c>
      <c r="C38" s="205" t="s">
        <v>16</v>
      </c>
      <c r="D38" s="140">
        <v>596</v>
      </c>
      <c r="E38" s="205">
        <v>560.59</v>
      </c>
      <c r="F38" s="384"/>
      <c r="G38" s="380">
        <f t="shared" si="7"/>
        <v>560.59</v>
      </c>
      <c r="H38" s="130">
        <v>34</v>
      </c>
      <c r="I38" s="130">
        <f t="shared" si="8"/>
        <v>20264</v>
      </c>
      <c r="J38" s="130">
        <f t="shared" si="5"/>
        <v>19060.060000000001</v>
      </c>
      <c r="K38" s="203">
        <f t="shared" si="6"/>
        <v>0</v>
      </c>
      <c r="L38" s="368">
        <f t="shared" si="9"/>
        <v>19060.060000000001</v>
      </c>
    </row>
    <row r="39" spans="1:25" s="587" customFormat="1" ht="18.75" thickBot="1" x14ac:dyDescent="0.25">
      <c r="A39" s="588"/>
      <c r="B39" s="1184" t="s">
        <v>64</v>
      </c>
      <c r="C39" s="1185"/>
      <c r="D39" s="1185"/>
      <c r="E39" s="1185"/>
      <c r="F39" s="1185"/>
      <c r="G39" s="1185"/>
      <c r="H39" s="1186"/>
      <c r="I39" s="589">
        <f>SUM(I23:I38)</f>
        <v>114578</v>
      </c>
      <c r="J39" s="589">
        <f>SUM(J23:J38)</f>
        <v>70327.64</v>
      </c>
      <c r="K39" s="589">
        <f>SUM(K23:K38)</f>
        <v>0</v>
      </c>
      <c r="L39" s="589">
        <f>SUM(L23:L38)</f>
        <v>70327.64</v>
      </c>
      <c r="M39" s="638"/>
      <c r="N39" s="638"/>
      <c r="O39" s="638"/>
      <c r="P39" s="638"/>
      <c r="Q39" s="638"/>
      <c r="R39" s="638"/>
      <c r="S39" s="638"/>
      <c r="T39" s="638"/>
      <c r="U39" s="638"/>
      <c r="V39" s="638"/>
      <c r="W39" s="638"/>
      <c r="X39" s="638"/>
      <c r="Y39" s="638"/>
    </row>
    <row r="40" spans="1:25" s="84" customFormat="1" ht="18" x14ac:dyDescent="0.2">
      <c r="B40" s="432" t="s">
        <v>233</v>
      </c>
      <c r="C40" s="432"/>
      <c r="D40" s="432"/>
      <c r="E40" s="432"/>
      <c r="F40" s="432"/>
      <c r="G40" s="432"/>
      <c r="H40" s="432"/>
      <c r="I40" s="432"/>
      <c r="J40" s="432" t="s">
        <v>343</v>
      </c>
      <c r="K40" s="432"/>
      <c r="L40" s="432"/>
      <c r="M40" s="626"/>
      <c r="N40" s="626"/>
      <c r="O40" s="626"/>
      <c r="P40" s="626"/>
      <c r="Q40" s="626"/>
      <c r="R40" s="626"/>
      <c r="S40" s="626"/>
      <c r="T40" s="626"/>
      <c r="U40" s="626"/>
      <c r="V40" s="626"/>
      <c r="W40" s="626"/>
    </row>
    <row r="41" spans="1:25" ht="15.75" thickBot="1" x14ac:dyDescent="0.25">
      <c r="A41" s="279"/>
      <c r="B41" s="1169" t="s">
        <v>229</v>
      </c>
      <c r="C41" s="1169"/>
      <c r="D41" s="1169"/>
      <c r="E41" s="1169"/>
      <c r="F41" s="1169"/>
      <c r="G41" s="1169"/>
      <c r="H41" s="1169"/>
      <c r="I41" s="1169"/>
      <c r="J41" s="1169"/>
      <c r="K41" s="1169"/>
      <c r="L41" s="90"/>
      <c r="M41" s="644"/>
      <c r="N41" s="644"/>
      <c r="O41" s="644"/>
      <c r="P41" s="644"/>
      <c r="Q41" s="644"/>
      <c r="R41" s="644"/>
      <c r="S41" s="644"/>
      <c r="T41" s="644"/>
      <c r="U41" s="644"/>
      <c r="V41" s="644"/>
      <c r="W41" s="644"/>
      <c r="X41" s="644"/>
      <c r="Y41" s="644"/>
    </row>
    <row r="42" spans="1:25" s="254" customFormat="1" ht="21.75" customHeight="1" x14ac:dyDescent="0.15">
      <c r="A42" s="1194" t="s">
        <v>61</v>
      </c>
      <c r="B42" s="1197" t="s">
        <v>54</v>
      </c>
      <c r="C42" s="1197" t="s">
        <v>5</v>
      </c>
      <c r="D42" s="1089" t="s">
        <v>4</v>
      </c>
      <c r="E42" s="1188"/>
      <c r="F42" s="1189"/>
      <c r="G42" s="1128" t="s">
        <v>334</v>
      </c>
      <c r="H42" s="1199" t="s">
        <v>8</v>
      </c>
      <c r="I42" s="1187" t="s">
        <v>50</v>
      </c>
      <c r="J42" s="1188"/>
      <c r="K42" s="1189"/>
      <c r="L42" s="506"/>
      <c r="M42" s="616"/>
      <c r="N42" s="616"/>
      <c r="O42" s="616"/>
      <c r="P42" s="616"/>
      <c r="Q42" s="616"/>
      <c r="R42" s="616"/>
      <c r="S42" s="616"/>
      <c r="T42" s="616"/>
      <c r="U42" s="616"/>
      <c r="V42" s="616"/>
      <c r="W42" s="616"/>
      <c r="X42" s="616"/>
      <c r="Y42" s="616"/>
    </row>
    <row r="43" spans="1:25" s="254" customFormat="1" ht="19.5" customHeight="1" x14ac:dyDescent="0.15">
      <c r="A43" s="1195"/>
      <c r="B43" s="1198"/>
      <c r="C43" s="1198"/>
      <c r="D43" s="1190" t="s">
        <v>62</v>
      </c>
      <c r="E43" s="1192" t="s">
        <v>63</v>
      </c>
      <c r="F43" s="1193"/>
      <c r="G43" s="1129"/>
      <c r="H43" s="1200"/>
      <c r="I43" s="1183" t="s">
        <v>6</v>
      </c>
      <c r="J43" s="1093" t="s">
        <v>7</v>
      </c>
      <c r="K43" s="1094"/>
      <c r="L43" s="1132" t="s">
        <v>336</v>
      </c>
      <c r="M43" s="616"/>
      <c r="N43" s="616"/>
      <c r="O43" s="616"/>
      <c r="P43" s="616"/>
      <c r="Q43" s="616"/>
      <c r="R43" s="616"/>
      <c r="S43" s="616"/>
      <c r="T43" s="616"/>
      <c r="U43" s="616"/>
      <c r="V43" s="616"/>
      <c r="W43" s="616"/>
      <c r="X43" s="616"/>
      <c r="Y43" s="616"/>
    </row>
    <row r="44" spans="1:25" s="254" customFormat="1" ht="21" customHeight="1" thickBot="1" x14ac:dyDescent="0.2">
      <c r="A44" s="1196"/>
      <c r="B44" s="1092"/>
      <c r="C44" s="1092"/>
      <c r="D44" s="1191"/>
      <c r="E44" s="352" t="s">
        <v>98</v>
      </c>
      <c r="F44" s="352" t="s">
        <v>99</v>
      </c>
      <c r="G44" s="1129"/>
      <c r="H44" s="1201"/>
      <c r="I44" s="1092"/>
      <c r="J44" s="352" t="s">
        <v>98</v>
      </c>
      <c r="K44" s="352" t="s">
        <v>99</v>
      </c>
      <c r="L44" s="1133"/>
      <c r="M44" s="616"/>
      <c r="N44" s="616"/>
      <c r="O44" s="616"/>
      <c r="P44" s="616"/>
      <c r="Q44" s="616"/>
      <c r="R44" s="616"/>
      <c r="S44" s="616"/>
      <c r="T44" s="616"/>
      <c r="U44" s="616"/>
      <c r="V44" s="616"/>
      <c r="W44" s="616"/>
      <c r="X44" s="616"/>
      <c r="Y44" s="616"/>
    </row>
    <row r="45" spans="1:25" s="254" customFormat="1" ht="21" customHeight="1" thickBot="1" x14ac:dyDescent="0.2">
      <c r="A45" s="353" t="s">
        <v>102</v>
      </c>
      <c r="B45" s="354" t="s">
        <v>103</v>
      </c>
      <c r="C45" s="354" t="s">
        <v>104</v>
      </c>
      <c r="D45" s="355" t="s">
        <v>105</v>
      </c>
      <c r="E45" s="355" t="s">
        <v>106</v>
      </c>
      <c r="F45" s="355" t="s">
        <v>107</v>
      </c>
      <c r="G45" s="355"/>
      <c r="H45" s="356" t="s">
        <v>108</v>
      </c>
      <c r="I45" s="354" t="s">
        <v>116</v>
      </c>
      <c r="J45" s="355" t="s">
        <v>115</v>
      </c>
      <c r="K45" s="355" t="s">
        <v>114</v>
      </c>
      <c r="L45" s="357" t="s">
        <v>113</v>
      </c>
      <c r="M45" s="616"/>
      <c r="N45" s="616"/>
      <c r="O45" s="616"/>
      <c r="P45" s="616"/>
      <c r="Q45" s="616"/>
      <c r="R45" s="616"/>
      <c r="S45" s="616"/>
      <c r="T45" s="616"/>
      <c r="U45" s="616"/>
      <c r="V45" s="616"/>
      <c r="W45" s="616"/>
      <c r="X45" s="616"/>
      <c r="Y45" s="616"/>
    </row>
    <row r="46" spans="1:25" s="392" customFormat="1" ht="14.25" x14ac:dyDescent="0.15">
      <c r="A46" s="385"/>
      <c r="B46" s="386" t="s">
        <v>304</v>
      </c>
      <c r="C46" s="387"/>
      <c r="D46" s="388"/>
      <c r="E46" s="389"/>
      <c r="F46" s="390"/>
      <c r="G46" s="390"/>
      <c r="H46" s="390"/>
      <c r="I46" s="390"/>
      <c r="J46" s="390"/>
      <c r="K46" s="390"/>
      <c r="L46" s="391"/>
    </row>
    <row r="47" spans="1:25" s="392" customFormat="1" ht="20.25" customHeight="1" x14ac:dyDescent="0.2">
      <c r="A47" s="393"/>
      <c r="B47" s="394" t="s">
        <v>305</v>
      </c>
      <c r="C47" s="395"/>
      <c r="D47" s="396"/>
      <c r="E47" s="397"/>
      <c r="F47" s="243"/>
      <c r="G47" s="243"/>
      <c r="H47" s="243"/>
      <c r="I47" s="243"/>
      <c r="J47" s="243"/>
      <c r="K47" s="243"/>
      <c r="L47" s="398"/>
    </row>
    <row r="48" spans="1:25" s="392" customFormat="1" ht="20.25" customHeight="1" x14ac:dyDescent="0.2">
      <c r="A48" s="399">
        <v>1.01</v>
      </c>
      <c r="B48" s="400" t="s">
        <v>306</v>
      </c>
      <c r="C48" s="395"/>
      <c r="D48" s="396"/>
      <c r="E48" s="397"/>
      <c r="F48" s="243"/>
      <c r="G48" s="243"/>
      <c r="H48" s="243"/>
      <c r="I48" s="243"/>
      <c r="J48" s="243"/>
      <c r="K48" s="243"/>
      <c r="L48" s="398"/>
    </row>
    <row r="49" spans="1:25" s="392" customFormat="1" ht="20.25" customHeight="1" x14ac:dyDescent="0.2">
      <c r="A49" s="399"/>
      <c r="B49" s="401" t="s">
        <v>307</v>
      </c>
      <c r="C49" s="402" t="s">
        <v>318</v>
      </c>
      <c r="D49" s="403">
        <v>1.65</v>
      </c>
      <c r="E49" s="239">
        <v>1.08</v>
      </c>
      <c r="F49" s="239"/>
      <c r="G49" s="239">
        <f>F49+E49</f>
        <v>1.08</v>
      </c>
      <c r="H49" s="403">
        <v>2600</v>
      </c>
      <c r="I49" s="239">
        <f>H49*D49</f>
        <v>4290</v>
      </c>
      <c r="J49" s="239">
        <f>H49*E49</f>
        <v>2808</v>
      </c>
      <c r="K49" s="239">
        <f>H49*F49</f>
        <v>0</v>
      </c>
      <c r="L49" s="398">
        <f>K49+J49</f>
        <v>2808</v>
      </c>
    </row>
    <row r="50" spans="1:25" s="392" customFormat="1" ht="20.25" customHeight="1" x14ac:dyDescent="0.2">
      <c r="A50" s="399"/>
      <c r="B50" s="401" t="s">
        <v>308</v>
      </c>
      <c r="C50" s="402" t="s">
        <v>318</v>
      </c>
      <c r="D50" s="403">
        <v>3.52</v>
      </c>
      <c r="E50" s="239">
        <v>4.2</v>
      </c>
      <c r="F50" s="239"/>
      <c r="G50" s="239">
        <f t="shared" ref="G50:G59" si="10">F50+E50</f>
        <v>4.2</v>
      </c>
      <c r="H50" s="403">
        <v>2600</v>
      </c>
      <c r="I50" s="239">
        <f t="shared" ref="I50:I59" si="11">H50*D50</f>
        <v>9152</v>
      </c>
      <c r="J50" s="239">
        <f t="shared" ref="J50:J59" si="12">H50*E50</f>
        <v>10920</v>
      </c>
      <c r="K50" s="239">
        <f t="shared" ref="K50:K58" si="13">H50*F50</f>
        <v>0</v>
      </c>
      <c r="L50" s="398">
        <f t="shared" ref="L50:L59" si="14">K50+J50</f>
        <v>10920</v>
      </c>
    </row>
    <row r="51" spans="1:25" s="392" customFormat="1" ht="20.25" customHeight="1" x14ac:dyDescent="0.2">
      <c r="A51" s="399"/>
      <c r="B51" s="401" t="s">
        <v>309</v>
      </c>
      <c r="C51" s="402" t="s">
        <v>318</v>
      </c>
      <c r="D51" s="403">
        <v>0.5</v>
      </c>
      <c r="E51" s="239"/>
      <c r="F51" s="239"/>
      <c r="G51" s="239">
        <f t="shared" si="10"/>
        <v>0</v>
      </c>
      <c r="H51" s="403">
        <v>2600</v>
      </c>
      <c r="I51" s="239">
        <f t="shared" si="11"/>
        <v>1300</v>
      </c>
      <c r="J51" s="239">
        <f t="shared" si="12"/>
        <v>0</v>
      </c>
      <c r="K51" s="239">
        <f t="shared" si="13"/>
        <v>0</v>
      </c>
      <c r="L51" s="398">
        <f t="shared" si="14"/>
        <v>0</v>
      </c>
    </row>
    <row r="52" spans="1:25" s="392" customFormat="1" ht="20.25" customHeight="1" x14ac:dyDescent="0.2">
      <c r="A52" s="404">
        <v>1.02</v>
      </c>
      <c r="B52" s="400" t="s">
        <v>310</v>
      </c>
      <c r="C52" s="402"/>
      <c r="D52" s="403"/>
      <c r="E52" s="403"/>
      <c r="F52" s="403"/>
      <c r="G52" s="239">
        <f t="shared" si="10"/>
        <v>0</v>
      </c>
      <c r="H52" s="239"/>
      <c r="I52" s="239">
        <f t="shared" si="11"/>
        <v>0</v>
      </c>
      <c r="J52" s="239">
        <f t="shared" si="12"/>
        <v>0</v>
      </c>
      <c r="K52" s="239">
        <f t="shared" si="13"/>
        <v>0</v>
      </c>
      <c r="L52" s="398">
        <f t="shared" si="14"/>
        <v>0</v>
      </c>
    </row>
    <row r="53" spans="1:25" s="392" customFormat="1" ht="20.25" customHeight="1" x14ac:dyDescent="0.2">
      <c r="A53" s="399"/>
      <c r="B53" s="401" t="s">
        <v>311</v>
      </c>
      <c r="C53" s="402" t="s">
        <v>303</v>
      </c>
      <c r="D53" s="403">
        <v>33</v>
      </c>
      <c r="E53" s="239">
        <v>21.6</v>
      </c>
      <c r="F53" s="239"/>
      <c r="G53" s="232">
        <f t="shared" si="10"/>
        <v>21.6</v>
      </c>
      <c r="H53" s="443">
        <v>85</v>
      </c>
      <c r="I53" s="239">
        <f t="shared" si="11"/>
        <v>2805</v>
      </c>
      <c r="J53" s="239">
        <f t="shared" si="12"/>
        <v>1836.0000000000002</v>
      </c>
      <c r="K53" s="239">
        <f t="shared" si="13"/>
        <v>0</v>
      </c>
      <c r="L53" s="398">
        <f t="shared" si="14"/>
        <v>1836.0000000000002</v>
      </c>
    </row>
    <row r="54" spans="1:25" s="392" customFormat="1" ht="20.25" customHeight="1" x14ac:dyDescent="0.2">
      <c r="A54" s="399"/>
      <c r="B54" s="401" t="s">
        <v>312</v>
      </c>
      <c r="C54" s="402" t="s">
        <v>303</v>
      </c>
      <c r="D54" s="403">
        <v>52</v>
      </c>
      <c r="E54" s="239">
        <v>55.84</v>
      </c>
      <c r="F54" s="239"/>
      <c r="G54" s="232">
        <f t="shared" si="10"/>
        <v>55.84</v>
      </c>
      <c r="H54" s="443">
        <v>85</v>
      </c>
      <c r="I54" s="239">
        <f t="shared" si="11"/>
        <v>4420</v>
      </c>
      <c r="J54" s="239">
        <f t="shared" si="12"/>
        <v>4746.4000000000005</v>
      </c>
      <c r="K54" s="239">
        <f t="shared" si="13"/>
        <v>0</v>
      </c>
      <c r="L54" s="398">
        <f t="shared" si="14"/>
        <v>4746.4000000000005</v>
      </c>
    </row>
    <row r="55" spans="1:25" s="392" customFormat="1" ht="20.25" customHeight="1" x14ac:dyDescent="0.2">
      <c r="A55" s="399"/>
      <c r="B55" s="401" t="s">
        <v>313</v>
      </c>
      <c r="C55" s="402" t="s">
        <v>303</v>
      </c>
      <c r="D55" s="403">
        <v>1</v>
      </c>
      <c r="E55" s="239"/>
      <c r="F55" s="239"/>
      <c r="G55" s="232">
        <f t="shared" si="10"/>
        <v>0</v>
      </c>
      <c r="H55" s="443">
        <v>85</v>
      </c>
      <c r="I55" s="239">
        <f t="shared" si="11"/>
        <v>85</v>
      </c>
      <c r="J55" s="239">
        <f t="shared" si="12"/>
        <v>0</v>
      </c>
      <c r="K55" s="239">
        <f t="shared" si="13"/>
        <v>0</v>
      </c>
      <c r="L55" s="398">
        <f t="shared" si="14"/>
        <v>0</v>
      </c>
    </row>
    <row r="56" spans="1:25" s="392" customFormat="1" ht="20.25" customHeight="1" x14ac:dyDescent="0.2">
      <c r="A56" s="404">
        <v>1.03</v>
      </c>
      <c r="B56" s="400" t="s">
        <v>314</v>
      </c>
      <c r="C56" s="402"/>
      <c r="D56" s="403"/>
      <c r="E56" s="403"/>
      <c r="F56" s="403"/>
      <c r="G56" s="232">
        <f t="shared" si="10"/>
        <v>0</v>
      </c>
      <c r="H56" s="232"/>
      <c r="I56" s="239">
        <f t="shared" si="11"/>
        <v>0</v>
      </c>
      <c r="J56" s="239">
        <f t="shared" si="12"/>
        <v>0</v>
      </c>
      <c r="K56" s="239">
        <f t="shared" si="13"/>
        <v>0</v>
      </c>
      <c r="L56" s="398">
        <f t="shared" si="14"/>
        <v>0</v>
      </c>
    </row>
    <row r="57" spans="1:25" s="392" customFormat="1" ht="20.25" customHeight="1" x14ac:dyDescent="0.2">
      <c r="A57" s="399"/>
      <c r="B57" s="401" t="s">
        <v>315</v>
      </c>
      <c r="C57" s="402" t="s">
        <v>246</v>
      </c>
      <c r="D57" s="239">
        <v>112</v>
      </c>
      <c r="E57" s="239">
        <v>144.97</v>
      </c>
      <c r="F57" s="239"/>
      <c r="G57" s="232">
        <f t="shared" si="10"/>
        <v>144.97</v>
      </c>
      <c r="H57" s="443">
        <v>34</v>
      </c>
      <c r="I57" s="239">
        <f t="shared" si="11"/>
        <v>3808</v>
      </c>
      <c r="J57" s="239">
        <f>H57*E57</f>
        <v>4928.9799999999996</v>
      </c>
      <c r="K57" s="239">
        <f t="shared" si="13"/>
        <v>0</v>
      </c>
      <c r="L57" s="398">
        <f t="shared" si="14"/>
        <v>4928.9799999999996</v>
      </c>
    </row>
    <row r="58" spans="1:25" s="392" customFormat="1" ht="20.25" customHeight="1" x14ac:dyDescent="0.2">
      <c r="A58" s="399"/>
      <c r="B58" s="401" t="s">
        <v>316</v>
      </c>
      <c r="C58" s="402" t="s">
        <v>16</v>
      </c>
      <c r="D58" s="239">
        <v>242</v>
      </c>
      <c r="E58" s="239">
        <v>712.28</v>
      </c>
      <c r="F58" s="239"/>
      <c r="G58" s="232">
        <f t="shared" si="10"/>
        <v>712.28</v>
      </c>
      <c r="H58" s="443">
        <v>34</v>
      </c>
      <c r="I58" s="239">
        <f t="shared" si="11"/>
        <v>8228</v>
      </c>
      <c r="J58" s="239">
        <f t="shared" si="12"/>
        <v>24217.52</v>
      </c>
      <c r="K58" s="239">
        <f t="shared" si="13"/>
        <v>0</v>
      </c>
      <c r="L58" s="398">
        <f t="shared" si="14"/>
        <v>24217.52</v>
      </c>
    </row>
    <row r="59" spans="1:25" s="392" customFormat="1" ht="20.25" customHeight="1" thickBot="1" x14ac:dyDescent="0.25">
      <c r="A59" s="405"/>
      <c r="B59" s="406" t="s">
        <v>317</v>
      </c>
      <c r="C59" s="407" t="s">
        <v>246</v>
      </c>
      <c r="D59" s="408">
        <v>231</v>
      </c>
      <c r="E59" s="240">
        <v>0</v>
      </c>
      <c r="F59" s="240"/>
      <c r="G59" s="232">
        <f t="shared" si="10"/>
        <v>0</v>
      </c>
      <c r="H59" s="443">
        <v>34</v>
      </c>
      <c r="I59" s="239">
        <f t="shared" si="11"/>
        <v>7854</v>
      </c>
      <c r="J59" s="239">
        <f t="shared" si="12"/>
        <v>0</v>
      </c>
      <c r="K59" s="239">
        <f>H59*F59</f>
        <v>0</v>
      </c>
      <c r="L59" s="398">
        <f t="shared" si="14"/>
        <v>0</v>
      </c>
    </row>
    <row r="60" spans="1:25" s="569" customFormat="1" ht="20.25" customHeight="1" thickBot="1" x14ac:dyDescent="0.25">
      <c r="A60" s="590"/>
      <c r="B60" s="591" t="s">
        <v>64</v>
      </c>
      <c r="C60" s="592"/>
      <c r="D60" s="592"/>
      <c r="E60" s="591"/>
      <c r="F60" s="840"/>
      <c r="G60" s="840"/>
      <c r="H60" s="840"/>
      <c r="I60" s="591">
        <f>SUM(I49:I59)</f>
        <v>41942</v>
      </c>
      <c r="J60" s="591">
        <f>SUM(J49:J59)</f>
        <v>49456.9</v>
      </c>
      <c r="K60" s="591">
        <f>SUM(K49:K59)</f>
        <v>0</v>
      </c>
      <c r="L60" s="591">
        <f>SUM(L49:L59)</f>
        <v>49456.9</v>
      </c>
      <c r="M60" s="616"/>
      <c r="N60" s="616"/>
      <c r="O60" s="616"/>
      <c r="P60" s="616"/>
      <c r="Q60" s="616"/>
      <c r="R60" s="616"/>
      <c r="S60" s="616"/>
      <c r="T60" s="616"/>
      <c r="U60" s="616"/>
      <c r="V60" s="616"/>
      <c r="W60" s="616"/>
      <c r="X60" s="616"/>
      <c r="Y60" s="616"/>
    </row>
    <row r="61" spans="1:25" s="470" customFormat="1" ht="18" x14ac:dyDescent="0.2">
      <c r="A61" s="813"/>
      <c r="B61" s="814" t="s">
        <v>319</v>
      </c>
      <c r="C61" s="217"/>
      <c r="D61" s="477"/>
      <c r="E61" s="815"/>
      <c r="F61" s="816"/>
      <c r="G61" s="816"/>
      <c r="H61" s="477"/>
      <c r="I61" s="815"/>
      <c r="J61" s="815"/>
      <c r="K61" s="477"/>
      <c r="L61" s="817"/>
    </row>
    <row r="62" spans="1:25" s="470" customFormat="1" ht="31.5" x14ac:dyDescent="0.2">
      <c r="A62" s="818">
        <v>2.0099999999999998</v>
      </c>
      <c r="B62" s="819" t="s">
        <v>320</v>
      </c>
      <c r="C62" s="202" t="s">
        <v>424</v>
      </c>
      <c r="D62" s="130">
        <v>215</v>
      </c>
      <c r="E62" s="682"/>
      <c r="F62" s="130">
        <v>135.47</v>
      </c>
      <c r="G62" s="130"/>
      <c r="H62" s="820">
        <f>DIAGONSTIC!H63</f>
        <v>310</v>
      </c>
      <c r="I62" s="239">
        <f>H62*D62</f>
        <v>66650</v>
      </c>
      <c r="J62" s="239">
        <f>H62*E62</f>
        <v>0</v>
      </c>
      <c r="K62" s="239">
        <f>H62*F62</f>
        <v>41995.7</v>
      </c>
      <c r="L62" s="398">
        <f>K62+J62</f>
        <v>41995.7</v>
      </c>
    </row>
    <row r="63" spans="1:25" s="470" customFormat="1" ht="21" thickBot="1" x14ac:dyDescent="0.25">
      <c r="A63" s="821">
        <v>2.02</v>
      </c>
      <c r="B63" s="822" t="s">
        <v>321</v>
      </c>
      <c r="C63" s="205" t="s">
        <v>424</v>
      </c>
      <c r="D63" s="140">
        <v>53</v>
      </c>
      <c r="E63" s="823"/>
      <c r="F63" s="140">
        <v>70.09</v>
      </c>
      <c r="G63" s="130">
        <f>F63+E63</f>
        <v>70.09</v>
      </c>
      <c r="H63" s="820">
        <v>285</v>
      </c>
      <c r="I63" s="239">
        <f>H63*D63</f>
        <v>15105</v>
      </c>
      <c r="J63" s="239">
        <f>H63*E63</f>
        <v>0</v>
      </c>
      <c r="K63" s="239">
        <f>H63*F63</f>
        <v>19975.650000000001</v>
      </c>
      <c r="L63" s="398">
        <f>K63+J63</f>
        <v>19975.650000000001</v>
      </c>
    </row>
    <row r="64" spans="1:25" s="825" customFormat="1" ht="24.95" customHeight="1" thickBot="1" x14ac:dyDescent="0.25">
      <c r="A64" s="838"/>
      <c r="B64" s="1180" t="s">
        <v>64</v>
      </c>
      <c r="C64" s="1181"/>
      <c r="D64" s="1181"/>
      <c r="E64" s="1181"/>
      <c r="F64" s="1181"/>
      <c r="G64" s="1181"/>
      <c r="H64" s="1182"/>
      <c r="I64" s="839">
        <f>SUM(I62:I63)</f>
        <v>81755</v>
      </c>
      <c r="J64" s="839">
        <f>SUM(J62:J63)</f>
        <v>0</v>
      </c>
      <c r="K64" s="839">
        <f>SUM(K62:K63)</f>
        <v>61971.35</v>
      </c>
      <c r="L64" s="839">
        <f>SUM(L62:L63)</f>
        <v>61971.35</v>
      </c>
    </row>
    <row r="65" spans="1:25" s="470" customFormat="1" ht="18" x14ac:dyDescent="0.2">
      <c r="A65" s="826"/>
      <c r="B65" s="827" t="s">
        <v>322</v>
      </c>
      <c r="C65" s="165"/>
      <c r="D65" s="828"/>
      <c r="E65" s="829"/>
      <c r="F65" s="166"/>
      <c r="G65" s="166"/>
      <c r="H65" s="166"/>
      <c r="I65" s="830"/>
      <c r="J65" s="830"/>
      <c r="K65" s="166"/>
      <c r="L65" s="831"/>
    </row>
    <row r="66" spans="1:25" s="470" customFormat="1" ht="34.5" customHeight="1" x14ac:dyDescent="0.2">
      <c r="A66" s="821">
        <v>3.01</v>
      </c>
      <c r="B66" s="832" t="s">
        <v>323</v>
      </c>
      <c r="C66" s="205" t="s">
        <v>424</v>
      </c>
      <c r="D66" s="824">
        <v>150</v>
      </c>
      <c r="E66" s="823">
        <v>153.51</v>
      </c>
      <c r="F66" s="140"/>
      <c r="G66" s="140">
        <f>F66+E66</f>
        <v>153.51</v>
      </c>
      <c r="H66" s="824">
        <v>245</v>
      </c>
      <c r="I66" s="240">
        <f>H66*D66</f>
        <v>36750</v>
      </c>
      <c r="J66" s="240">
        <f>H66*E66</f>
        <v>37609.949999999997</v>
      </c>
      <c r="K66" s="240">
        <f>H66*F66</f>
        <v>0</v>
      </c>
      <c r="L66" s="942">
        <f>K66+J66</f>
        <v>37609.949999999997</v>
      </c>
    </row>
    <row r="67" spans="1:25" s="470" customFormat="1" ht="29.25" customHeight="1" thickBot="1" x14ac:dyDescent="0.25">
      <c r="A67" s="943">
        <v>3.2</v>
      </c>
      <c r="B67" s="944" t="s">
        <v>537</v>
      </c>
      <c r="C67" s="205" t="s">
        <v>424</v>
      </c>
      <c r="D67" s="945"/>
      <c r="E67" s="946"/>
      <c r="F67" s="947"/>
      <c r="G67" s="947"/>
      <c r="H67" s="945"/>
      <c r="I67" s="948"/>
      <c r="J67" s="948"/>
      <c r="K67" s="948"/>
      <c r="L67" s="949"/>
    </row>
    <row r="68" spans="1:25" s="825" customFormat="1" ht="24.95" customHeight="1" thickBot="1" x14ac:dyDescent="0.25">
      <c r="A68" s="838"/>
      <c r="B68" s="1180" t="s">
        <v>64</v>
      </c>
      <c r="C68" s="1181"/>
      <c r="D68" s="1181"/>
      <c r="E68" s="1181"/>
      <c r="F68" s="1181"/>
      <c r="G68" s="1181"/>
      <c r="H68" s="1182"/>
      <c r="I68" s="839">
        <f>SUM(I66)</f>
        <v>36750</v>
      </c>
      <c r="J68" s="839">
        <f>SUM(J66)</f>
        <v>37609.949999999997</v>
      </c>
      <c r="K68" s="839">
        <f>SUM(K66)</f>
        <v>0</v>
      </c>
      <c r="L68" s="839">
        <f>SUM(L66)</f>
        <v>37609.949999999997</v>
      </c>
    </row>
    <row r="69" spans="1:25" s="470" customFormat="1" ht="18" x14ac:dyDescent="0.2">
      <c r="A69" s="826"/>
      <c r="B69" s="827" t="s">
        <v>324</v>
      </c>
      <c r="C69" s="165"/>
      <c r="D69" s="828"/>
      <c r="E69" s="830"/>
      <c r="F69" s="166"/>
      <c r="G69" s="166"/>
      <c r="H69" s="166"/>
      <c r="I69" s="830"/>
      <c r="J69" s="830"/>
      <c r="K69" s="830"/>
      <c r="L69" s="831"/>
    </row>
    <row r="70" spans="1:25" s="470" customFormat="1" ht="18" x14ac:dyDescent="0.2">
      <c r="A70" s="833">
        <v>4.01</v>
      </c>
      <c r="B70" s="834" t="s">
        <v>420</v>
      </c>
      <c r="C70" s="202"/>
      <c r="D70" s="820"/>
      <c r="E70" s="835"/>
      <c r="F70" s="130"/>
      <c r="G70" s="130"/>
      <c r="H70" s="130"/>
      <c r="I70" s="835"/>
      <c r="J70" s="835"/>
      <c r="K70" s="207"/>
      <c r="L70" s="836"/>
    </row>
    <row r="71" spans="1:25" s="470" customFormat="1" ht="18" x14ac:dyDescent="0.2">
      <c r="A71" s="833" t="s">
        <v>325</v>
      </c>
      <c r="B71" s="819" t="s">
        <v>421</v>
      </c>
      <c r="C71" s="202" t="s">
        <v>174</v>
      </c>
      <c r="D71" s="820">
        <v>232</v>
      </c>
      <c r="E71" s="682">
        <v>303.04000000000002</v>
      </c>
      <c r="F71" s="130"/>
      <c r="G71" s="140">
        <f>F71+E71</f>
        <v>303.04000000000002</v>
      </c>
      <c r="H71" s="820">
        <f>DIAGONSTIC!H75</f>
        <v>20</v>
      </c>
      <c r="I71" s="239">
        <f>H71*D71</f>
        <v>4640</v>
      </c>
      <c r="J71" s="239">
        <f>H71*E71</f>
        <v>6060.8</v>
      </c>
      <c r="K71" s="239">
        <f>H71*F71</f>
        <v>0</v>
      </c>
      <c r="L71" s="398">
        <f>K71+J71</f>
        <v>6060.8</v>
      </c>
    </row>
    <row r="72" spans="1:25" s="470" customFormat="1" ht="18" x14ac:dyDescent="0.2">
      <c r="A72" s="833" t="s">
        <v>326</v>
      </c>
      <c r="B72" s="819" t="s">
        <v>422</v>
      </c>
      <c r="C72" s="202" t="s">
        <v>174</v>
      </c>
      <c r="D72" s="820">
        <v>184</v>
      </c>
      <c r="E72" s="682">
        <v>242.88</v>
      </c>
      <c r="F72" s="130"/>
      <c r="G72" s="140">
        <f>F72+E72</f>
        <v>242.88</v>
      </c>
      <c r="H72" s="820">
        <f>DIAGONSTIC!H76</f>
        <v>19</v>
      </c>
      <c r="I72" s="239">
        <f>H72*D72</f>
        <v>3496</v>
      </c>
      <c r="J72" s="239">
        <f>H72*E72</f>
        <v>4614.72</v>
      </c>
      <c r="K72" s="239">
        <f>H72*F72</f>
        <v>0</v>
      </c>
      <c r="L72" s="398">
        <f>K72+J72</f>
        <v>4614.72</v>
      </c>
    </row>
    <row r="73" spans="1:25" s="470" customFormat="1" ht="30.75" customHeight="1" x14ac:dyDescent="0.2">
      <c r="A73" s="951">
        <v>4.0199999999999996</v>
      </c>
      <c r="B73" s="950" t="s">
        <v>423</v>
      </c>
      <c r="C73" s="205" t="s">
        <v>174</v>
      </c>
      <c r="D73" s="824">
        <v>205</v>
      </c>
      <c r="E73" s="823">
        <v>204</v>
      </c>
      <c r="F73" s="130"/>
      <c r="G73" s="140">
        <f>F73+E73</f>
        <v>204</v>
      </c>
      <c r="H73" s="820">
        <f>DIAGONSTIC!H77</f>
        <v>45</v>
      </c>
      <c r="I73" s="239">
        <f>H73*D73</f>
        <v>9225</v>
      </c>
      <c r="J73" s="239">
        <f>H73*E73</f>
        <v>9180</v>
      </c>
      <c r="K73" s="239">
        <f>H73*F73</f>
        <v>0</v>
      </c>
      <c r="L73" s="398">
        <f>K73+J73</f>
        <v>9180</v>
      </c>
    </row>
    <row r="74" spans="1:25" s="470" customFormat="1" ht="24" customHeight="1" x14ac:dyDescent="0.2">
      <c r="A74" s="953">
        <v>4.03</v>
      </c>
      <c r="B74" s="952" t="s">
        <v>513</v>
      </c>
      <c r="C74" s="205" t="s">
        <v>424</v>
      </c>
      <c r="D74" s="824">
        <v>98</v>
      </c>
      <c r="E74" s="823"/>
      <c r="F74" s="140"/>
      <c r="G74" s="140"/>
      <c r="H74" s="824">
        <v>280</v>
      </c>
      <c r="I74" s="239">
        <f>H74*D74</f>
        <v>27440</v>
      </c>
      <c r="J74" s="239">
        <f>H74*E74</f>
        <v>0</v>
      </c>
      <c r="K74" s="239">
        <f>H74*F74</f>
        <v>0</v>
      </c>
      <c r="L74" s="398">
        <f>K74+J74</f>
        <v>0</v>
      </c>
    </row>
    <row r="75" spans="1:25" s="470" customFormat="1" ht="24" customHeight="1" thickBot="1" x14ac:dyDescent="0.25">
      <c r="A75" s="954">
        <v>4.05</v>
      </c>
      <c r="B75" s="955" t="s">
        <v>538</v>
      </c>
      <c r="C75" s="956" t="s">
        <v>174</v>
      </c>
      <c r="D75" s="945">
        <v>35</v>
      </c>
      <c r="E75" s="946"/>
      <c r="F75" s="947">
        <v>34</v>
      </c>
      <c r="G75" s="947"/>
      <c r="H75" s="945">
        <v>105</v>
      </c>
      <c r="I75" s="239">
        <f>H75*D75</f>
        <v>3675</v>
      </c>
      <c r="J75" s="239">
        <f>H75*E75</f>
        <v>0</v>
      </c>
      <c r="K75" s="239">
        <f>H75*F75</f>
        <v>3570</v>
      </c>
      <c r="L75" s="398">
        <f>K75+J75</f>
        <v>3570</v>
      </c>
    </row>
    <row r="76" spans="1:25" s="837" customFormat="1" ht="29.25" customHeight="1" thickBot="1" x14ac:dyDescent="0.25">
      <c r="A76" s="838"/>
      <c r="B76" s="1180" t="s">
        <v>64</v>
      </c>
      <c r="C76" s="1181"/>
      <c r="D76" s="1181"/>
      <c r="E76" s="1181"/>
      <c r="F76" s="1181"/>
      <c r="G76" s="1181"/>
      <c r="H76" s="1182"/>
      <c r="I76" s="839">
        <f>SUM(I71:I75)</f>
        <v>48476</v>
      </c>
      <c r="J76" s="839">
        <f>SUM(J71:J75)</f>
        <v>19855.52</v>
      </c>
      <c r="K76" s="839">
        <f>SUM(K71:K75)</f>
        <v>3570</v>
      </c>
      <c r="L76" s="839">
        <f>SUM(L71:L75)</f>
        <v>23425.52</v>
      </c>
    </row>
    <row r="77" spans="1:25" s="84" customFormat="1" ht="31.5" customHeight="1" x14ac:dyDescent="0.2">
      <c r="A77" s="474"/>
      <c r="B77" s="475" t="s">
        <v>297</v>
      </c>
      <c r="C77" s="476"/>
      <c r="D77" s="476"/>
      <c r="E77" s="720"/>
      <c r="F77" s="720"/>
      <c r="G77" s="720"/>
      <c r="H77" s="721"/>
      <c r="I77" s="721"/>
      <c r="J77" s="362"/>
      <c r="K77" s="362"/>
      <c r="L77" s="362"/>
      <c r="M77" s="626"/>
      <c r="N77" s="626"/>
      <c r="O77" s="626"/>
      <c r="P77" s="626"/>
      <c r="Q77" s="626"/>
      <c r="R77" s="626"/>
      <c r="S77" s="626"/>
      <c r="T77" s="626"/>
      <c r="U77" s="626"/>
      <c r="V77" s="626"/>
      <c r="W77" s="626"/>
    </row>
    <row r="78" spans="1:25" ht="20.25" x14ac:dyDescent="0.2">
      <c r="A78" s="451">
        <v>6.1</v>
      </c>
      <c r="B78" s="452" t="s">
        <v>539</v>
      </c>
      <c r="C78" s="218" t="s">
        <v>303</v>
      </c>
      <c r="D78" s="218">
        <v>607</v>
      </c>
      <c r="E78" s="244"/>
      <c r="F78" s="244">
        <v>200</v>
      </c>
      <c r="G78" s="244">
        <f>F78+E78</f>
        <v>200</v>
      </c>
      <c r="H78" s="232">
        <v>140</v>
      </c>
      <c r="I78" s="232">
        <f>H78*D78</f>
        <v>84980</v>
      </c>
      <c r="J78" s="130">
        <f>H78*E78</f>
        <v>0</v>
      </c>
      <c r="K78" s="130">
        <f>H78*F78</f>
        <v>28000</v>
      </c>
      <c r="L78" s="244">
        <f>K78+J78</f>
        <v>28000</v>
      </c>
    </row>
    <row r="79" spans="1:25" ht="20.25" x14ac:dyDescent="0.2">
      <c r="A79" s="451">
        <v>6.2</v>
      </c>
      <c r="B79" s="452" t="s">
        <v>540</v>
      </c>
      <c r="C79" s="218" t="s">
        <v>303</v>
      </c>
      <c r="D79" s="218">
        <v>90</v>
      </c>
      <c r="E79" s="244"/>
      <c r="F79" s="244"/>
      <c r="G79" s="244">
        <f>F79+E79</f>
        <v>0</v>
      </c>
      <c r="H79" s="232">
        <v>110</v>
      </c>
      <c r="I79" s="232">
        <f>H79*D79</f>
        <v>9900</v>
      </c>
      <c r="J79" s="130">
        <f>H79*E79</f>
        <v>0</v>
      </c>
      <c r="K79" s="130">
        <f>H79*F79</f>
        <v>0</v>
      </c>
      <c r="L79" s="244">
        <f>K79+J79</f>
        <v>0</v>
      </c>
    </row>
    <row r="80" spans="1:25" ht="20.25" x14ac:dyDescent="0.2">
      <c r="A80" s="451">
        <v>6.3</v>
      </c>
      <c r="B80" s="957" t="s">
        <v>541</v>
      </c>
      <c r="C80" s="218" t="s">
        <v>303</v>
      </c>
      <c r="D80" s="236">
        <v>45</v>
      </c>
      <c r="E80" s="925"/>
      <c r="F80" s="925">
        <v>52.7</v>
      </c>
      <c r="G80" s="244">
        <f>F80+E80</f>
        <v>52.7</v>
      </c>
      <c r="H80" s="235">
        <v>140</v>
      </c>
      <c r="I80" s="232">
        <f>H80*D80</f>
        <v>6300</v>
      </c>
      <c r="J80" s="130"/>
      <c r="K80" s="130">
        <f>H80*F80</f>
        <v>7378</v>
      </c>
      <c r="L80" s="244">
        <f>K80+J80</f>
        <v>7378</v>
      </c>
      <c r="M80" s="644"/>
      <c r="N80" s="644"/>
      <c r="O80" s="644"/>
      <c r="P80" s="644"/>
      <c r="Q80" s="644"/>
      <c r="R80" s="644"/>
      <c r="S80" s="644"/>
      <c r="T80" s="644"/>
      <c r="U80" s="644"/>
      <c r="V80" s="644"/>
      <c r="W80" s="644"/>
      <c r="X80" s="644"/>
      <c r="Y80" s="644"/>
    </row>
    <row r="81" spans="1:25" ht="18" x14ac:dyDescent="0.2">
      <c r="A81" s="938"/>
      <c r="B81" s="939"/>
      <c r="C81" s="218"/>
      <c r="D81" s="218"/>
      <c r="E81" s="244"/>
      <c r="F81" s="244"/>
      <c r="G81" s="244">
        <f>F81+E81</f>
        <v>0</v>
      </c>
      <c r="H81" s="232"/>
      <c r="I81" s="232">
        <f>H81*D81</f>
        <v>0</v>
      </c>
      <c r="J81" s="130"/>
      <c r="K81" s="130">
        <f>H81*F81</f>
        <v>0</v>
      </c>
      <c r="L81" s="244">
        <f>K81+J81</f>
        <v>0</v>
      </c>
    </row>
    <row r="82" spans="1:25" ht="27" customHeight="1" thickBot="1" x14ac:dyDescent="0.25">
      <c r="A82" s="599"/>
      <c r="B82" s="1171" t="s">
        <v>64</v>
      </c>
      <c r="C82" s="1172"/>
      <c r="D82" s="1172"/>
      <c r="E82" s="1172"/>
      <c r="F82" s="1172"/>
      <c r="G82" s="1172"/>
      <c r="H82" s="1173"/>
      <c r="I82" s="600">
        <f>SUM(I78:I81)</f>
        <v>101180</v>
      </c>
      <c r="J82" s="600">
        <f>SUM(J78:J81)</f>
        <v>0</v>
      </c>
      <c r="K82" s="600">
        <f>SUM(K78:K81)</f>
        <v>35378</v>
      </c>
      <c r="L82" s="600">
        <f>SUM(L78:L81)</f>
        <v>35378</v>
      </c>
    </row>
    <row r="83" spans="1:25" ht="18" x14ac:dyDescent="0.2">
      <c r="A83" s="722"/>
      <c r="B83" s="723"/>
      <c r="C83" s="723"/>
      <c r="D83" s="723"/>
      <c r="E83" s="723"/>
      <c r="F83" s="723"/>
      <c r="G83" s="723"/>
      <c r="H83" s="723"/>
      <c r="I83" s="723"/>
      <c r="J83" s="723"/>
      <c r="K83" s="723"/>
      <c r="L83" s="723"/>
      <c r="M83" s="644"/>
      <c r="N83" s="644"/>
      <c r="O83" s="644"/>
      <c r="P83" s="644"/>
      <c r="Q83" s="644"/>
      <c r="R83" s="644"/>
      <c r="S83" s="644"/>
      <c r="T83" s="644"/>
      <c r="U83" s="644"/>
      <c r="V83" s="644"/>
      <c r="W83" s="644"/>
      <c r="X83" s="644"/>
      <c r="Y83" s="644"/>
    </row>
    <row r="84" spans="1:25" ht="18" x14ac:dyDescent="0.2">
      <c r="A84" s="722"/>
      <c r="B84" s="723"/>
      <c r="C84" s="723"/>
      <c r="D84" s="723"/>
      <c r="E84" s="723"/>
      <c r="F84" s="723"/>
      <c r="G84" s="723"/>
      <c r="H84" s="723"/>
      <c r="I84" s="723"/>
      <c r="J84" s="723"/>
      <c r="K84" s="723"/>
      <c r="L84" s="723"/>
      <c r="M84" s="644"/>
      <c r="N84" s="644"/>
      <c r="O84" s="644"/>
      <c r="P84" s="644"/>
      <c r="Q84" s="644"/>
      <c r="R84" s="644"/>
      <c r="S84" s="644"/>
      <c r="T84" s="644"/>
      <c r="U84" s="644"/>
      <c r="V84" s="644"/>
      <c r="W84" s="644"/>
      <c r="X84" s="644"/>
      <c r="Y84" s="644"/>
    </row>
    <row r="85" spans="1:25" ht="18" x14ac:dyDescent="0.2">
      <c r="A85" s="84"/>
      <c r="B85" s="432" t="s">
        <v>233</v>
      </c>
      <c r="C85" s="432"/>
      <c r="D85" s="432"/>
      <c r="E85" s="432"/>
      <c r="F85" s="432"/>
      <c r="G85" s="432"/>
      <c r="H85" s="432"/>
      <c r="I85" s="432"/>
      <c r="J85" s="432" t="s">
        <v>343</v>
      </c>
      <c r="K85" s="432"/>
      <c r="L85" s="432"/>
    </row>
  </sheetData>
  <mergeCells count="33">
    <mergeCell ref="L43:L44"/>
    <mergeCell ref="B41:K41"/>
    <mergeCell ref="A42:A44"/>
    <mergeCell ref="B42:B44"/>
    <mergeCell ref="C42:C44"/>
    <mergeCell ref="D42:F42"/>
    <mergeCell ref="G42:G44"/>
    <mergeCell ref="H42:H44"/>
    <mergeCell ref="L3:L4"/>
    <mergeCell ref="B16:H16"/>
    <mergeCell ref="B1:K1"/>
    <mergeCell ref="I2:K2"/>
    <mergeCell ref="E3:F3"/>
    <mergeCell ref="G2:G4"/>
    <mergeCell ref="A2:A4"/>
    <mergeCell ref="B2:B4"/>
    <mergeCell ref="C2:C4"/>
    <mergeCell ref="D2:F2"/>
    <mergeCell ref="H2:H4"/>
    <mergeCell ref="D3:D4"/>
    <mergeCell ref="J3:K3"/>
    <mergeCell ref="B39:H39"/>
    <mergeCell ref="I42:K42"/>
    <mergeCell ref="D43:D44"/>
    <mergeCell ref="E43:F43"/>
    <mergeCell ref="B20:H20"/>
    <mergeCell ref="I43:I44"/>
    <mergeCell ref="J43:K43"/>
    <mergeCell ref="B82:H82"/>
    <mergeCell ref="B64:H64"/>
    <mergeCell ref="B68:H68"/>
    <mergeCell ref="B76:H76"/>
    <mergeCell ref="I3:I4"/>
  </mergeCells>
  <pageMargins left="0.7" right="0.7" top="0.75" bottom="0.75" header="0.3" footer="0.3"/>
  <pageSetup scale="46" orientation="landscape" r:id="rId1"/>
  <rowBreaks count="1" manualBreakCount="1">
    <brk id="40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90"/>
  <sheetViews>
    <sheetView topLeftCell="A70" zoomScale="60" zoomScaleNormal="60" workbookViewId="0">
      <selection activeCell="F59" sqref="F1:F65536"/>
    </sheetView>
  </sheetViews>
  <sheetFormatPr defaultColWidth="9.14453125" defaultRowHeight="14.25" x14ac:dyDescent="0.15"/>
  <cols>
    <col min="1" max="1" width="9.68359375" style="71" customWidth="1"/>
    <col min="2" max="2" width="49.3671875" style="71" customWidth="1"/>
    <col min="3" max="3" width="9.14453125" style="71"/>
    <col min="4" max="4" width="14.52734375" style="71" customWidth="1"/>
    <col min="5" max="5" width="13.85546875" style="71" customWidth="1"/>
    <col min="6" max="7" width="15.6015625" style="71" customWidth="1"/>
    <col min="8" max="8" width="13.98828125" style="71" customWidth="1"/>
    <col min="9" max="9" width="20.17578125" style="71" bestFit="1" customWidth="1"/>
    <col min="10" max="10" width="20.4453125" style="71" customWidth="1"/>
    <col min="11" max="11" width="19.7734375" style="71" customWidth="1"/>
    <col min="12" max="12" width="19.90625" style="71" bestFit="1" customWidth="1"/>
    <col min="13" max="23" width="9.14453125" style="626"/>
    <col min="24" max="16384" width="9.14453125" style="71"/>
  </cols>
  <sheetData>
    <row r="1" spans="1:23" ht="18.75" thickBot="1" x14ac:dyDescent="0.25">
      <c r="A1" s="412"/>
      <c r="B1" s="1202" t="s">
        <v>245</v>
      </c>
      <c r="C1" s="1202"/>
      <c r="D1" s="1202"/>
      <c r="E1" s="1202"/>
      <c r="F1" s="1202"/>
      <c r="G1" s="1202"/>
      <c r="H1" s="1202"/>
      <c r="I1" s="1202"/>
      <c r="J1" s="1202"/>
      <c r="K1" s="1202"/>
      <c r="L1" s="413"/>
    </row>
    <row r="2" spans="1:23" s="254" customFormat="1" ht="21.75" customHeight="1" x14ac:dyDescent="0.15">
      <c r="A2" s="1107" t="s">
        <v>61</v>
      </c>
      <c r="B2" s="1128" t="s">
        <v>54</v>
      </c>
      <c r="C2" s="1128" t="s">
        <v>5</v>
      </c>
      <c r="D2" s="1117" t="s">
        <v>4</v>
      </c>
      <c r="E2" s="1118"/>
      <c r="F2" s="1119"/>
      <c r="G2" s="1128" t="s">
        <v>334</v>
      </c>
      <c r="H2" s="1110" t="s">
        <v>8</v>
      </c>
      <c r="I2" s="1136" t="s">
        <v>50</v>
      </c>
      <c r="J2" s="1118"/>
      <c r="K2" s="1119"/>
      <c r="L2" s="503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</row>
    <row r="3" spans="1:23" s="254" customFormat="1" ht="19.5" customHeight="1" x14ac:dyDescent="0.15">
      <c r="A3" s="1108"/>
      <c r="B3" s="1129"/>
      <c r="C3" s="1129"/>
      <c r="D3" s="1130" t="s">
        <v>62</v>
      </c>
      <c r="E3" s="1120" t="s">
        <v>63</v>
      </c>
      <c r="F3" s="1121"/>
      <c r="G3" s="1129"/>
      <c r="H3" s="1111"/>
      <c r="I3" s="1122" t="s">
        <v>6</v>
      </c>
      <c r="J3" s="1134" t="s">
        <v>7</v>
      </c>
      <c r="K3" s="1135"/>
      <c r="L3" s="1132" t="s">
        <v>336</v>
      </c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</row>
    <row r="4" spans="1:23" s="254" customFormat="1" ht="21" customHeight="1" thickBot="1" x14ac:dyDescent="0.2">
      <c r="A4" s="1109"/>
      <c r="B4" s="1123"/>
      <c r="C4" s="1123"/>
      <c r="D4" s="1131"/>
      <c r="E4" s="255" t="s">
        <v>98</v>
      </c>
      <c r="F4" s="255" t="s">
        <v>99</v>
      </c>
      <c r="G4" s="1129"/>
      <c r="H4" s="1112"/>
      <c r="I4" s="1123"/>
      <c r="J4" s="255" t="s">
        <v>98</v>
      </c>
      <c r="K4" s="255" t="s">
        <v>99</v>
      </c>
      <c r="L4" s="1133"/>
      <c r="M4" s="616"/>
      <c r="N4" s="616"/>
      <c r="O4" s="616"/>
      <c r="P4" s="616"/>
      <c r="Q4" s="616"/>
      <c r="R4" s="616"/>
      <c r="S4" s="616"/>
      <c r="T4" s="616"/>
      <c r="U4" s="616"/>
      <c r="V4" s="616"/>
      <c r="W4" s="616"/>
    </row>
    <row r="5" spans="1:23" s="254" customFormat="1" ht="21" customHeight="1" thickBot="1" x14ac:dyDescent="0.2">
      <c r="A5" s="280" t="s">
        <v>102</v>
      </c>
      <c r="B5" s="257" t="s">
        <v>103</v>
      </c>
      <c r="C5" s="257" t="s">
        <v>104</v>
      </c>
      <c r="D5" s="258" t="s">
        <v>105</v>
      </c>
      <c r="E5" s="258" t="s">
        <v>106</v>
      </c>
      <c r="F5" s="258" t="s">
        <v>107</v>
      </c>
      <c r="G5" s="258"/>
      <c r="H5" s="259" t="s">
        <v>108</v>
      </c>
      <c r="I5" s="257" t="s">
        <v>116</v>
      </c>
      <c r="J5" s="258" t="s">
        <v>115</v>
      </c>
      <c r="K5" s="258" t="s">
        <v>114</v>
      </c>
      <c r="L5" s="260" t="s">
        <v>113</v>
      </c>
      <c r="M5" s="616"/>
      <c r="N5" s="616"/>
      <c r="O5" s="616"/>
      <c r="P5" s="616"/>
      <c r="Q5" s="616"/>
      <c r="R5" s="616"/>
      <c r="S5" s="616"/>
      <c r="T5" s="616"/>
      <c r="U5" s="616"/>
      <c r="V5" s="616"/>
      <c r="W5" s="616"/>
    </row>
    <row r="6" spans="1:23" ht="18" x14ac:dyDescent="0.2">
      <c r="A6" s="415"/>
      <c r="B6" s="416" t="s">
        <v>9</v>
      </c>
      <c r="C6" s="417"/>
      <c r="D6" s="418"/>
      <c r="E6" s="417"/>
      <c r="F6" s="417"/>
      <c r="G6" s="417"/>
      <c r="H6" s="418"/>
      <c r="I6" s="418"/>
      <c r="J6" s="362"/>
      <c r="K6" s="363"/>
      <c r="L6" s="364"/>
    </row>
    <row r="7" spans="1:23" ht="18" x14ac:dyDescent="0.2">
      <c r="A7" s="419">
        <v>1</v>
      </c>
      <c r="B7" s="370" t="s">
        <v>10</v>
      </c>
      <c r="C7" s="202"/>
      <c r="D7" s="130"/>
      <c r="E7" s="202"/>
      <c r="F7" s="202"/>
      <c r="G7" s="202"/>
      <c r="H7" s="130"/>
      <c r="I7" s="130"/>
      <c r="J7" s="244"/>
      <c r="K7" s="367"/>
      <c r="L7" s="368"/>
    </row>
    <row r="8" spans="1:23" ht="18" x14ac:dyDescent="0.2">
      <c r="A8" s="419">
        <v>1.1000000000000001</v>
      </c>
      <c r="B8" s="370" t="s">
        <v>18</v>
      </c>
      <c r="C8" s="202" t="s">
        <v>11</v>
      </c>
      <c r="D8" s="130">
        <v>120</v>
      </c>
      <c r="E8" s="202">
        <v>98.8</v>
      </c>
      <c r="F8" s="202"/>
      <c r="G8" s="202">
        <f>F8+E8</f>
        <v>98.8</v>
      </c>
      <c r="H8" s="130">
        <f>Staff!H8</f>
        <v>6</v>
      </c>
      <c r="I8" s="130">
        <f>D8*H8</f>
        <v>720</v>
      </c>
      <c r="J8" s="203">
        <f t="shared" ref="J8:J15" si="0">H8*E8</f>
        <v>592.79999999999995</v>
      </c>
      <c r="K8" s="367">
        <f>F8*H8</f>
        <v>0</v>
      </c>
      <c r="L8" s="368">
        <f>K8+J8</f>
        <v>592.79999999999995</v>
      </c>
    </row>
    <row r="9" spans="1:23" ht="18" x14ac:dyDescent="0.2">
      <c r="A9" s="419">
        <v>1.2</v>
      </c>
      <c r="B9" s="370" t="s">
        <v>123</v>
      </c>
      <c r="C9" s="202" t="s">
        <v>12</v>
      </c>
      <c r="D9" s="130">
        <v>60</v>
      </c>
      <c r="E9" s="202">
        <v>59.77</v>
      </c>
      <c r="F9" s="202"/>
      <c r="G9" s="202">
        <f t="shared" ref="G9:G15" si="1">F9+E9</f>
        <v>59.77</v>
      </c>
      <c r="H9" s="130">
        <f>Staff!H9</f>
        <v>25</v>
      </c>
      <c r="I9" s="130">
        <f t="shared" ref="I9:I15" si="2">D9*H9</f>
        <v>1500</v>
      </c>
      <c r="J9" s="203">
        <f t="shared" si="0"/>
        <v>1494.25</v>
      </c>
      <c r="K9" s="367">
        <f t="shared" ref="K9:K15" si="3">F9*H9</f>
        <v>0</v>
      </c>
      <c r="L9" s="368">
        <f t="shared" ref="L9:L15" si="4">K9+J9</f>
        <v>1494.25</v>
      </c>
    </row>
    <row r="10" spans="1:23" ht="18" x14ac:dyDescent="0.2">
      <c r="A10" s="419">
        <v>1.3</v>
      </c>
      <c r="B10" s="370" t="s">
        <v>179</v>
      </c>
      <c r="C10" s="202" t="s">
        <v>12</v>
      </c>
      <c r="D10" s="130">
        <v>28</v>
      </c>
      <c r="E10" s="202">
        <v>14.1</v>
      </c>
      <c r="F10" s="202"/>
      <c r="G10" s="202">
        <f t="shared" si="1"/>
        <v>14.1</v>
      </c>
      <c r="H10" s="130">
        <f>Staff!H10</f>
        <v>30</v>
      </c>
      <c r="I10" s="130">
        <f t="shared" si="2"/>
        <v>840</v>
      </c>
      <c r="J10" s="203">
        <f t="shared" si="0"/>
        <v>423</v>
      </c>
      <c r="K10" s="367">
        <f t="shared" si="3"/>
        <v>0</v>
      </c>
      <c r="L10" s="368">
        <f t="shared" si="4"/>
        <v>423</v>
      </c>
    </row>
    <row r="11" spans="1:23" ht="18" x14ac:dyDescent="0.2">
      <c r="A11" s="419">
        <v>1.4</v>
      </c>
      <c r="B11" s="370" t="s">
        <v>181</v>
      </c>
      <c r="C11" s="202" t="s">
        <v>180</v>
      </c>
      <c r="D11" s="130">
        <v>28</v>
      </c>
      <c r="E11" s="202">
        <v>21.97</v>
      </c>
      <c r="F11" s="202"/>
      <c r="G11" s="202">
        <f t="shared" si="1"/>
        <v>21.97</v>
      </c>
      <c r="H11" s="130">
        <f>Staff!H11</f>
        <v>30</v>
      </c>
      <c r="I11" s="130">
        <f t="shared" si="2"/>
        <v>840</v>
      </c>
      <c r="J11" s="203">
        <f t="shared" si="0"/>
        <v>659.09999999999991</v>
      </c>
      <c r="K11" s="367">
        <f t="shared" si="3"/>
        <v>0</v>
      </c>
      <c r="L11" s="368">
        <f t="shared" si="4"/>
        <v>659.09999999999991</v>
      </c>
    </row>
    <row r="12" spans="1:23" ht="18" x14ac:dyDescent="0.2">
      <c r="A12" s="419">
        <v>1.5</v>
      </c>
      <c r="B12" s="370" t="s">
        <v>183</v>
      </c>
      <c r="C12" s="202" t="s">
        <v>182</v>
      </c>
      <c r="D12" s="130">
        <v>28</v>
      </c>
      <c r="E12" s="202">
        <v>0</v>
      </c>
      <c r="F12" s="202"/>
      <c r="G12" s="202">
        <f t="shared" si="1"/>
        <v>0</v>
      </c>
      <c r="H12" s="130">
        <v>100</v>
      </c>
      <c r="I12" s="130">
        <f t="shared" si="2"/>
        <v>2800</v>
      </c>
      <c r="J12" s="203">
        <f t="shared" si="0"/>
        <v>0</v>
      </c>
      <c r="K12" s="367">
        <f t="shared" si="3"/>
        <v>0</v>
      </c>
      <c r="L12" s="368">
        <f t="shared" si="4"/>
        <v>0</v>
      </c>
    </row>
    <row r="13" spans="1:23" ht="18" x14ac:dyDescent="0.2">
      <c r="A13" s="419">
        <v>1.6</v>
      </c>
      <c r="B13" s="370" t="s">
        <v>101</v>
      </c>
      <c r="C13" s="202" t="s">
        <v>12</v>
      </c>
      <c r="D13" s="130">
        <v>143</v>
      </c>
      <c r="E13" s="202">
        <v>76</v>
      </c>
      <c r="F13" s="202"/>
      <c r="G13" s="202">
        <f t="shared" si="1"/>
        <v>76</v>
      </c>
      <c r="H13" s="130">
        <f>Staff!H13</f>
        <v>40</v>
      </c>
      <c r="I13" s="130">
        <f t="shared" si="2"/>
        <v>5720</v>
      </c>
      <c r="J13" s="203">
        <f t="shared" si="0"/>
        <v>3040</v>
      </c>
      <c r="K13" s="367">
        <f t="shared" si="3"/>
        <v>0</v>
      </c>
      <c r="L13" s="368">
        <f t="shared" si="4"/>
        <v>3040</v>
      </c>
    </row>
    <row r="14" spans="1:23" ht="18" x14ac:dyDescent="0.2">
      <c r="A14" s="419">
        <v>1.7</v>
      </c>
      <c r="B14" s="369" t="s">
        <v>87</v>
      </c>
      <c r="C14" s="202" t="s">
        <v>12</v>
      </c>
      <c r="D14" s="204">
        <v>120</v>
      </c>
      <c r="E14" s="202">
        <v>125.48</v>
      </c>
      <c r="F14" s="202"/>
      <c r="G14" s="202">
        <f t="shared" si="1"/>
        <v>125.48</v>
      </c>
      <c r="H14" s="130">
        <f>Staff!H14</f>
        <v>25</v>
      </c>
      <c r="I14" s="130">
        <f t="shared" si="2"/>
        <v>3000</v>
      </c>
      <c r="J14" s="203">
        <f t="shared" si="0"/>
        <v>3137</v>
      </c>
      <c r="K14" s="367">
        <f t="shared" si="3"/>
        <v>0</v>
      </c>
      <c r="L14" s="368">
        <f t="shared" si="4"/>
        <v>3137</v>
      </c>
    </row>
    <row r="15" spans="1:23" s="84" customFormat="1" ht="18" x14ac:dyDescent="0.2">
      <c r="A15" s="317">
        <v>1.8</v>
      </c>
      <c r="B15" s="372" t="s">
        <v>94</v>
      </c>
      <c r="C15" s="205" t="s">
        <v>12</v>
      </c>
      <c r="D15" s="140">
        <v>42</v>
      </c>
      <c r="E15" s="202">
        <v>48</v>
      </c>
      <c r="F15" s="202"/>
      <c r="G15" s="202">
        <f t="shared" si="1"/>
        <v>48</v>
      </c>
      <c r="H15" s="130">
        <f>Staff!H15</f>
        <v>105</v>
      </c>
      <c r="I15" s="130">
        <f t="shared" si="2"/>
        <v>4410</v>
      </c>
      <c r="J15" s="203">
        <f t="shared" si="0"/>
        <v>5040</v>
      </c>
      <c r="K15" s="367">
        <f t="shared" si="3"/>
        <v>0</v>
      </c>
      <c r="L15" s="368">
        <f t="shared" si="4"/>
        <v>5040</v>
      </c>
      <c r="M15" s="626"/>
      <c r="N15" s="626"/>
      <c r="O15" s="626"/>
      <c r="P15" s="626"/>
      <c r="Q15" s="626"/>
      <c r="R15" s="626"/>
      <c r="S15" s="626"/>
      <c r="T15" s="626"/>
      <c r="U15" s="626"/>
      <c r="V15" s="626"/>
      <c r="W15" s="626"/>
    </row>
    <row r="16" spans="1:23" s="593" customFormat="1" ht="18.75" thickBot="1" x14ac:dyDescent="0.25">
      <c r="A16" s="580"/>
      <c r="B16" s="1174" t="s">
        <v>64</v>
      </c>
      <c r="C16" s="1175"/>
      <c r="D16" s="1175"/>
      <c r="E16" s="1175"/>
      <c r="F16" s="1175"/>
      <c r="G16" s="1175"/>
      <c r="H16" s="1176"/>
      <c r="I16" s="586">
        <f>SUM(I8:I15)</f>
        <v>19830</v>
      </c>
      <c r="J16" s="586">
        <f>SUM(J8:J15)</f>
        <v>14386.15</v>
      </c>
      <c r="K16" s="586">
        <f>SUM(K8:K15)</f>
        <v>0</v>
      </c>
      <c r="L16" s="586">
        <f>SUM(L8:L15)</f>
        <v>14386.15</v>
      </c>
      <c r="M16" s="639"/>
      <c r="N16" s="639"/>
      <c r="O16" s="639"/>
      <c r="P16" s="639"/>
      <c r="Q16" s="639"/>
      <c r="R16" s="639"/>
      <c r="S16" s="639"/>
      <c r="T16" s="639"/>
      <c r="U16" s="639"/>
      <c r="V16" s="639"/>
      <c r="W16" s="639"/>
    </row>
    <row r="17" spans="1:23" s="84" customFormat="1" ht="18" x14ac:dyDescent="0.2">
      <c r="A17" s="420">
        <v>2</v>
      </c>
      <c r="B17" s="421" t="s">
        <v>17</v>
      </c>
      <c r="C17" s="164"/>
      <c r="D17" s="409"/>
      <c r="E17" s="164"/>
      <c r="F17" s="164"/>
      <c r="G17" s="164"/>
      <c r="H17" s="409"/>
      <c r="I17" s="409"/>
      <c r="J17" s="409"/>
      <c r="K17" s="410"/>
      <c r="L17" s="379"/>
      <c r="M17" s="626"/>
      <c r="N17" s="626"/>
      <c r="O17" s="626"/>
      <c r="P17" s="626"/>
      <c r="Q17" s="626"/>
      <c r="R17" s="626"/>
      <c r="S17" s="626"/>
      <c r="T17" s="626"/>
      <c r="U17" s="626"/>
      <c r="V17" s="626"/>
      <c r="W17" s="626"/>
    </row>
    <row r="18" spans="1:23" s="84" customFormat="1" ht="18" x14ac:dyDescent="0.2">
      <c r="A18" s="419">
        <v>2.1</v>
      </c>
      <c r="B18" s="370" t="s">
        <v>124</v>
      </c>
      <c r="C18" s="202" t="s">
        <v>12</v>
      </c>
      <c r="D18" s="130">
        <v>27</v>
      </c>
      <c r="E18" s="422">
        <v>18</v>
      </c>
      <c r="F18" s="164"/>
      <c r="G18" s="164">
        <f>F18+E18</f>
        <v>18</v>
      </c>
      <c r="H18" s="130">
        <v>800</v>
      </c>
      <c r="I18" s="130">
        <f>D18*H18</f>
        <v>21600</v>
      </c>
      <c r="J18" s="140">
        <f>H18*E18</f>
        <v>14400</v>
      </c>
      <c r="K18" s="367">
        <f>F18*H18</f>
        <v>0</v>
      </c>
      <c r="L18" s="368">
        <f>K18+J18</f>
        <v>14400</v>
      </c>
      <c r="M18" s="626"/>
      <c r="N18" s="626"/>
      <c r="O18" s="626"/>
      <c r="P18" s="626"/>
      <c r="Q18" s="626"/>
      <c r="R18" s="626"/>
      <c r="S18" s="626"/>
      <c r="T18" s="626"/>
      <c r="U18" s="626"/>
      <c r="V18" s="626"/>
      <c r="W18" s="626"/>
    </row>
    <row r="19" spans="1:23" s="84" customFormat="1" ht="18" x14ac:dyDescent="0.2">
      <c r="A19" s="317">
        <v>2.2000000000000002</v>
      </c>
      <c r="B19" s="372" t="s">
        <v>119</v>
      </c>
      <c r="C19" s="205" t="s">
        <v>12</v>
      </c>
      <c r="D19" s="140">
        <v>7</v>
      </c>
      <c r="E19" s="423">
        <v>15.75</v>
      </c>
      <c r="F19" s="164"/>
      <c r="G19" s="164">
        <f>F19+E19</f>
        <v>15.75</v>
      </c>
      <c r="H19" s="140">
        <v>880</v>
      </c>
      <c r="I19" s="130">
        <f>D19*H19</f>
        <v>6160</v>
      </c>
      <c r="J19" s="140">
        <f>H19*E19</f>
        <v>13860</v>
      </c>
      <c r="K19" s="367">
        <f>F19*H19</f>
        <v>0</v>
      </c>
      <c r="L19" s="368">
        <f>K19+J19</f>
        <v>13860</v>
      </c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</row>
    <row r="20" spans="1:23" s="593" customFormat="1" ht="18.75" thickBot="1" x14ac:dyDescent="0.25">
      <c r="A20" s="580"/>
      <c r="B20" s="1174" t="s">
        <v>64</v>
      </c>
      <c r="C20" s="1175"/>
      <c r="D20" s="1175"/>
      <c r="E20" s="1175"/>
      <c r="F20" s="1175"/>
      <c r="G20" s="1175"/>
      <c r="H20" s="1176"/>
      <c r="I20" s="586">
        <f>SUM(I18:I19)</f>
        <v>27760</v>
      </c>
      <c r="J20" s="586">
        <f>SUM(J18:J19)</f>
        <v>28260</v>
      </c>
      <c r="K20" s="586">
        <f>SUM(K18:K19)</f>
        <v>0</v>
      </c>
      <c r="L20" s="586">
        <f>SUM(L18:L19)</f>
        <v>28260</v>
      </c>
      <c r="M20" s="639"/>
      <c r="N20" s="639"/>
      <c r="O20" s="639"/>
      <c r="P20" s="639"/>
      <c r="Q20" s="639"/>
      <c r="R20" s="639"/>
      <c r="S20" s="639"/>
      <c r="T20" s="639"/>
      <c r="U20" s="639"/>
      <c r="V20" s="639"/>
      <c r="W20" s="639"/>
    </row>
    <row r="21" spans="1:23" s="84" customFormat="1" ht="18" x14ac:dyDescent="0.2">
      <c r="A21" s="424"/>
      <c r="B21" s="409" t="s">
        <v>184</v>
      </c>
      <c r="C21" s="164"/>
      <c r="D21" s="409"/>
      <c r="E21" s="164"/>
      <c r="F21" s="164"/>
      <c r="G21" s="164"/>
      <c r="H21" s="409"/>
      <c r="I21" s="409"/>
      <c r="J21" s="409"/>
      <c r="K21" s="409"/>
      <c r="L21" s="379"/>
      <c r="M21" s="626"/>
      <c r="N21" s="626"/>
      <c r="O21" s="626"/>
      <c r="P21" s="626"/>
      <c r="Q21" s="626"/>
      <c r="R21" s="626"/>
      <c r="S21" s="626"/>
      <c r="T21" s="626"/>
      <c r="U21" s="626"/>
      <c r="V21" s="626"/>
      <c r="W21" s="626"/>
    </row>
    <row r="22" spans="1:23" s="425" customFormat="1" ht="18" x14ac:dyDescent="0.2">
      <c r="A22" s="315">
        <v>3.1</v>
      </c>
      <c r="B22" s="130" t="s">
        <v>20</v>
      </c>
      <c r="C22" s="202"/>
      <c r="D22" s="130"/>
      <c r="E22" s="202"/>
      <c r="F22" s="202"/>
      <c r="G22" s="202"/>
      <c r="H22" s="130"/>
      <c r="I22" s="130"/>
      <c r="J22" s="130"/>
      <c r="K22" s="130"/>
      <c r="L22" s="368"/>
      <c r="M22" s="640"/>
      <c r="N22" s="640"/>
      <c r="O22" s="640"/>
      <c r="P22" s="640"/>
      <c r="Q22" s="640"/>
      <c r="R22" s="640"/>
      <c r="S22" s="640"/>
      <c r="T22" s="640"/>
      <c r="U22" s="640"/>
      <c r="V22" s="640"/>
      <c r="W22" s="640"/>
    </row>
    <row r="23" spans="1:23" s="428" customFormat="1" ht="18" x14ac:dyDescent="0.2">
      <c r="A23" s="426"/>
      <c r="B23" s="130" t="s">
        <v>21</v>
      </c>
      <c r="C23" s="202" t="s">
        <v>11</v>
      </c>
      <c r="D23" s="130">
        <v>19</v>
      </c>
      <c r="E23" s="427">
        <v>4.0599999999999996</v>
      </c>
      <c r="F23" s="164"/>
      <c r="G23" s="164">
        <f>F23+E23</f>
        <v>4.0599999999999996</v>
      </c>
      <c r="H23" s="130">
        <v>65</v>
      </c>
      <c r="I23" s="130">
        <f>D23*H23</f>
        <v>1235</v>
      </c>
      <c r="J23" s="203">
        <f t="shared" ref="J23:J38" si="5">H23*E23</f>
        <v>263.89999999999998</v>
      </c>
      <c r="K23" s="367">
        <f t="shared" ref="K23:K38" si="6">F23*H23</f>
        <v>0</v>
      </c>
      <c r="L23" s="368">
        <f>K23+J23</f>
        <v>263.89999999999998</v>
      </c>
      <c r="M23" s="641"/>
      <c r="N23" s="641"/>
      <c r="O23" s="641"/>
      <c r="P23" s="641"/>
      <c r="Q23" s="641"/>
      <c r="R23" s="641"/>
      <c r="S23" s="641"/>
      <c r="T23" s="641"/>
      <c r="U23" s="641"/>
      <c r="V23" s="641"/>
      <c r="W23" s="641"/>
    </row>
    <row r="24" spans="1:23" s="428" customFormat="1" ht="18" x14ac:dyDescent="0.2">
      <c r="A24" s="315"/>
      <c r="B24" s="130" t="s">
        <v>22</v>
      </c>
      <c r="C24" s="202" t="s">
        <v>11</v>
      </c>
      <c r="D24" s="130">
        <v>10</v>
      </c>
      <c r="E24" s="427">
        <v>10</v>
      </c>
      <c r="F24" s="202"/>
      <c r="G24" s="164">
        <f t="shared" ref="G24:G38" si="7">F24+E24</f>
        <v>10</v>
      </c>
      <c r="H24" s="130">
        <v>65</v>
      </c>
      <c r="I24" s="130">
        <f t="shared" ref="I24:I38" si="8">D24*H24</f>
        <v>650</v>
      </c>
      <c r="J24" s="203">
        <f t="shared" si="5"/>
        <v>650</v>
      </c>
      <c r="K24" s="367">
        <f t="shared" si="6"/>
        <v>0</v>
      </c>
      <c r="L24" s="368">
        <f t="shared" ref="L24:L38" si="9">K24+J24</f>
        <v>650</v>
      </c>
      <c r="M24" s="641"/>
      <c r="N24" s="641"/>
      <c r="O24" s="641"/>
      <c r="P24" s="641"/>
      <c r="Q24" s="641"/>
      <c r="R24" s="641"/>
      <c r="S24" s="641"/>
      <c r="T24" s="641"/>
      <c r="U24" s="641"/>
      <c r="V24" s="641"/>
      <c r="W24" s="641"/>
    </row>
    <row r="25" spans="1:23" s="428" customFormat="1" ht="18" x14ac:dyDescent="0.2">
      <c r="A25" s="419">
        <v>3.2</v>
      </c>
      <c r="B25" s="370" t="s">
        <v>120</v>
      </c>
      <c r="C25" s="202"/>
      <c r="D25" s="130"/>
      <c r="E25" s="427"/>
      <c r="F25" s="164"/>
      <c r="G25" s="164">
        <f t="shared" si="7"/>
        <v>0</v>
      </c>
      <c r="H25" s="130"/>
      <c r="I25" s="130"/>
      <c r="J25" s="203">
        <f t="shared" si="5"/>
        <v>0</v>
      </c>
      <c r="K25" s="367">
        <f t="shared" si="6"/>
        <v>0</v>
      </c>
      <c r="L25" s="368">
        <f t="shared" si="9"/>
        <v>0</v>
      </c>
      <c r="M25" s="641"/>
      <c r="N25" s="641"/>
      <c r="O25" s="641"/>
      <c r="P25" s="641"/>
      <c r="Q25" s="641"/>
      <c r="R25" s="641"/>
      <c r="S25" s="641"/>
      <c r="T25" s="641"/>
      <c r="U25" s="641"/>
      <c r="V25" s="641"/>
      <c r="W25" s="641"/>
    </row>
    <row r="26" spans="1:23" s="428" customFormat="1" ht="18" x14ac:dyDescent="0.2">
      <c r="A26" s="419"/>
      <c r="B26" s="370" t="s">
        <v>188</v>
      </c>
      <c r="C26" s="202" t="s">
        <v>12</v>
      </c>
      <c r="D26" s="130">
        <v>2</v>
      </c>
      <c r="E26" s="427">
        <v>2</v>
      </c>
      <c r="F26" s="202"/>
      <c r="G26" s="164">
        <f t="shared" si="7"/>
        <v>2</v>
      </c>
      <c r="H26" s="130">
        <v>2600</v>
      </c>
      <c r="I26" s="130">
        <f t="shared" si="8"/>
        <v>5200</v>
      </c>
      <c r="J26" s="203">
        <f t="shared" si="5"/>
        <v>5200</v>
      </c>
      <c r="K26" s="367">
        <f t="shared" si="6"/>
        <v>0</v>
      </c>
      <c r="L26" s="368">
        <f t="shared" si="9"/>
        <v>5200</v>
      </c>
      <c r="M26" s="641"/>
      <c r="N26" s="641"/>
      <c r="O26" s="641"/>
      <c r="P26" s="641"/>
      <c r="Q26" s="641"/>
      <c r="R26" s="641"/>
      <c r="S26" s="641"/>
      <c r="T26" s="641"/>
      <c r="U26" s="641"/>
      <c r="V26" s="641"/>
      <c r="W26" s="641"/>
    </row>
    <row r="27" spans="1:23" s="428" customFormat="1" ht="18" x14ac:dyDescent="0.2">
      <c r="A27" s="419"/>
      <c r="B27" s="370" t="s">
        <v>189</v>
      </c>
      <c r="C27" s="202" t="s">
        <v>12</v>
      </c>
      <c r="D27" s="130">
        <v>1.2</v>
      </c>
      <c r="E27" s="427">
        <v>0.94</v>
      </c>
      <c r="F27" s="164"/>
      <c r="G27" s="164">
        <f t="shared" si="7"/>
        <v>0.94</v>
      </c>
      <c r="H27" s="130">
        <v>2600</v>
      </c>
      <c r="I27" s="130">
        <f t="shared" si="8"/>
        <v>3120</v>
      </c>
      <c r="J27" s="203">
        <f t="shared" si="5"/>
        <v>2444</v>
      </c>
      <c r="K27" s="367">
        <f t="shared" si="6"/>
        <v>0</v>
      </c>
      <c r="L27" s="368">
        <f t="shared" si="9"/>
        <v>2444</v>
      </c>
      <c r="M27" s="641"/>
      <c r="N27" s="641"/>
      <c r="O27" s="641"/>
      <c r="P27" s="641"/>
      <c r="Q27" s="641"/>
      <c r="R27" s="641"/>
      <c r="S27" s="641"/>
      <c r="T27" s="641"/>
      <c r="U27" s="641"/>
      <c r="V27" s="641"/>
      <c r="W27" s="641"/>
    </row>
    <row r="28" spans="1:23" s="428" customFormat="1" ht="18" x14ac:dyDescent="0.2">
      <c r="A28" s="419"/>
      <c r="B28" s="370" t="s">
        <v>190</v>
      </c>
      <c r="C28" s="202" t="s">
        <v>12</v>
      </c>
      <c r="D28" s="130">
        <v>4</v>
      </c>
      <c r="E28" s="427">
        <v>3.76</v>
      </c>
      <c r="F28" s="202"/>
      <c r="G28" s="164">
        <f t="shared" si="7"/>
        <v>3.76</v>
      </c>
      <c r="H28" s="130">
        <v>2600</v>
      </c>
      <c r="I28" s="130">
        <f t="shared" si="8"/>
        <v>10400</v>
      </c>
      <c r="J28" s="203">
        <f t="shared" si="5"/>
        <v>9776</v>
      </c>
      <c r="K28" s="367">
        <f t="shared" si="6"/>
        <v>0</v>
      </c>
      <c r="L28" s="368">
        <f t="shared" si="9"/>
        <v>9776</v>
      </c>
      <c r="M28" s="641"/>
      <c r="N28" s="641"/>
      <c r="O28" s="641"/>
      <c r="P28" s="641"/>
      <c r="Q28" s="641"/>
      <c r="R28" s="641"/>
      <c r="S28" s="641"/>
      <c r="T28" s="641"/>
      <c r="U28" s="641"/>
      <c r="V28" s="641"/>
      <c r="W28" s="641"/>
    </row>
    <row r="29" spans="1:23" s="428" customFormat="1" ht="18" x14ac:dyDescent="0.2">
      <c r="A29" s="429">
        <v>3.3</v>
      </c>
      <c r="B29" s="370" t="s">
        <v>165</v>
      </c>
      <c r="C29" s="202" t="s">
        <v>11</v>
      </c>
      <c r="D29" s="130">
        <v>42</v>
      </c>
      <c r="E29" s="427">
        <v>48</v>
      </c>
      <c r="F29" s="164"/>
      <c r="G29" s="164">
        <f t="shared" si="7"/>
        <v>48</v>
      </c>
      <c r="H29" s="130">
        <v>260</v>
      </c>
      <c r="I29" s="130">
        <f t="shared" si="8"/>
        <v>10920</v>
      </c>
      <c r="J29" s="203">
        <f t="shared" si="5"/>
        <v>12480</v>
      </c>
      <c r="K29" s="367">
        <f t="shared" si="6"/>
        <v>0</v>
      </c>
      <c r="L29" s="368">
        <f t="shared" si="9"/>
        <v>12480</v>
      </c>
      <c r="M29" s="641"/>
      <c r="N29" s="641"/>
      <c r="O29" s="641"/>
      <c r="P29" s="641"/>
      <c r="Q29" s="641"/>
      <c r="R29" s="641"/>
      <c r="S29" s="641"/>
      <c r="T29" s="641"/>
      <c r="U29" s="641"/>
      <c r="V29" s="641"/>
      <c r="W29" s="641"/>
    </row>
    <row r="30" spans="1:23" s="428" customFormat="1" ht="18" x14ac:dyDescent="0.2">
      <c r="A30" s="419">
        <v>3.4</v>
      </c>
      <c r="B30" s="370" t="s">
        <v>109</v>
      </c>
      <c r="C30" s="202"/>
      <c r="D30" s="130"/>
      <c r="E30" s="427"/>
      <c r="F30" s="202"/>
      <c r="G30" s="164">
        <f t="shared" si="7"/>
        <v>0</v>
      </c>
      <c r="H30" s="130"/>
      <c r="I30" s="130"/>
      <c r="J30" s="203">
        <f t="shared" si="5"/>
        <v>0</v>
      </c>
      <c r="K30" s="367">
        <f t="shared" si="6"/>
        <v>0</v>
      </c>
      <c r="L30" s="368">
        <f t="shared" si="9"/>
        <v>0</v>
      </c>
      <c r="M30" s="641"/>
      <c r="N30" s="641"/>
      <c r="O30" s="641"/>
      <c r="P30" s="641"/>
      <c r="Q30" s="641"/>
      <c r="R30" s="641"/>
      <c r="S30" s="641"/>
      <c r="T30" s="641"/>
      <c r="U30" s="641"/>
      <c r="V30" s="641"/>
      <c r="W30" s="641"/>
    </row>
    <row r="31" spans="1:23" s="428" customFormat="1" ht="18" x14ac:dyDescent="0.2">
      <c r="A31" s="419"/>
      <c r="B31" s="370" t="s">
        <v>188</v>
      </c>
      <c r="C31" s="202" t="s">
        <v>11</v>
      </c>
      <c r="D31" s="130">
        <v>8</v>
      </c>
      <c r="E31" s="427">
        <v>8</v>
      </c>
      <c r="F31" s="164"/>
      <c r="G31" s="164">
        <f t="shared" si="7"/>
        <v>8</v>
      </c>
      <c r="H31" s="130">
        <v>85</v>
      </c>
      <c r="I31" s="130">
        <f t="shared" si="8"/>
        <v>680</v>
      </c>
      <c r="J31" s="203">
        <f t="shared" si="5"/>
        <v>680</v>
      </c>
      <c r="K31" s="367">
        <f t="shared" si="6"/>
        <v>0</v>
      </c>
      <c r="L31" s="368">
        <f t="shared" si="9"/>
        <v>680</v>
      </c>
      <c r="M31" s="641"/>
      <c r="N31" s="641"/>
      <c r="O31" s="641"/>
      <c r="P31" s="641"/>
      <c r="Q31" s="641"/>
      <c r="R31" s="641"/>
      <c r="S31" s="641"/>
      <c r="T31" s="641"/>
      <c r="U31" s="641"/>
      <c r="V31" s="641"/>
      <c r="W31" s="641"/>
    </row>
    <row r="32" spans="1:23" s="428" customFormat="1" ht="18" x14ac:dyDescent="0.2">
      <c r="A32" s="419"/>
      <c r="B32" s="370" t="s">
        <v>189</v>
      </c>
      <c r="C32" s="202" t="s">
        <v>11</v>
      </c>
      <c r="D32" s="130">
        <v>23</v>
      </c>
      <c r="E32" s="427">
        <v>18.8</v>
      </c>
      <c r="F32" s="202"/>
      <c r="G32" s="164">
        <f t="shared" si="7"/>
        <v>18.8</v>
      </c>
      <c r="H32" s="130">
        <v>85</v>
      </c>
      <c r="I32" s="130">
        <f t="shared" si="8"/>
        <v>1955</v>
      </c>
      <c r="J32" s="203">
        <f t="shared" si="5"/>
        <v>1598</v>
      </c>
      <c r="K32" s="367">
        <f t="shared" si="6"/>
        <v>0</v>
      </c>
      <c r="L32" s="368">
        <f t="shared" si="9"/>
        <v>1598</v>
      </c>
      <c r="M32" s="641"/>
      <c r="N32" s="641"/>
      <c r="O32" s="641"/>
      <c r="P32" s="641"/>
      <c r="Q32" s="641"/>
      <c r="R32" s="641"/>
      <c r="S32" s="641"/>
      <c r="T32" s="641"/>
      <c r="U32" s="641"/>
      <c r="V32" s="641"/>
      <c r="W32" s="641"/>
    </row>
    <row r="33" spans="1:23" s="428" customFormat="1" ht="18" x14ac:dyDescent="0.2">
      <c r="A33" s="419"/>
      <c r="B33" s="370" t="s">
        <v>190</v>
      </c>
      <c r="C33" s="202" t="s">
        <v>11</v>
      </c>
      <c r="D33" s="130">
        <v>38</v>
      </c>
      <c r="E33" s="427">
        <v>37.6</v>
      </c>
      <c r="F33" s="164"/>
      <c r="G33" s="164">
        <f t="shared" si="7"/>
        <v>37.6</v>
      </c>
      <c r="H33" s="130">
        <v>85</v>
      </c>
      <c r="I33" s="130">
        <f t="shared" si="8"/>
        <v>3230</v>
      </c>
      <c r="J33" s="203">
        <f t="shared" si="5"/>
        <v>3196</v>
      </c>
      <c r="K33" s="367">
        <f t="shared" si="6"/>
        <v>0</v>
      </c>
      <c r="L33" s="368">
        <f t="shared" si="9"/>
        <v>3196</v>
      </c>
      <c r="M33" s="641"/>
      <c r="N33" s="641"/>
      <c r="O33" s="641"/>
      <c r="P33" s="641"/>
      <c r="Q33" s="641"/>
      <c r="R33" s="641"/>
      <c r="S33" s="641"/>
      <c r="T33" s="641"/>
      <c r="U33" s="641"/>
      <c r="V33" s="641"/>
      <c r="W33" s="641"/>
    </row>
    <row r="34" spans="1:23" s="428" customFormat="1" ht="18" x14ac:dyDescent="0.2">
      <c r="A34" s="419">
        <v>3.5</v>
      </c>
      <c r="B34" s="370" t="s">
        <v>15</v>
      </c>
      <c r="C34" s="202"/>
      <c r="D34" s="130"/>
      <c r="E34" s="427"/>
      <c r="F34" s="202"/>
      <c r="G34" s="164">
        <f t="shared" si="7"/>
        <v>0</v>
      </c>
      <c r="H34" s="130"/>
      <c r="I34" s="130"/>
      <c r="J34" s="203">
        <f t="shared" si="5"/>
        <v>0</v>
      </c>
      <c r="K34" s="367">
        <f t="shared" si="6"/>
        <v>0</v>
      </c>
      <c r="L34" s="368">
        <f t="shared" si="9"/>
        <v>0</v>
      </c>
      <c r="M34" s="641"/>
      <c r="N34" s="641"/>
      <c r="O34" s="641"/>
      <c r="P34" s="641"/>
      <c r="Q34" s="641"/>
      <c r="R34" s="641"/>
      <c r="S34" s="641"/>
      <c r="T34" s="641"/>
      <c r="U34" s="641"/>
      <c r="V34" s="641"/>
      <c r="W34" s="641"/>
    </row>
    <row r="35" spans="1:23" s="428" customFormat="1" ht="18" x14ac:dyDescent="0.2">
      <c r="A35" s="419"/>
      <c r="B35" s="370" t="s">
        <v>185</v>
      </c>
      <c r="C35" s="202" t="s">
        <v>16</v>
      </c>
      <c r="D35" s="130">
        <v>32</v>
      </c>
      <c r="E35" s="427"/>
      <c r="F35" s="164"/>
      <c r="G35" s="164">
        <f t="shared" si="7"/>
        <v>0</v>
      </c>
      <c r="H35" s="130">
        <v>36</v>
      </c>
      <c r="I35" s="130">
        <f t="shared" si="8"/>
        <v>1152</v>
      </c>
      <c r="J35" s="203">
        <f t="shared" si="5"/>
        <v>0</v>
      </c>
      <c r="K35" s="367">
        <f t="shared" si="6"/>
        <v>0</v>
      </c>
      <c r="L35" s="368">
        <f t="shared" si="9"/>
        <v>0</v>
      </c>
      <c r="M35" s="641"/>
      <c r="N35" s="641"/>
      <c r="O35" s="641"/>
      <c r="P35" s="641"/>
      <c r="Q35" s="641"/>
      <c r="R35" s="641"/>
      <c r="S35" s="641"/>
      <c r="T35" s="641"/>
      <c r="U35" s="641"/>
      <c r="V35" s="641"/>
      <c r="W35" s="641"/>
    </row>
    <row r="36" spans="1:23" s="428" customFormat="1" ht="18" x14ac:dyDescent="0.2">
      <c r="A36" s="419"/>
      <c r="B36" s="370" t="s">
        <v>43</v>
      </c>
      <c r="C36" s="202" t="s">
        <v>16</v>
      </c>
      <c r="D36" s="130">
        <v>217</v>
      </c>
      <c r="E36" s="427">
        <v>330.46</v>
      </c>
      <c r="F36" s="202"/>
      <c r="G36" s="164">
        <f t="shared" si="7"/>
        <v>330.46</v>
      </c>
      <c r="H36" s="130">
        <v>36</v>
      </c>
      <c r="I36" s="130">
        <f t="shared" si="8"/>
        <v>7812</v>
      </c>
      <c r="J36" s="203">
        <f t="shared" si="5"/>
        <v>11896.56</v>
      </c>
      <c r="K36" s="367">
        <f t="shared" si="6"/>
        <v>0</v>
      </c>
      <c r="L36" s="368">
        <f t="shared" si="9"/>
        <v>11896.56</v>
      </c>
      <c r="M36" s="641"/>
      <c r="N36" s="641"/>
      <c r="O36" s="641"/>
      <c r="P36" s="641"/>
      <c r="Q36" s="641"/>
      <c r="R36" s="641"/>
      <c r="S36" s="641"/>
      <c r="T36" s="641"/>
      <c r="U36" s="641"/>
      <c r="V36" s="641"/>
      <c r="W36" s="641"/>
    </row>
    <row r="37" spans="1:23" s="431" customFormat="1" ht="18" x14ac:dyDescent="0.2">
      <c r="A37" s="419"/>
      <c r="B37" s="370" t="s">
        <v>186</v>
      </c>
      <c r="C37" s="202" t="s">
        <v>16</v>
      </c>
      <c r="D37" s="130">
        <v>89</v>
      </c>
      <c r="E37" s="430">
        <v>261.77999999999997</v>
      </c>
      <c r="F37" s="164"/>
      <c r="G37" s="164">
        <f t="shared" si="7"/>
        <v>261.77999999999997</v>
      </c>
      <c r="H37" s="130">
        <v>36</v>
      </c>
      <c r="I37" s="130">
        <f t="shared" si="8"/>
        <v>3204</v>
      </c>
      <c r="J37" s="203">
        <f t="shared" si="5"/>
        <v>9424.0799999999981</v>
      </c>
      <c r="K37" s="367">
        <f t="shared" si="6"/>
        <v>0</v>
      </c>
      <c r="L37" s="368">
        <f t="shared" si="9"/>
        <v>9424.0799999999981</v>
      </c>
      <c r="M37" s="642"/>
      <c r="N37" s="642"/>
      <c r="O37" s="642"/>
      <c r="P37" s="642"/>
      <c r="Q37" s="642"/>
      <c r="R37" s="642"/>
      <c r="S37" s="642"/>
      <c r="T37" s="642"/>
      <c r="U37" s="642"/>
      <c r="V37" s="642"/>
      <c r="W37" s="642"/>
    </row>
    <row r="38" spans="1:23" s="84" customFormat="1" ht="18" x14ac:dyDescent="0.2">
      <c r="A38" s="317"/>
      <c r="B38" s="372" t="s">
        <v>187</v>
      </c>
      <c r="C38" s="205" t="s">
        <v>16</v>
      </c>
      <c r="D38" s="140">
        <v>503</v>
      </c>
      <c r="E38" s="432">
        <v>386.64</v>
      </c>
      <c r="F38" s="202"/>
      <c r="G38" s="164">
        <f t="shared" si="7"/>
        <v>386.64</v>
      </c>
      <c r="H38" s="130">
        <v>36</v>
      </c>
      <c r="I38" s="130">
        <f t="shared" si="8"/>
        <v>18108</v>
      </c>
      <c r="J38" s="203">
        <f t="shared" si="5"/>
        <v>13919.039999999999</v>
      </c>
      <c r="K38" s="367">
        <f t="shared" si="6"/>
        <v>0</v>
      </c>
      <c r="L38" s="368">
        <f t="shared" si="9"/>
        <v>13919.039999999999</v>
      </c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</row>
    <row r="39" spans="1:23" s="593" customFormat="1" ht="18.75" thickBot="1" x14ac:dyDescent="0.25">
      <c r="A39" s="580"/>
      <c r="B39" s="1174" t="s">
        <v>64</v>
      </c>
      <c r="C39" s="1175"/>
      <c r="D39" s="1175"/>
      <c r="E39" s="1175"/>
      <c r="F39" s="1175"/>
      <c r="G39" s="1175"/>
      <c r="H39" s="1176"/>
      <c r="I39" s="586">
        <f>SUM(I23:I38)</f>
        <v>67666</v>
      </c>
      <c r="J39" s="586">
        <f>SUM(J23:J38)</f>
        <v>71527.579999999987</v>
      </c>
      <c r="K39" s="586">
        <f>SUM(K23:K38)</f>
        <v>0</v>
      </c>
      <c r="L39" s="586">
        <f>SUM(L23:L38)</f>
        <v>71527.579999999987</v>
      </c>
      <c r="M39" s="639"/>
      <c r="N39" s="639"/>
      <c r="O39" s="639"/>
      <c r="P39" s="639"/>
      <c r="Q39" s="639"/>
      <c r="R39" s="639"/>
      <c r="S39" s="639"/>
      <c r="T39" s="639"/>
      <c r="U39" s="639"/>
      <c r="V39" s="639"/>
      <c r="W39" s="639"/>
    </row>
    <row r="40" spans="1:23" s="84" customFormat="1" ht="18.75" thickBot="1" x14ac:dyDescent="0.25">
      <c r="B40" s="432" t="s">
        <v>233</v>
      </c>
      <c r="C40" s="432"/>
      <c r="D40" s="432"/>
      <c r="E40" s="432"/>
      <c r="F40" s="432"/>
      <c r="G40" s="432"/>
      <c r="H40" s="432"/>
      <c r="I40" s="432"/>
      <c r="J40" s="432" t="s">
        <v>343</v>
      </c>
      <c r="K40" s="432"/>
      <c r="L40" s="432"/>
      <c r="M40" s="626"/>
      <c r="N40" s="626"/>
      <c r="O40" s="626"/>
      <c r="P40" s="626"/>
      <c r="Q40" s="626"/>
      <c r="R40" s="626"/>
      <c r="S40" s="626"/>
      <c r="T40" s="626"/>
      <c r="U40" s="626"/>
      <c r="V40" s="626"/>
      <c r="W40" s="626"/>
    </row>
    <row r="41" spans="1:23" s="455" customFormat="1" ht="15.75" customHeight="1" x14ac:dyDescent="0.15">
      <c r="A41" s="1107" t="s">
        <v>61</v>
      </c>
      <c r="B41" s="1128" t="s">
        <v>54</v>
      </c>
      <c r="C41" s="1128" t="s">
        <v>5</v>
      </c>
      <c r="D41" s="1117" t="s">
        <v>4</v>
      </c>
      <c r="E41" s="1118"/>
      <c r="F41" s="1119"/>
      <c r="G41" s="1128" t="s">
        <v>334</v>
      </c>
      <c r="H41" s="1110" t="s">
        <v>8</v>
      </c>
      <c r="I41" s="1136" t="s">
        <v>50</v>
      </c>
      <c r="J41" s="1118"/>
      <c r="K41" s="1119"/>
      <c r="L41" s="503"/>
      <c r="M41" s="639"/>
      <c r="N41" s="639"/>
      <c r="O41" s="639"/>
      <c r="P41" s="639"/>
      <c r="Q41" s="639"/>
      <c r="R41" s="639"/>
      <c r="S41" s="639"/>
      <c r="T41" s="639"/>
      <c r="U41" s="639"/>
      <c r="V41" s="639"/>
      <c r="W41" s="639"/>
    </row>
    <row r="42" spans="1:23" s="455" customFormat="1" x14ac:dyDescent="0.15">
      <c r="A42" s="1108"/>
      <c r="B42" s="1129"/>
      <c r="C42" s="1129"/>
      <c r="D42" s="1130" t="s">
        <v>62</v>
      </c>
      <c r="E42" s="1120" t="s">
        <v>63</v>
      </c>
      <c r="F42" s="1121"/>
      <c r="G42" s="1129"/>
      <c r="H42" s="1111"/>
      <c r="I42" s="1122" t="s">
        <v>6</v>
      </c>
      <c r="J42" s="1134" t="s">
        <v>7</v>
      </c>
      <c r="K42" s="1135"/>
      <c r="L42" s="1132" t="s">
        <v>7</v>
      </c>
      <c r="M42" s="639"/>
      <c r="N42" s="639"/>
      <c r="O42" s="639"/>
      <c r="P42" s="639"/>
      <c r="Q42" s="639"/>
      <c r="R42" s="639"/>
      <c r="S42" s="639"/>
      <c r="T42" s="639"/>
      <c r="U42" s="639"/>
      <c r="V42" s="639"/>
      <c r="W42" s="639"/>
    </row>
    <row r="43" spans="1:23" s="455" customFormat="1" ht="15" thickBot="1" x14ac:dyDescent="0.2">
      <c r="A43" s="1109"/>
      <c r="B43" s="1123"/>
      <c r="C43" s="1123"/>
      <c r="D43" s="1131"/>
      <c r="E43" s="255" t="s">
        <v>98</v>
      </c>
      <c r="F43" s="255" t="s">
        <v>99</v>
      </c>
      <c r="G43" s="1129"/>
      <c r="H43" s="1112"/>
      <c r="I43" s="1123"/>
      <c r="J43" s="255" t="s">
        <v>98</v>
      </c>
      <c r="K43" s="255" t="s">
        <v>99</v>
      </c>
      <c r="L43" s="1133"/>
      <c r="M43" s="639"/>
      <c r="N43" s="639"/>
      <c r="O43" s="639"/>
      <c r="P43" s="639"/>
      <c r="Q43" s="639"/>
      <c r="R43" s="639"/>
      <c r="S43" s="639"/>
      <c r="T43" s="639"/>
      <c r="U43" s="639"/>
      <c r="V43" s="639"/>
      <c r="W43" s="639"/>
    </row>
    <row r="44" spans="1:23" s="455" customFormat="1" ht="15" thickBot="1" x14ac:dyDescent="0.2">
      <c r="A44" s="280" t="s">
        <v>102</v>
      </c>
      <c r="B44" s="257" t="s">
        <v>103</v>
      </c>
      <c r="C44" s="257" t="s">
        <v>104</v>
      </c>
      <c r="D44" s="258" t="s">
        <v>105</v>
      </c>
      <c r="E44" s="258" t="s">
        <v>106</v>
      </c>
      <c r="F44" s="258" t="s">
        <v>107</v>
      </c>
      <c r="G44" s="258"/>
      <c r="H44" s="259" t="s">
        <v>108</v>
      </c>
      <c r="I44" s="257" t="s">
        <v>116</v>
      </c>
      <c r="J44" s="258" t="s">
        <v>115</v>
      </c>
      <c r="K44" s="258" t="s">
        <v>114</v>
      </c>
      <c r="L44" s="260" t="s">
        <v>113</v>
      </c>
      <c r="M44" s="639"/>
      <c r="N44" s="639"/>
      <c r="O44" s="639"/>
      <c r="P44" s="639"/>
      <c r="Q44" s="639"/>
      <c r="R44" s="639"/>
      <c r="S44" s="639"/>
      <c r="T44" s="639"/>
      <c r="U44" s="639"/>
      <c r="V44" s="639"/>
      <c r="W44" s="639"/>
    </row>
    <row r="45" spans="1:23" ht="18" x14ac:dyDescent="0.2">
      <c r="A45" s="433"/>
      <c r="B45" s="416" t="s">
        <v>75</v>
      </c>
      <c r="C45" s="347"/>
      <c r="D45" s="34"/>
      <c r="E45" s="347"/>
      <c r="F45" s="347"/>
      <c r="G45" s="347"/>
      <c r="H45" s="34"/>
      <c r="I45" s="34"/>
      <c r="J45" s="295"/>
      <c r="K45" s="295"/>
      <c r="L45" s="296"/>
    </row>
    <row r="46" spans="1:23" ht="18" x14ac:dyDescent="0.2">
      <c r="A46" s="434"/>
      <c r="B46" s="370" t="s">
        <v>76</v>
      </c>
      <c r="C46" s="202"/>
      <c r="D46" s="130"/>
      <c r="E46" s="202"/>
      <c r="F46" s="202"/>
      <c r="G46" s="202"/>
      <c r="H46" s="130"/>
      <c r="I46" s="130"/>
      <c r="J46" s="244"/>
      <c r="K46" s="244"/>
      <c r="L46" s="368"/>
    </row>
    <row r="47" spans="1:23" ht="18" x14ac:dyDescent="0.2">
      <c r="A47" s="434">
        <v>1.01</v>
      </c>
      <c r="B47" s="370" t="s">
        <v>120</v>
      </c>
      <c r="C47" s="202"/>
      <c r="D47" s="130"/>
      <c r="E47" s="202"/>
      <c r="F47" s="202"/>
      <c r="G47" s="202"/>
      <c r="H47" s="130"/>
      <c r="I47" s="130">
        <f>D47*H47</f>
        <v>0</v>
      </c>
      <c r="J47" s="130">
        <f>E47*H47</f>
        <v>0</v>
      </c>
      <c r="K47" s="130"/>
      <c r="L47" s="368"/>
    </row>
    <row r="48" spans="1:23" ht="18" x14ac:dyDescent="0.2">
      <c r="A48" s="434"/>
      <c r="B48" s="370" t="s">
        <v>77</v>
      </c>
      <c r="C48" s="202" t="s">
        <v>12</v>
      </c>
      <c r="D48" s="130">
        <v>1.5</v>
      </c>
      <c r="E48" s="202">
        <v>1.08</v>
      </c>
      <c r="F48" s="202"/>
      <c r="G48" s="202">
        <f>F48+E48</f>
        <v>1.08</v>
      </c>
      <c r="H48" s="130">
        <v>2600</v>
      </c>
      <c r="I48" s="130">
        <f>D48*H48</f>
        <v>3900</v>
      </c>
      <c r="J48" s="130">
        <f t="shared" ref="J48:J57" si="10">H48*E48</f>
        <v>2808</v>
      </c>
      <c r="K48" s="130">
        <f>H48*F48</f>
        <v>0</v>
      </c>
      <c r="L48" s="368">
        <f>K48+J48</f>
        <v>2808</v>
      </c>
    </row>
    <row r="49" spans="1:23" ht="18" x14ac:dyDescent="0.2">
      <c r="A49" s="434"/>
      <c r="B49" s="370" t="s">
        <v>74</v>
      </c>
      <c r="C49" s="202" t="s">
        <v>12</v>
      </c>
      <c r="D49" s="130">
        <v>2.5</v>
      </c>
      <c r="E49" s="202">
        <v>2.7</v>
      </c>
      <c r="F49" s="202"/>
      <c r="G49" s="202">
        <f t="shared" ref="G49:G57" si="11">F49+E49</f>
        <v>2.7</v>
      </c>
      <c r="H49" s="130">
        <v>2600</v>
      </c>
      <c r="I49" s="130">
        <f t="shared" ref="I49:I57" si="12">D49*H49</f>
        <v>6500</v>
      </c>
      <c r="J49" s="130">
        <f t="shared" si="10"/>
        <v>7020.0000000000009</v>
      </c>
      <c r="K49" s="130">
        <f t="shared" ref="K49:K57" si="13">H49*F49</f>
        <v>0</v>
      </c>
      <c r="L49" s="368">
        <f t="shared" ref="L49:L57" si="14">K49+J49</f>
        <v>7020.0000000000009</v>
      </c>
    </row>
    <row r="50" spans="1:23" ht="18" x14ac:dyDescent="0.2">
      <c r="A50" s="434"/>
      <c r="B50" s="370" t="s">
        <v>78</v>
      </c>
      <c r="C50" s="202" t="s">
        <v>12</v>
      </c>
      <c r="D50" s="130">
        <v>0.5</v>
      </c>
      <c r="E50" s="202"/>
      <c r="F50" s="202"/>
      <c r="G50" s="202">
        <f t="shared" si="11"/>
        <v>0</v>
      </c>
      <c r="H50" s="130">
        <v>2600</v>
      </c>
      <c r="I50" s="130">
        <f t="shared" si="12"/>
        <v>1300</v>
      </c>
      <c r="J50" s="130">
        <f t="shared" si="10"/>
        <v>0</v>
      </c>
      <c r="K50" s="130">
        <f t="shared" si="13"/>
        <v>0</v>
      </c>
      <c r="L50" s="368">
        <f t="shared" si="14"/>
        <v>0</v>
      </c>
    </row>
    <row r="51" spans="1:23" ht="18" x14ac:dyDescent="0.2">
      <c r="A51" s="434">
        <v>1.2</v>
      </c>
      <c r="B51" s="370" t="s">
        <v>109</v>
      </c>
      <c r="C51" s="202"/>
      <c r="D51" s="130"/>
      <c r="E51" s="202"/>
      <c r="F51" s="202"/>
      <c r="G51" s="202">
        <f t="shared" si="11"/>
        <v>0</v>
      </c>
      <c r="H51" s="130"/>
      <c r="I51" s="130">
        <f t="shared" si="12"/>
        <v>0</v>
      </c>
      <c r="J51" s="130">
        <f t="shared" si="10"/>
        <v>0</v>
      </c>
      <c r="K51" s="130">
        <f t="shared" si="13"/>
        <v>0</v>
      </c>
      <c r="L51" s="368">
        <f t="shared" si="14"/>
        <v>0</v>
      </c>
    </row>
    <row r="52" spans="1:23" ht="18" x14ac:dyDescent="0.2">
      <c r="A52" s="434"/>
      <c r="B52" s="370" t="s">
        <v>77</v>
      </c>
      <c r="C52" s="202" t="s">
        <v>11</v>
      </c>
      <c r="D52" s="130">
        <v>21</v>
      </c>
      <c r="E52" s="202">
        <v>21.6</v>
      </c>
      <c r="F52" s="202"/>
      <c r="G52" s="202">
        <f t="shared" si="11"/>
        <v>21.6</v>
      </c>
      <c r="H52" s="130">
        <v>85</v>
      </c>
      <c r="I52" s="130">
        <f t="shared" si="12"/>
        <v>1785</v>
      </c>
      <c r="J52" s="130">
        <f t="shared" si="10"/>
        <v>1836.0000000000002</v>
      </c>
      <c r="K52" s="130">
        <f t="shared" si="13"/>
        <v>0</v>
      </c>
      <c r="L52" s="368">
        <f t="shared" si="14"/>
        <v>1836.0000000000002</v>
      </c>
    </row>
    <row r="53" spans="1:23" ht="18" x14ac:dyDescent="0.2">
      <c r="A53" s="435"/>
      <c r="B53" s="370" t="s">
        <v>74</v>
      </c>
      <c r="C53" s="202" t="s">
        <v>11</v>
      </c>
      <c r="D53" s="130">
        <v>25</v>
      </c>
      <c r="E53" s="202">
        <v>38.4</v>
      </c>
      <c r="F53" s="202"/>
      <c r="G53" s="202">
        <f t="shared" si="11"/>
        <v>38.4</v>
      </c>
      <c r="H53" s="130">
        <v>85</v>
      </c>
      <c r="I53" s="130">
        <f t="shared" si="12"/>
        <v>2125</v>
      </c>
      <c r="J53" s="130">
        <f t="shared" si="10"/>
        <v>3264</v>
      </c>
      <c r="K53" s="130">
        <f t="shared" si="13"/>
        <v>0</v>
      </c>
      <c r="L53" s="368">
        <f t="shared" si="14"/>
        <v>3264</v>
      </c>
    </row>
    <row r="54" spans="1:23" ht="18" x14ac:dyDescent="0.2">
      <c r="A54" s="434"/>
      <c r="B54" s="370" t="s">
        <v>78</v>
      </c>
      <c r="C54" s="202" t="s">
        <v>11</v>
      </c>
      <c r="D54" s="130">
        <v>0.5</v>
      </c>
      <c r="E54" s="202"/>
      <c r="F54" s="202"/>
      <c r="G54" s="202">
        <f t="shared" si="11"/>
        <v>0</v>
      </c>
      <c r="H54" s="130">
        <v>85</v>
      </c>
      <c r="I54" s="130">
        <f t="shared" si="12"/>
        <v>42.5</v>
      </c>
      <c r="J54" s="130">
        <f t="shared" si="10"/>
        <v>0</v>
      </c>
      <c r="K54" s="130">
        <f t="shared" si="13"/>
        <v>0</v>
      </c>
      <c r="L54" s="368">
        <f t="shared" si="14"/>
        <v>0</v>
      </c>
    </row>
    <row r="55" spans="1:23" ht="18" x14ac:dyDescent="0.2">
      <c r="A55" s="434">
        <v>1.3</v>
      </c>
      <c r="B55" s="370" t="s">
        <v>15</v>
      </c>
      <c r="C55" s="202"/>
      <c r="D55" s="130"/>
      <c r="E55" s="202"/>
      <c r="F55" s="202"/>
      <c r="G55" s="202">
        <f t="shared" si="11"/>
        <v>0</v>
      </c>
      <c r="H55" s="130"/>
      <c r="I55" s="130">
        <f t="shared" si="12"/>
        <v>0</v>
      </c>
      <c r="J55" s="130">
        <f t="shared" si="10"/>
        <v>0</v>
      </c>
      <c r="K55" s="130">
        <f t="shared" si="13"/>
        <v>0</v>
      </c>
      <c r="L55" s="368">
        <f t="shared" si="14"/>
        <v>0</v>
      </c>
    </row>
    <row r="56" spans="1:23" ht="18" x14ac:dyDescent="0.2">
      <c r="A56" s="434"/>
      <c r="B56" s="370" t="s">
        <v>342</v>
      </c>
      <c r="C56" s="202" t="s">
        <v>16</v>
      </c>
      <c r="D56" s="130">
        <v>60</v>
      </c>
      <c r="E56" s="202">
        <v>118.26</v>
      </c>
      <c r="F56" s="202"/>
      <c r="G56" s="202">
        <f>F56+E56</f>
        <v>118.26</v>
      </c>
      <c r="H56" s="130">
        <v>36</v>
      </c>
      <c r="I56" s="130">
        <f>D56*H56</f>
        <v>2160</v>
      </c>
      <c r="J56" s="130">
        <f t="shared" si="10"/>
        <v>4257.3600000000006</v>
      </c>
      <c r="K56" s="130">
        <f t="shared" si="13"/>
        <v>0</v>
      </c>
      <c r="L56" s="368">
        <f t="shared" si="14"/>
        <v>4257.3600000000006</v>
      </c>
    </row>
    <row r="57" spans="1:23" ht="18" x14ac:dyDescent="0.2">
      <c r="A57" s="434"/>
      <c r="B57" s="370" t="s">
        <v>25</v>
      </c>
      <c r="C57" s="202" t="s">
        <v>16</v>
      </c>
      <c r="D57" s="130">
        <v>330</v>
      </c>
      <c r="E57" s="202">
        <v>491.82</v>
      </c>
      <c r="F57" s="202"/>
      <c r="G57" s="202">
        <f t="shared" si="11"/>
        <v>491.82</v>
      </c>
      <c r="H57" s="130">
        <v>36</v>
      </c>
      <c r="I57" s="130">
        <f t="shared" si="12"/>
        <v>11880</v>
      </c>
      <c r="J57" s="130">
        <f t="shared" si="10"/>
        <v>17705.52</v>
      </c>
      <c r="K57" s="130">
        <f t="shared" si="13"/>
        <v>0</v>
      </c>
      <c r="L57" s="368">
        <f t="shared" si="14"/>
        <v>17705.52</v>
      </c>
    </row>
    <row r="58" spans="1:23" s="593" customFormat="1" ht="18.75" thickBot="1" x14ac:dyDescent="0.25">
      <c r="A58" s="585"/>
      <c r="B58" s="1174" t="s">
        <v>64</v>
      </c>
      <c r="C58" s="1175"/>
      <c r="D58" s="1175"/>
      <c r="E58" s="1175"/>
      <c r="F58" s="1175"/>
      <c r="G58" s="1175"/>
      <c r="H58" s="1176"/>
      <c r="I58" s="586">
        <f>SUM(I46:I57)</f>
        <v>29692.5</v>
      </c>
      <c r="J58" s="586">
        <f>SUM(J46:J57)</f>
        <v>36890.880000000005</v>
      </c>
      <c r="K58" s="586">
        <f>SUM(K46:K57)</f>
        <v>0</v>
      </c>
      <c r="L58" s="586">
        <f>SUM(L46:L57)</f>
        <v>36890.880000000005</v>
      </c>
      <c r="M58" s="639"/>
      <c r="N58" s="639"/>
      <c r="O58" s="639"/>
      <c r="P58" s="639"/>
      <c r="Q58" s="639"/>
      <c r="R58" s="639"/>
      <c r="S58" s="639"/>
      <c r="T58" s="639"/>
      <c r="U58" s="639"/>
      <c r="V58" s="639"/>
      <c r="W58" s="639"/>
    </row>
    <row r="59" spans="1:23" x14ac:dyDescent="0.15">
      <c r="A59" s="437"/>
      <c r="B59" s="438" t="s">
        <v>319</v>
      </c>
      <c r="C59" s="155"/>
      <c r="D59" s="154"/>
      <c r="E59" s="411"/>
      <c r="F59" s="439"/>
      <c r="G59" s="439"/>
      <c r="H59" s="154"/>
      <c r="I59" s="154"/>
      <c r="J59" s="411"/>
      <c r="K59" s="411"/>
      <c r="L59" s="440"/>
    </row>
    <row r="60" spans="1:23" ht="20.25" x14ac:dyDescent="0.2">
      <c r="A60" s="441">
        <v>2.0099999999999998</v>
      </c>
      <c r="B60" s="442" t="s">
        <v>341</v>
      </c>
      <c r="C60" s="218" t="s">
        <v>303</v>
      </c>
      <c r="D60" s="232">
        <v>81</v>
      </c>
      <c r="E60" s="232">
        <v>133.88999999999999</v>
      </c>
      <c r="F60" s="232"/>
      <c r="G60" s="232">
        <f>F60+E60</f>
        <v>133.88999999999999</v>
      </c>
      <c r="H60" s="443">
        <v>310</v>
      </c>
      <c r="I60" s="232">
        <f>H60*D60</f>
        <v>25110</v>
      </c>
      <c r="J60" s="239">
        <f t="shared" ref="J60:J74" si="15">H60*E60</f>
        <v>41505.899999999994</v>
      </c>
      <c r="K60" s="239">
        <f t="shared" ref="K60:K74" si="16">H60*F60</f>
        <v>0</v>
      </c>
      <c r="L60" s="444">
        <f>K60+J60</f>
        <v>41505.899999999994</v>
      </c>
    </row>
    <row r="61" spans="1:23" ht="20.25" x14ac:dyDescent="0.2">
      <c r="A61" s="445">
        <v>2.02</v>
      </c>
      <c r="B61" s="446" t="s">
        <v>321</v>
      </c>
      <c r="C61" s="236" t="s">
        <v>303</v>
      </c>
      <c r="D61" s="235">
        <v>40</v>
      </c>
      <c r="E61" s="235">
        <v>22.68</v>
      </c>
      <c r="F61" s="235"/>
      <c r="G61" s="232">
        <f t="shared" ref="G61:G83" si="17">F61+E61</f>
        <v>22.68</v>
      </c>
      <c r="H61" s="447">
        <v>295</v>
      </c>
      <c r="I61" s="235">
        <f>H61*D61</f>
        <v>11800</v>
      </c>
      <c r="J61" s="240">
        <f t="shared" si="15"/>
        <v>6690.6</v>
      </c>
      <c r="K61" s="240">
        <f t="shared" si="16"/>
        <v>0</v>
      </c>
      <c r="L61" s="444">
        <f>K61+J61</f>
        <v>6690.6</v>
      </c>
    </row>
    <row r="62" spans="1:23" s="593" customFormat="1" ht="18" x14ac:dyDescent="0.2">
      <c r="A62" s="594"/>
      <c r="B62" s="595" t="s">
        <v>64</v>
      </c>
      <c r="C62" s="596"/>
      <c r="D62" s="596"/>
      <c r="E62" s="595"/>
      <c r="F62" s="595"/>
      <c r="G62" s="598">
        <f t="shared" si="17"/>
        <v>0</v>
      </c>
      <c r="H62" s="595"/>
      <c r="I62" s="595">
        <f>SUM(I60:I61)</f>
        <v>36910</v>
      </c>
      <c r="J62" s="595">
        <f>SUM(J60:J61)</f>
        <v>48196.499999999993</v>
      </c>
      <c r="K62" s="595">
        <f>SUM(K60:K61)</f>
        <v>0</v>
      </c>
      <c r="L62" s="595">
        <f>SUM(L60:L61)</f>
        <v>48196.499999999993</v>
      </c>
    </row>
    <row r="63" spans="1:23" s="626" customFormat="1" ht="18" x14ac:dyDescent="0.2">
      <c r="A63" s="648"/>
      <c r="B63" s="649" t="s">
        <v>322</v>
      </c>
      <c r="C63" s="650"/>
      <c r="D63" s="651"/>
      <c r="E63" s="411"/>
      <c r="F63" s="411"/>
      <c r="G63" s="239">
        <f t="shared" si="17"/>
        <v>0</v>
      </c>
      <c r="H63" s="411"/>
      <c r="I63" s="411"/>
      <c r="J63" s="411"/>
      <c r="K63" s="411"/>
      <c r="L63" s="444">
        <f>K63+J63</f>
        <v>0</v>
      </c>
    </row>
    <row r="64" spans="1:23" ht="31.5" x14ac:dyDescent="0.2">
      <c r="A64" s="441">
        <v>3.01</v>
      </c>
      <c r="B64" s="442" t="s">
        <v>323</v>
      </c>
      <c r="C64" s="218" t="s">
        <v>303</v>
      </c>
      <c r="D64" s="232">
        <v>67</v>
      </c>
      <c r="E64" s="232">
        <v>66.3</v>
      </c>
      <c r="F64" s="232">
        <v>11.9</v>
      </c>
      <c r="G64" s="232">
        <f t="shared" si="17"/>
        <v>78.2</v>
      </c>
      <c r="H64" s="443">
        <v>245</v>
      </c>
      <c r="I64" s="232">
        <f>H64*D64</f>
        <v>16415</v>
      </c>
      <c r="J64" s="239">
        <f t="shared" si="15"/>
        <v>16243.5</v>
      </c>
      <c r="K64" s="239">
        <f t="shared" si="16"/>
        <v>2915.5</v>
      </c>
      <c r="L64" s="444">
        <f>K64+J64</f>
        <v>19159</v>
      </c>
    </row>
    <row r="65" spans="1:23" ht="18" x14ac:dyDescent="0.2">
      <c r="A65" s="445">
        <v>3.02</v>
      </c>
      <c r="B65" s="446" t="s">
        <v>504</v>
      </c>
      <c r="C65" s="236" t="s">
        <v>174</v>
      </c>
      <c r="D65" s="235">
        <v>18.2</v>
      </c>
      <c r="E65" s="235"/>
      <c r="F65" s="235"/>
      <c r="G65" s="232">
        <f t="shared" si="17"/>
        <v>0</v>
      </c>
      <c r="H65" s="447">
        <v>115</v>
      </c>
      <c r="I65" s="232">
        <f>H65*D65</f>
        <v>2093</v>
      </c>
      <c r="J65" s="239">
        <f t="shared" si="15"/>
        <v>0</v>
      </c>
      <c r="K65" s="239">
        <f t="shared" si="16"/>
        <v>0</v>
      </c>
      <c r="L65" s="444">
        <f>K65+J65</f>
        <v>0</v>
      </c>
    </row>
    <row r="66" spans="1:23" ht="18" x14ac:dyDescent="0.2">
      <c r="A66" s="445">
        <v>3.03</v>
      </c>
      <c r="B66" s="446" t="s">
        <v>505</v>
      </c>
      <c r="C66" s="236" t="s">
        <v>174</v>
      </c>
      <c r="D66" s="235">
        <v>16</v>
      </c>
      <c r="E66" s="235"/>
      <c r="F66" s="235"/>
      <c r="G66" s="232">
        <f t="shared" si="17"/>
        <v>0</v>
      </c>
      <c r="H66" s="447">
        <v>80</v>
      </c>
      <c r="I66" s="232">
        <f>H66*D66</f>
        <v>1280</v>
      </c>
      <c r="J66" s="239">
        <f t="shared" si="15"/>
        <v>0</v>
      </c>
      <c r="K66" s="239">
        <f t="shared" si="16"/>
        <v>0</v>
      </c>
      <c r="L66" s="444">
        <f>K66+J66</f>
        <v>0</v>
      </c>
    </row>
    <row r="67" spans="1:23" ht="18" x14ac:dyDescent="0.2">
      <c r="A67" s="445">
        <v>3.04</v>
      </c>
      <c r="B67" s="446" t="s">
        <v>506</v>
      </c>
      <c r="C67" s="236" t="s">
        <v>174</v>
      </c>
      <c r="D67" s="235">
        <v>8</v>
      </c>
      <c r="E67" s="235"/>
      <c r="F67" s="235"/>
      <c r="G67" s="232">
        <f t="shared" si="17"/>
        <v>0</v>
      </c>
      <c r="H67" s="447">
        <v>75</v>
      </c>
      <c r="I67" s="232">
        <f>H67*D67</f>
        <v>600</v>
      </c>
      <c r="J67" s="239">
        <f t="shared" si="15"/>
        <v>0</v>
      </c>
      <c r="K67" s="239">
        <f t="shared" si="16"/>
        <v>0</v>
      </c>
      <c r="L67" s="444">
        <f>K67+J67</f>
        <v>0</v>
      </c>
    </row>
    <row r="68" spans="1:23" s="593" customFormat="1" ht="18" x14ac:dyDescent="0.2">
      <c r="A68" s="594"/>
      <c r="B68" s="595" t="s">
        <v>64</v>
      </c>
      <c r="C68" s="596"/>
      <c r="D68" s="596"/>
      <c r="E68" s="595"/>
      <c r="F68" s="595"/>
      <c r="G68" s="598">
        <f t="shared" si="17"/>
        <v>0</v>
      </c>
      <c r="H68" s="595"/>
      <c r="I68" s="595">
        <f>SUM(I64:I67)</f>
        <v>20388</v>
      </c>
      <c r="J68" s="595">
        <f>SUM(J64:J67)</f>
        <v>16243.5</v>
      </c>
      <c r="K68" s="595">
        <f>SUM(K64:K67)</f>
        <v>2915.5</v>
      </c>
      <c r="L68" s="595">
        <f>SUM(L64:L67)</f>
        <v>19159</v>
      </c>
    </row>
    <row r="69" spans="1:23" ht="18" x14ac:dyDescent="0.2">
      <c r="A69" s="437"/>
      <c r="B69" s="438" t="s">
        <v>324</v>
      </c>
      <c r="C69" s="155"/>
      <c r="D69" s="448"/>
      <c r="E69" s="411"/>
      <c r="F69" s="154"/>
      <c r="G69" s="232">
        <f t="shared" si="17"/>
        <v>0</v>
      </c>
      <c r="H69" s="154"/>
      <c r="I69" s="154"/>
      <c r="J69" s="411"/>
      <c r="K69" s="411"/>
      <c r="L69" s="440"/>
    </row>
    <row r="70" spans="1:23" ht="22.5" customHeight="1" x14ac:dyDescent="0.2">
      <c r="A70" s="449">
        <v>4.01</v>
      </c>
      <c r="B70" s="442" t="s">
        <v>339</v>
      </c>
      <c r="C70" s="218"/>
      <c r="D70" s="443"/>
      <c r="E70" s="239"/>
      <c r="F70" s="232"/>
      <c r="G70" s="232">
        <f t="shared" si="17"/>
        <v>0</v>
      </c>
      <c r="H70" s="232"/>
      <c r="I70" s="232"/>
      <c r="J70" s="239"/>
      <c r="K70" s="239"/>
      <c r="L70" s="444"/>
    </row>
    <row r="71" spans="1:23" ht="22.5" customHeight="1" x14ac:dyDescent="0.2">
      <c r="A71" s="449" t="s">
        <v>325</v>
      </c>
      <c r="B71" s="442" t="s">
        <v>338</v>
      </c>
      <c r="C71" s="218" t="s">
        <v>174</v>
      </c>
      <c r="D71" s="443">
        <v>120</v>
      </c>
      <c r="E71" s="232">
        <v>108.07</v>
      </c>
      <c r="F71" s="232"/>
      <c r="G71" s="232">
        <f t="shared" si="17"/>
        <v>108.07</v>
      </c>
      <c r="H71" s="443">
        <v>20</v>
      </c>
      <c r="I71" s="232">
        <f>H71*D71</f>
        <v>2400</v>
      </c>
      <c r="J71" s="239">
        <f t="shared" si="15"/>
        <v>2161.3999999999996</v>
      </c>
      <c r="K71" s="239">
        <f t="shared" si="16"/>
        <v>0</v>
      </c>
      <c r="L71" s="444">
        <f>K71+J71</f>
        <v>2161.3999999999996</v>
      </c>
    </row>
    <row r="72" spans="1:23" ht="22.5" customHeight="1" x14ac:dyDescent="0.2">
      <c r="A72" s="449" t="s">
        <v>326</v>
      </c>
      <c r="B72" s="442" t="s">
        <v>337</v>
      </c>
      <c r="C72" s="218" t="s">
        <v>174</v>
      </c>
      <c r="D72" s="443">
        <v>60</v>
      </c>
      <c r="E72" s="232">
        <v>116.03</v>
      </c>
      <c r="F72" s="232"/>
      <c r="G72" s="232">
        <f t="shared" si="17"/>
        <v>116.03</v>
      </c>
      <c r="H72" s="443">
        <v>19</v>
      </c>
      <c r="I72" s="232">
        <f>H72*D72</f>
        <v>1140</v>
      </c>
      <c r="J72" s="239">
        <f t="shared" si="15"/>
        <v>2204.5700000000002</v>
      </c>
      <c r="K72" s="239">
        <f t="shared" si="16"/>
        <v>0</v>
      </c>
      <c r="L72" s="444">
        <f>K72+J72</f>
        <v>2204.5700000000002</v>
      </c>
    </row>
    <row r="73" spans="1:23" ht="22.5" customHeight="1" x14ac:dyDescent="0.2">
      <c r="A73" s="450">
        <v>4.0199999999999996</v>
      </c>
      <c r="B73" s="446" t="s">
        <v>340</v>
      </c>
      <c r="C73" s="236" t="s">
        <v>174</v>
      </c>
      <c r="D73" s="447">
        <v>110</v>
      </c>
      <c r="E73" s="235">
        <v>75.56</v>
      </c>
      <c r="F73" s="235"/>
      <c r="G73" s="235">
        <f t="shared" si="17"/>
        <v>75.56</v>
      </c>
      <c r="H73" s="447">
        <v>45</v>
      </c>
      <c r="I73" s="235">
        <f>H73*D73</f>
        <v>4950</v>
      </c>
      <c r="J73" s="240">
        <f t="shared" si="15"/>
        <v>3400.2000000000003</v>
      </c>
      <c r="K73" s="240">
        <f t="shared" si="16"/>
        <v>0</v>
      </c>
      <c r="L73" s="958">
        <f>K73+J73</f>
        <v>3400.2000000000003</v>
      </c>
    </row>
    <row r="74" spans="1:23" ht="22.5" customHeight="1" x14ac:dyDescent="0.2">
      <c r="A74" s="450">
        <v>4.03</v>
      </c>
      <c r="B74" s="446" t="s">
        <v>513</v>
      </c>
      <c r="C74" s="218" t="s">
        <v>303</v>
      </c>
      <c r="D74" s="447">
        <v>40</v>
      </c>
      <c r="E74" s="235"/>
      <c r="F74" s="235">
        <v>63.94</v>
      </c>
      <c r="G74" s="960"/>
      <c r="H74" s="447">
        <v>280</v>
      </c>
      <c r="I74" s="235">
        <f>H74*D74</f>
        <v>11200</v>
      </c>
      <c r="J74" s="240">
        <f t="shared" si="15"/>
        <v>0</v>
      </c>
      <c r="K74" s="240">
        <f t="shared" si="16"/>
        <v>17903.2</v>
      </c>
      <c r="L74" s="958">
        <f>K74+J74</f>
        <v>17903.2</v>
      </c>
    </row>
    <row r="75" spans="1:23" s="593" customFormat="1" ht="27" customHeight="1" x14ac:dyDescent="0.2">
      <c r="A75" s="594"/>
      <c r="B75" s="595" t="s">
        <v>64</v>
      </c>
      <c r="C75" s="596"/>
      <c r="D75" s="596"/>
      <c r="E75" s="595"/>
      <c r="F75" s="597"/>
      <c r="G75" s="959">
        <f t="shared" si="17"/>
        <v>0</v>
      </c>
      <c r="H75" s="595"/>
      <c r="I75" s="595">
        <f>SUM(I71:I74)</f>
        <v>19690</v>
      </c>
      <c r="J75" s="595">
        <f>SUM(J71:J74)</f>
        <v>7766.17</v>
      </c>
      <c r="K75" s="595">
        <f>SUM(K71:K74)</f>
        <v>17903.2</v>
      </c>
      <c r="L75" s="595">
        <f>SUM(L71:L74)</f>
        <v>25669.370000000003</v>
      </c>
      <c r="M75" s="639"/>
      <c r="N75" s="639"/>
      <c r="O75" s="639"/>
      <c r="P75" s="639"/>
      <c r="Q75" s="639"/>
      <c r="R75" s="639"/>
      <c r="S75" s="639"/>
      <c r="T75" s="639"/>
      <c r="U75" s="639"/>
      <c r="V75" s="639"/>
      <c r="W75" s="639"/>
    </row>
    <row r="76" spans="1:23" ht="28.5" customHeight="1" x14ac:dyDescent="0.2">
      <c r="A76" s="437"/>
      <c r="B76" s="961" t="s">
        <v>542</v>
      </c>
      <c r="C76" s="155"/>
      <c r="D76" s="448"/>
      <c r="E76" s="411"/>
      <c r="F76" s="154"/>
      <c r="G76" s="232">
        <f>F76+E76</f>
        <v>0</v>
      </c>
      <c r="H76" s="154"/>
      <c r="I76" s="154"/>
      <c r="J76" s="411"/>
      <c r="K76" s="411"/>
      <c r="L76" s="440"/>
    </row>
    <row r="77" spans="1:23" ht="28.5" customHeight="1" x14ac:dyDescent="0.2">
      <c r="A77" s="449"/>
      <c r="B77" s="442" t="s">
        <v>543</v>
      </c>
      <c r="C77" s="218"/>
      <c r="D77" s="443"/>
      <c r="E77" s="239"/>
      <c r="F77" s="232"/>
      <c r="G77" s="232">
        <f>F77+E77</f>
        <v>0</v>
      </c>
      <c r="H77" s="232"/>
      <c r="I77" s="232"/>
      <c r="J77" s="239"/>
      <c r="K77" s="239"/>
      <c r="L77" s="444"/>
    </row>
    <row r="78" spans="1:23" ht="21" customHeight="1" x14ac:dyDescent="0.2">
      <c r="A78" s="449">
        <v>5.01</v>
      </c>
      <c r="B78" s="442" t="s">
        <v>544</v>
      </c>
      <c r="C78" s="218" t="s">
        <v>466</v>
      </c>
      <c r="D78" s="443">
        <v>8</v>
      </c>
      <c r="E78" s="232"/>
      <c r="F78" s="232"/>
      <c r="G78" s="232">
        <f>F78+E78</f>
        <v>0</v>
      </c>
      <c r="H78" s="443">
        <v>3062.5</v>
      </c>
      <c r="I78" s="232">
        <f>H78*D78</f>
        <v>24500</v>
      </c>
      <c r="J78" s="239">
        <f>H78*E78</f>
        <v>0</v>
      </c>
      <c r="K78" s="239">
        <f>H78*F78</f>
        <v>0</v>
      </c>
      <c r="L78" s="444">
        <f>K78+J78</f>
        <v>0</v>
      </c>
    </row>
    <row r="79" spans="1:23" ht="21" customHeight="1" x14ac:dyDescent="0.2">
      <c r="A79" s="449">
        <v>5.0199999999999996</v>
      </c>
      <c r="B79" s="442" t="s">
        <v>346</v>
      </c>
      <c r="C79" s="218"/>
      <c r="D79" s="443"/>
      <c r="E79" s="232"/>
      <c r="F79" s="232"/>
      <c r="G79" s="232">
        <f>F79+E79</f>
        <v>0</v>
      </c>
      <c r="H79" s="443"/>
      <c r="I79" s="232">
        <f>H79*D79</f>
        <v>0</v>
      </c>
      <c r="J79" s="239">
        <f>H79*E79</f>
        <v>0</v>
      </c>
      <c r="K79" s="239">
        <f>H79*F79</f>
        <v>0</v>
      </c>
      <c r="L79" s="444">
        <f>K79+J79</f>
        <v>0</v>
      </c>
    </row>
    <row r="80" spans="1:23" ht="18.75" customHeight="1" x14ac:dyDescent="0.2">
      <c r="A80" s="450"/>
      <c r="B80" s="446" t="s">
        <v>545</v>
      </c>
      <c r="C80" s="236" t="s">
        <v>466</v>
      </c>
      <c r="D80" s="447">
        <v>8</v>
      </c>
      <c r="E80" s="235"/>
      <c r="F80" s="235"/>
      <c r="G80" s="235">
        <f>F80+E80</f>
        <v>0</v>
      </c>
      <c r="H80" s="447">
        <v>1170</v>
      </c>
      <c r="I80" s="235">
        <f>H80*D80</f>
        <v>9360</v>
      </c>
      <c r="J80" s="240">
        <f>H80*E80</f>
        <v>0</v>
      </c>
      <c r="K80" s="240">
        <f>H80*F80</f>
        <v>0</v>
      </c>
      <c r="L80" s="958">
        <f>K80+J80</f>
        <v>0</v>
      </c>
    </row>
    <row r="81" spans="1:23" s="593" customFormat="1" ht="27" customHeight="1" x14ac:dyDescent="0.15">
      <c r="A81" s="594"/>
      <c r="B81" s="595" t="s">
        <v>64</v>
      </c>
      <c r="C81" s="596"/>
      <c r="D81" s="596"/>
      <c r="E81" s="595"/>
      <c r="F81" s="597"/>
      <c r="G81" s="597"/>
      <c r="H81" s="595"/>
      <c r="I81" s="595">
        <f>SUM(I78:I80)</f>
        <v>33860</v>
      </c>
      <c r="J81" s="595">
        <f>SUM(J78:J80)</f>
        <v>0</v>
      </c>
      <c r="K81" s="595">
        <f>SUM(K78:K80)</f>
        <v>0</v>
      </c>
      <c r="L81" s="595">
        <f>SUM(L78:L80)</f>
        <v>0</v>
      </c>
      <c r="M81" s="639"/>
      <c r="N81" s="639"/>
      <c r="O81" s="639"/>
      <c r="P81" s="639"/>
      <c r="Q81" s="639"/>
      <c r="R81" s="639"/>
      <c r="S81" s="639"/>
      <c r="T81" s="639"/>
      <c r="U81" s="639"/>
      <c r="V81" s="639"/>
      <c r="W81" s="639"/>
    </row>
    <row r="82" spans="1:23" s="312" customFormat="1" ht="18" x14ac:dyDescent="0.2">
      <c r="A82" s="451"/>
      <c r="B82" s="452" t="s">
        <v>297</v>
      </c>
      <c r="C82" s="218"/>
      <c r="D82" s="218"/>
      <c r="E82" s="218"/>
      <c r="F82" s="218"/>
      <c r="G82" s="232">
        <f t="shared" si="17"/>
        <v>0</v>
      </c>
      <c r="H82" s="218"/>
      <c r="I82" s="218"/>
      <c r="J82" s="218"/>
      <c r="K82" s="218"/>
      <c r="L82" s="218"/>
      <c r="M82" s="628"/>
      <c r="N82" s="628"/>
      <c r="O82" s="628"/>
      <c r="P82" s="628"/>
      <c r="Q82" s="628"/>
      <c r="R82" s="628"/>
      <c r="S82" s="628"/>
      <c r="T82" s="628"/>
      <c r="U82" s="628"/>
      <c r="V82" s="628"/>
      <c r="W82" s="628"/>
    </row>
    <row r="83" spans="1:23" s="312" customFormat="1" ht="24.75" customHeight="1" x14ac:dyDescent="0.2">
      <c r="A83" s="451">
        <v>6.1</v>
      </c>
      <c r="B83" s="452" t="s">
        <v>301</v>
      </c>
      <c r="C83" s="218"/>
      <c r="D83" s="218"/>
      <c r="E83" s="218"/>
      <c r="F83" s="218"/>
      <c r="G83" s="232">
        <f t="shared" si="17"/>
        <v>0</v>
      </c>
      <c r="H83" s="218"/>
      <c r="I83" s="218"/>
      <c r="J83" s="218"/>
      <c r="K83" s="218"/>
      <c r="L83" s="218"/>
      <c r="M83" s="628"/>
      <c r="N83" s="628"/>
      <c r="O83" s="628"/>
      <c r="P83" s="628"/>
      <c r="Q83" s="628"/>
      <c r="R83" s="628"/>
      <c r="S83" s="628"/>
      <c r="T83" s="628"/>
      <c r="U83" s="628"/>
      <c r="V83" s="628"/>
      <c r="W83" s="628"/>
    </row>
    <row r="84" spans="1:23" s="312" customFormat="1" ht="24.75" customHeight="1" x14ac:dyDescent="0.2">
      <c r="A84" s="451"/>
      <c r="B84" s="453" t="s">
        <v>302</v>
      </c>
      <c r="C84" s="218" t="s">
        <v>303</v>
      </c>
      <c r="D84" s="218">
        <v>200</v>
      </c>
      <c r="E84" s="244">
        <v>238.31</v>
      </c>
      <c r="F84" s="244"/>
      <c r="G84" s="232">
        <f>F84+E84</f>
        <v>238.31</v>
      </c>
      <c r="H84" s="232">
        <v>140</v>
      </c>
      <c r="I84" s="232">
        <f>H84*D84</f>
        <v>28000</v>
      </c>
      <c r="J84" s="130">
        <f>H84*E84</f>
        <v>33363.4</v>
      </c>
      <c r="K84" s="130">
        <f>H84*F84</f>
        <v>0</v>
      </c>
      <c r="L84" s="244">
        <v>33363.4</v>
      </c>
      <c r="M84" s="628"/>
      <c r="N84" s="628"/>
      <c r="O84" s="628"/>
      <c r="P84" s="628"/>
      <c r="Q84" s="628"/>
      <c r="R84" s="628"/>
      <c r="S84" s="628"/>
      <c r="T84" s="628"/>
      <c r="U84" s="628"/>
      <c r="V84" s="628"/>
      <c r="W84" s="628"/>
    </row>
    <row r="85" spans="1:23" s="312" customFormat="1" ht="24.75" customHeight="1" x14ac:dyDescent="0.2">
      <c r="A85" s="451">
        <v>6.2</v>
      </c>
      <c r="B85" s="452" t="s">
        <v>298</v>
      </c>
      <c r="C85" s="218"/>
      <c r="D85" s="218"/>
      <c r="E85" s="244"/>
      <c r="F85" s="244"/>
      <c r="G85" s="232">
        <f>F85+E85</f>
        <v>0</v>
      </c>
      <c r="H85" s="454"/>
      <c r="I85" s="454"/>
      <c r="J85" s="130">
        <f>H85*E85</f>
        <v>0</v>
      </c>
      <c r="K85" s="130">
        <f>H85*F85</f>
        <v>0</v>
      </c>
      <c r="L85" s="244">
        <f>K85+J85</f>
        <v>0</v>
      </c>
      <c r="M85" s="628"/>
      <c r="N85" s="628"/>
      <c r="O85" s="628"/>
      <c r="P85" s="628"/>
      <c r="Q85" s="628"/>
      <c r="R85" s="628"/>
      <c r="S85" s="628"/>
      <c r="T85" s="628"/>
      <c r="U85" s="628"/>
      <c r="V85" s="628"/>
      <c r="W85" s="628"/>
    </row>
    <row r="86" spans="1:23" s="312" customFormat="1" ht="24.75" customHeight="1" x14ac:dyDescent="0.2">
      <c r="A86" s="451"/>
      <c r="B86" s="452" t="s">
        <v>299</v>
      </c>
      <c r="C86" s="218" t="s">
        <v>303</v>
      </c>
      <c r="D86" s="218">
        <v>100</v>
      </c>
      <c r="E86" s="244">
        <v>118.7</v>
      </c>
      <c r="F86" s="244"/>
      <c r="G86" s="232">
        <f>F86+E86</f>
        <v>118.7</v>
      </c>
      <c r="H86" s="232">
        <v>110</v>
      </c>
      <c r="I86" s="232">
        <f>H86*D86</f>
        <v>11000</v>
      </c>
      <c r="J86" s="130">
        <f>H86*E86</f>
        <v>13057</v>
      </c>
      <c r="K86" s="130">
        <f>H86*F86</f>
        <v>0</v>
      </c>
      <c r="L86" s="244">
        <v>13057</v>
      </c>
      <c r="M86" s="628"/>
      <c r="N86" s="628"/>
      <c r="O86" s="628"/>
      <c r="P86" s="628"/>
      <c r="Q86" s="628"/>
      <c r="R86" s="628"/>
      <c r="S86" s="628"/>
      <c r="T86" s="628"/>
      <c r="U86" s="628"/>
      <c r="V86" s="628"/>
      <c r="W86" s="628"/>
    </row>
    <row r="87" spans="1:23" s="312" customFormat="1" ht="24.75" customHeight="1" x14ac:dyDescent="0.2">
      <c r="A87" s="451">
        <v>6.3</v>
      </c>
      <c r="B87" s="452"/>
      <c r="C87" s="218"/>
      <c r="D87" s="218"/>
      <c r="E87" s="244"/>
      <c r="F87" s="244"/>
      <c r="G87" s="232"/>
      <c r="H87" s="232"/>
      <c r="I87" s="232"/>
      <c r="J87" s="130"/>
      <c r="K87" s="130"/>
      <c r="L87" s="244"/>
      <c r="M87" s="628"/>
      <c r="N87" s="628"/>
      <c r="O87" s="628"/>
      <c r="P87" s="628"/>
      <c r="Q87" s="628"/>
      <c r="R87" s="628"/>
      <c r="S87" s="628"/>
      <c r="T87" s="628"/>
      <c r="U87" s="628"/>
      <c r="V87" s="628"/>
      <c r="W87" s="628"/>
    </row>
    <row r="88" spans="1:23" s="601" customFormat="1" ht="21.75" customHeight="1" thickBot="1" x14ac:dyDescent="0.25">
      <c r="A88" s="599"/>
      <c r="B88" s="1171" t="s">
        <v>64</v>
      </c>
      <c r="C88" s="1172"/>
      <c r="D88" s="1172"/>
      <c r="E88" s="1172"/>
      <c r="F88" s="1172"/>
      <c r="G88" s="1172"/>
      <c r="H88" s="1173"/>
      <c r="I88" s="600">
        <f>SUM(I84:I86)</f>
        <v>39000</v>
      </c>
      <c r="J88" s="600">
        <f>SUM(J84:J86)</f>
        <v>46420.4</v>
      </c>
      <c r="K88" s="600">
        <f>SUM(K84:K86)</f>
        <v>0</v>
      </c>
      <c r="L88" s="600">
        <f>SUM(L84:L86)</f>
        <v>46420.4</v>
      </c>
      <c r="M88" s="643"/>
      <c r="N88" s="643"/>
      <c r="O88" s="643"/>
      <c r="P88" s="643"/>
      <c r="Q88" s="643"/>
      <c r="R88" s="643"/>
      <c r="S88" s="643"/>
      <c r="T88" s="643"/>
      <c r="U88" s="643"/>
      <c r="V88" s="643"/>
      <c r="W88" s="643"/>
    </row>
    <row r="90" spans="1:23" s="84" customFormat="1" ht="18" x14ac:dyDescent="0.2">
      <c r="B90" s="432" t="s">
        <v>233</v>
      </c>
      <c r="C90" s="432"/>
      <c r="D90" s="432"/>
      <c r="E90" s="432"/>
      <c r="F90" s="432"/>
      <c r="G90" s="432"/>
      <c r="H90" s="432"/>
      <c r="I90" s="432"/>
      <c r="J90" s="432" t="s">
        <v>343</v>
      </c>
      <c r="K90" s="432"/>
      <c r="L90" s="432"/>
      <c r="M90" s="626"/>
      <c r="N90" s="626"/>
      <c r="O90" s="626"/>
      <c r="P90" s="626"/>
      <c r="Q90" s="626"/>
      <c r="R90" s="626"/>
      <c r="S90" s="626"/>
      <c r="T90" s="626"/>
      <c r="U90" s="626"/>
      <c r="V90" s="626"/>
      <c r="W90" s="626"/>
    </row>
  </sheetData>
  <mergeCells count="30">
    <mergeCell ref="B1:K1"/>
    <mergeCell ref="A2:A4"/>
    <mergeCell ref="B2:B4"/>
    <mergeCell ref="C2:C4"/>
    <mergeCell ref="D2:F2"/>
    <mergeCell ref="H2:H4"/>
    <mergeCell ref="I2:K2"/>
    <mergeCell ref="E3:F3"/>
    <mergeCell ref="I3:I4"/>
    <mergeCell ref="J3:K3"/>
    <mergeCell ref="L42:L43"/>
    <mergeCell ref="L3:L4"/>
    <mergeCell ref="B16:H16"/>
    <mergeCell ref="B20:H20"/>
    <mergeCell ref="B39:H39"/>
    <mergeCell ref="D3:D4"/>
    <mergeCell ref="G2:G4"/>
    <mergeCell ref="I41:K41"/>
    <mergeCell ref="B41:B43"/>
    <mergeCell ref="C41:C43"/>
    <mergeCell ref="G41:G43"/>
    <mergeCell ref="D42:D43"/>
    <mergeCell ref="E42:F42"/>
    <mergeCell ref="I42:I43"/>
    <mergeCell ref="J42:K42"/>
    <mergeCell ref="B58:H58"/>
    <mergeCell ref="B88:H88"/>
    <mergeCell ref="A41:A43"/>
    <mergeCell ref="D41:F41"/>
    <mergeCell ref="H41:H43"/>
  </mergeCells>
  <pageMargins left="0.7" right="0.7" top="0.75" bottom="0.75" header="0.3" footer="0.3"/>
  <pageSetup scale="49" orientation="landscape" r:id="rId1"/>
  <rowBreaks count="1" manualBreakCount="1">
    <brk id="40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88"/>
  <sheetViews>
    <sheetView zoomScale="82" zoomScaleNormal="66" zoomScaleSheetLayoutView="82" workbookViewId="0">
      <pane ySplit="4" topLeftCell="A77" activePane="bottomLeft" state="frozen"/>
      <selection pane="bottomLeft" activeCell="F4" sqref="F1:F65536"/>
    </sheetView>
  </sheetViews>
  <sheetFormatPr defaultColWidth="9.14453125" defaultRowHeight="15" x14ac:dyDescent="0.2"/>
  <cols>
    <col min="1" max="1" width="8.875" style="351" customWidth="1"/>
    <col min="2" max="2" width="51.25" style="351" customWidth="1"/>
    <col min="3" max="3" width="9.14453125" style="351"/>
    <col min="4" max="4" width="11.296875" style="351" customWidth="1"/>
    <col min="5" max="5" width="12.5078125" style="351" customWidth="1"/>
    <col min="6" max="6" width="13.98828125" style="351" customWidth="1"/>
    <col min="7" max="7" width="13.98828125" style="172" customWidth="1"/>
    <col min="8" max="8" width="14.390625" style="351" customWidth="1"/>
    <col min="9" max="9" width="19.90625" style="351" bestFit="1" customWidth="1"/>
    <col min="10" max="10" width="19.1015625" style="351" customWidth="1"/>
    <col min="11" max="11" width="18.96484375" style="351" customWidth="1"/>
    <col min="12" max="12" width="19.37109375" style="351" bestFit="1" customWidth="1"/>
    <col min="13" max="24" width="9.14453125" style="638"/>
    <col min="25" max="16384" width="9.14453125" style="351"/>
  </cols>
  <sheetData>
    <row r="1" spans="1:24" ht="15.75" thickBot="1" x14ac:dyDescent="0.25">
      <c r="A1" s="253"/>
      <c r="B1" s="1116" t="s">
        <v>191</v>
      </c>
      <c r="C1" s="1116"/>
      <c r="D1" s="1116"/>
      <c r="E1" s="1116"/>
      <c r="F1" s="1116"/>
      <c r="G1" s="1116"/>
      <c r="H1" s="1116"/>
      <c r="I1" s="1116"/>
      <c r="J1" s="1116"/>
      <c r="K1" s="1116"/>
      <c r="L1" s="254"/>
    </row>
    <row r="2" spans="1:24" s="254" customFormat="1" ht="21.75" customHeight="1" x14ac:dyDescent="0.15">
      <c r="A2" s="1107" t="s">
        <v>61</v>
      </c>
      <c r="B2" s="1128" t="s">
        <v>54</v>
      </c>
      <c r="C2" s="1128" t="s">
        <v>5</v>
      </c>
      <c r="D2" s="1117" t="s">
        <v>4</v>
      </c>
      <c r="E2" s="1118"/>
      <c r="F2" s="1119"/>
      <c r="G2" s="1128" t="s">
        <v>334</v>
      </c>
      <c r="H2" s="1110" t="s">
        <v>8</v>
      </c>
      <c r="I2" s="1136" t="s">
        <v>50</v>
      </c>
      <c r="J2" s="1118"/>
      <c r="K2" s="1119"/>
      <c r="L2" s="503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</row>
    <row r="3" spans="1:24" s="254" customFormat="1" ht="19.5" customHeight="1" x14ac:dyDescent="0.15">
      <c r="A3" s="1108"/>
      <c r="B3" s="1129"/>
      <c r="C3" s="1129"/>
      <c r="D3" s="1130" t="s">
        <v>62</v>
      </c>
      <c r="E3" s="1120" t="s">
        <v>63</v>
      </c>
      <c r="F3" s="1121"/>
      <c r="G3" s="1129"/>
      <c r="H3" s="1111"/>
      <c r="I3" s="1122" t="s">
        <v>6</v>
      </c>
      <c r="J3" s="1134" t="s">
        <v>7</v>
      </c>
      <c r="K3" s="1135"/>
      <c r="L3" s="1132" t="s">
        <v>336</v>
      </c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</row>
    <row r="4" spans="1:24" s="254" customFormat="1" ht="21" customHeight="1" thickBot="1" x14ac:dyDescent="0.2">
      <c r="A4" s="1109"/>
      <c r="B4" s="1123"/>
      <c r="C4" s="1123"/>
      <c r="D4" s="1131"/>
      <c r="E4" s="255" t="s">
        <v>98</v>
      </c>
      <c r="F4" s="255" t="s">
        <v>99</v>
      </c>
      <c r="G4" s="1129"/>
      <c r="H4" s="1112"/>
      <c r="I4" s="1123"/>
      <c r="J4" s="255" t="s">
        <v>98</v>
      </c>
      <c r="K4" s="255" t="s">
        <v>99</v>
      </c>
      <c r="L4" s="1133"/>
      <c r="M4" s="616"/>
      <c r="N4" s="616"/>
      <c r="O4" s="616"/>
      <c r="P4" s="616"/>
      <c r="Q4" s="616"/>
      <c r="R4" s="616"/>
      <c r="S4" s="616"/>
      <c r="T4" s="616"/>
      <c r="U4" s="616"/>
      <c r="V4" s="616"/>
      <c r="W4" s="616"/>
      <c r="X4" s="616"/>
    </row>
    <row r="5" spans="1:24" s="254" customFormat="1" ht="21" customHeight="1" thickBot="1" x14ac:dyDescent="0.2">
      <c r="A5" s="280" t="s">
        <v>102</v>
      </c>
      <c r="B5" s="257" t="s">
        <v>103</v>
      </c>
      <c r="C5" s="257" t="s">
        <v>104</v>
      </c>
      <c r="D5" s="258" t="s">
        <v>105</v>
      </c>
      <c r="E5" s="258" t="s">
        <v>106</v>
      </c>
      <c r="F5" s="258" t="s">
        <v>107</v>
      </c>
      <c r="G5" s="349"/>
      <c r="H5" s="259" t="s">
        <v>108</v>
      </c>
      <c r="I5" s="257" t="s">
        <v>116</v>
      </c>
      <c r="J5" s="258" t="s">
        <v>115</v>
      </c>
      <c r="K5" s="258" t="s">
        <v>114</v>
      </c>
      <c r="L5" s="260" t="s">
        <v>113</v>
      </c>
      <c r="M5" s="616"/>
      <c r="N5" s="616"/>
      <c r="O5" s="616"/>
      <c r="P5" s="616"/>
      <c r="Q5" s="616"/>
      <c r="R5" s="616"/>
      <c r="S5" s="616"/>
      <c r="T5" s="616"/>
      <c r="U5" s="616"/>
      <c r="V5" s="616"/>
      <c r="W5" s="616"/>
      <c r="X5" s="616"/>
    </row>
    <row r="6" spans="1:24" ht="18" x14ac:dyDescent="0.2">
      <c r="A6" s="358"/>
      <c r="B6" s="359" t="s">
        <v>9</v>
      </c>
      <c r="C6" s="360"/>
      <c r="D6" s="361"/>
      <c r="E6" s="360"/>
      <c r="F6" s="360"/>
      <c r="G6" s="417"/>
      <c r="H6" s="361"/>
      <c r="I6" s="361"/>
      <c r="J6" s="362"/>
      <c r="K6" s="362"/>
      <c r="L6" s="364"/>
    </row>
    <row r="7" spans="1:24" ht="18" x14ac:dyDescent="0.2">
      <c r="A7" s="365">
        <v>1</v>
      </c>
      <c r="B7" s="366" t="s">
        <v>10</v>
      </c>
      <c r="C7" s="208"/>
      <c r="D7" s="207"/>
      <c r="E7" s="208"/>
      <c r="F7" s="208"/>
      <c r="G7" s="202"/>
      <c r="H7" s="207"/>
      <c r="I7" s="207"/>
      <c r="J7" s="367"/>
      <c r="K7" s="378"/>
      <c r="L7" s="368"/>
    </row>
    <row r="8" spans="1:24" ht="18" x14ac:dyDescent="0.2">
      <c r="A8" s="369">
        <v>1.01</v>
      </c>
      <c r="B8" s="370" t="s">
        <v>18</v>
      </c>
      <c r="C8" s="202" t="s">
        <v>11</v>
      </c>
      <c r="D8" s="130">
        <v>65</v>
      </c>
      <c r="E8" s="202">
        <v>42.84</v>
      </c>
      <c r="F8" s="208"/>
      <c r="G8" s="202">
        <f>F8+E8</f>
        <v>42.84</v>
      </c>
      <c r="H8" s="130">
        <f>Transformer!H8</f>
        <v>6</v>
      </c>
      <c r="I8" s="130">
        <f>D8*H8</f>
        <v>390</v>
      </c>
      <c r="J8" s="203">
        <f>H8*E8</f>
        <v>257.04000000000002</v>
      </c>
      <c r="K8" s="378"/>
      <c r="L8" s="368">
        <f>K8+J8</f>
        <v>257.04000000000002</v>
      </c>
    </row>
    <row r="9" spans="1:24" ht="18" x14ac:dyDescent="0.2">
      <c r="A9" s="369">
        <v>1.02</v>
      </c>
      <c r="B9" s="370" t="s">
        <v>100</v>
      </c>
      <c r="C9" s="202" t="s">
        <v>12</v>
      </c>
      <c r="D9" s="130">
        <v>35</v>
      </c>
      <c r="E9" s="202">
        <v>24.14</v>
      </c>
      <c r="F9" s="208"/>
      <c r="G9" s="202">
        <f t="shared" ref="G9:G16" si="0">F9+E9</f>
        <v>24.14</v>
      </c>
      <c r="H9" s="130">
        <f>Transformer!H9</f>
        <v>25</v>
      </c>
      <c r="I9" s="130">
        <f t="shared" ref="I9:I16" si="1">D9*H9</f>
        <v>875</v>
      </c>
      <c r="J9" s="203">
        <f>H9*E9</f>
        <v>603.5</v>
      </c>
      <c r="K9" s="378"/>
      <c r="L9" s="368">
        <f t="shared" ref="L9:L41" si="2">K9+J9</f>
        <v>603.5</v>
      </c>
    </row>
    <row r="10" spans="1:24" ht="18" x14ac:dyDescent="0.2">
      <c r="A10" s="369">
        <v>1.03</v>
      </c>
      <c r="B10" s="370" t="s">
        <v>201</v>
      </c>
      <c r="C10" s="202"/>
      <c r="D10" s="130"/>
      <c r="E10" s="202"/>
      <c r="F10" s="208"/>
      <c r="G10" s="202">
        <f t="shared" si="0"/>
        <v>0</v>
      </c>
      <c r="H10" s="130">
        <f>Transformer!H10</f>
        <v>0</v>
      </c>
      <c r="I10" s="130">
        <f t="shared" si="1"/>
        <v>0</v>
      </c>
      <c r="J10" s="203"/>
      <c r="K10" s="378"/>
      <c r="L10" s="368">
        <f t="shared" si="2"/>
        <v>0</v>
      </c>
    </row>
    <row r="11" spans="1:24" ht="18" x14ac:dyDescent="0.2">
      <c r="A11" s="369"/>
      <c r="B11" s="370" t="s">
        <v>202</v>
      </c>
      <c r="C11" s="202" t="s">
        <v>12</v>
      </c>
      <c r="D11" s="130">
        <v>15</v>
      </c>
      <c r="E11" s="202"/>
      <c r="F11" s="208"/>
      <c r="G11" s="202">
        <f t="shared" si="0"/>
        <v>0</v>
      </c>
      <c r="H11" s="130">
        <f>Transformer!H11</f>
        <v>45</v>
      </c>
      <c r="I11" s="130">
        <f t="shared" si="1"/>
        <v>675</v>
      </c>
      <c r="J11" s="203"/>
      <c r="K11" s="378"/>
      <c r="L11" s="368">
        <f t="shared" si="2"/>
        <v>0</v>
      </c>
    </row>
    <row r="12" spans="1:24" ht="18" x14ac:dyDescent="0.2">
      <c r="A12" s="369"/>
      <c r="B12" s="370" t="s">
        <v>203</v>
      </c>
      <c r="C12" s="202" t="s">
        <v>12</v>
      </c>
      <c r="D12" s="130">
        <v>8</v>
      </c>
      <c r="E12" s="202"/>
      <c r="F12" s="208"/>
      <c r="G12" s="202">
        <f t="shared" si="0"/>
        <v>0</v>
      </c>
      <c r="H12" s="130">
        <f>Transformer!H12</f>
        <v>80</v>
      </c>
      <c r="I12" s="130">
        <f t="shared" si="1"/>
        <v>640</v>
      </c>
      <c r="J12" s="203"/>
      <c r="K12" s="378"/>
      <c r="L12" s="368">
        <f t="shared" si="2"/>
        <v>0</v>
      </c>
    </row>
    <row r="13" spans="1:24" ht="18" x14ac:dyDescent="0.2">
      <c r="A13" s="369">
        <v>1.04</v>
      </c>
      <c r="B13" s="370" t="s">
        <v>13</v>
      </c>
      <c r="C13" s="202" t="s">
        <v>12</v>
      </c>
      <c r="D13" s="130">
        <v>15</v>
      </c>
      <c r="E13" s="202"/>
      <c r="F13" s="208"/>
      <c r="G13" s="202">
        <f t="shared" si="0"/>
        <v>0</v>
      </c>
      <c r="H13" s="130">
        <f>Transformer!H13</f>
        <v>35</v>
      </c>
      <c r="I13" s="130">
        <f t="shared" si="1"/>
        <v>525</v>
      </c>
      <c r="J13" s="203">
        <f>H13*E13</f>
        <v>0</v>
      </c>
      <c r="K13" s="378"/>
      <c r="L13" s="368">
        <f t="shared" si="2"/>
        <v>0</v>
      </c>
    </row>
    <row r="14" spans="1:24" ht="18" x14ac:dyDescent="0.2">
      <c r="A14" s="369">
        <v>1.05</v>
      </c>
      <c r="B14" s="370" t="s">
        <v>101</v>
      </c>
      <c r="C14" s="202" t="s">
        <v>12</v>
      </c>
      <c r="D14" s="130">
        <v>65</v>
      </c>
      <c r="E14" s="202">
        <v>8.2799999999999994</v>
      </c>
      <c r="F14" s="208"/>
      <c r="G14" s="202">
        <f t="shared" si="0"/>
        <v>8.2799999999999994</v>
      </c>
      <c r="H14" s="130">
        <f>Transformer!H14</f>
        <v>40</v>
      </c>
      <c r="I14" s="130">
        <f t="shared" si="1"/>
        <v>2600</v>
      </c>
      <c r="J14" s="203">
        <f>H14*E14</f>
        <v>331.2</v>
      </c>
      <c r="K14" s="378"/>
      <c r="L14" s="368">
        <f t="shared" si="2"/>
        <v>331.2</v>
      </c>
    </row>
    <row r="15" spans="1:24" ht="18" x14ac:dyDescent="0.2">
      <c r="A15" s="369">
        <v>1.06</v>
      </c>
      <c r="B15" s="369" t="s">
        <v>87</v>
      </c>
      <c r="C15" s="202" t="s">
        <v>12</v>
      </c>
      <c r="D15" s="130">
        <v>65</v>
      </c>
      <c r="E15" s="202">
        <v>36.99</v>
      </c>
      <c r="F15" s="208"/>
      <c r="G15" s="202">
        <f t="shared" si="0"/>
        <v>36.99</v>
      </c>
      <c r="H15" s="130">
        <f>Transformer!H15</f>
        <v>25</v>
      </c>
      <c r="I15" s="130">
        <f t="shared" si="1"/>
        <v>1625</v>
      </c>
      <c r="J15" s="203">
        <f>H15*E15</f>
        <v>924.75</v>
      </c>
      <c r="K15" s="378"/>
      <c r="L15" s="368">
        <f t="shared" si="2"/>
        <v>924.75</v>
      </c>
    </row>
    <row r="16" spans="1:24" ht="18" x14ac:dyDescent="0.2">
      <c r="A16" s="371">
        <v>1.07</v>
      </c>
      <c r="B16" s="371" t="s">
        <v>94</v>
      </c>
      <c r="C16" s="205" t="s">
        <v>11</v>
      </c>
      <c r="D16" s="140">
        <v>20</v>
      </c>
      <c r="E16" s="212">
        <v>16.91</v>
      </c>
      <c r="F16" s="456"/>
      <c r="G16" s="202">
        <f t="shared" si="0"/>
        <v>16.91</v>
      </c>
      <c r="H16" s="130">
        <f>Transformer!H16</f>
        <v>105</v>
      </c>
      <c r="I16" s="130">
        <f t="shared" si="1"/>
        <v>2100</v>
      </c>
      <c r="J16" s="214">
        <f>H16*E16</f>
        <v>1775.55</v>
      </c>
      <c r="K16" s="378"/>
      <c r="L16" s="368">
        <f t="shared" si="2"/>
        <v>1775.55</v>
      </c>
    </row>
    <row r="17" spans="1:24" s="587" customFormat="1" ht="18.75" thickBot="1" x14ac:dyDescent="0.25">
      <c r="A17" s="583"/>
      <c r="B17" s="1166" t="s">
        <v>64</v>
      </c>
      <c r="C17" s="1167"/>
      <c r="D17" s="1167"/>
      <c r="E17" s="1167"/>
      <c r="F17" s="1167"/>
      <c r="G17" s="1167"/>
      <c r="H17" s="1168"/>
      <c r="I17" s="584">
        <f>SUM(I8:I16)</f>
        <v>9430</v>
      </c>
      <c r="J17" s="584">
        <f>SUM(J8:J16)</f>
        <v>3892.04</v>
      </c>
      <c r="K17" s="584">
        <f>SUM(K8:K16)</f>
        <v>0</v>
      </c>
      <c r="L17" s="584">
        <f>SUM(L8:L16)</f>
        <v>3892.04</v>
      </c>
      <c r="M17" s="638"/>
      <c r="N17" s="638"/>
      <c r="O17" s="638"/>
      <c r="P17" s="638"/>
      <c r="Q17" s="638"/>
      <c r="R17" s="638"/>
      <c r="S17" s="638"/>
      <c r="T17" s="638"/>
      <c r="U17" s="638"/>
      <c r="V17" s="638"/>
      <c r="W17" s="638"/>
      <c r="X17" s="638"/>
    </row>
    <row r="18" spans="1:24" ht="18" x14ac:dyDescent="0.2">
      <c r="A18" s="376"/>
      <c r="B18" s="377" t="s">
        <v>193</v>
      </c>
      <c r="C18" s="165"/>
      <c r="D18" s="166"/>
      <c r="E18" s="165"/>
      <c r="F18" s="165"/>
      <c r="G18" s="164"/>
      <c r="H18" s="166"/>
      <c r="I18" s="166"/>
      <c r="J18" s="166"/>
      <c r="K18" s="206"/>
      <c r="L18" s="368">
        <f t="shared" si="2"/>
        <v>0</v>
      </c>
    </row>
    <row r="19" spans="1:24" ht="18" x14ac:dyDescent="0.2">
      <c r="A19" s="369">
        <v>2.1</v>
      </c>
      <c r="B19" s="370" t="s">
        <v>20</v>
      </c>
      <c r="C19" s="202"/>
      <c r="D19" s="207"/>
      <c r="E19" s="208"/>
      <c r="F19" s="208"/>
      <c r="G19" s="202"/>
      <c r="H19" s="130"/>
      <c r="I19" s="207"/>
      <c r="J19" s="207"/>
      <c r="K19" s="209"/>
      <c r="L19" s="368">
        <f t="shared" si="2"/>
        <v>0</v>
      </c>
    </row>
    <row r="20" spans="1:24" ht="18" x14ac:dyDescent="0.2">
      <c r="A20" s="457"/>
      <c r="B20" s="370" t="s">
        <v>21</v>
      </c>
      <c r="C20" s="202" t="s">
        <v>11</v>
      </c>
      <c r="D20" s="130">
        <v>12</v>
      </c>
      <c r="E20" s="202">
        <v>8.35</v>
      </c>
      <c r="F20" s="208"/>
      <c r="G20" s="202">
        <f>F20+E20</f>
        <v>8.35</v>
      </c>
      <c r="H20" s="130">
        <f>Transformer!H20</f>
        <v>65</v>
      </c>
      <c r="I20" s="130">
        <f>D20*H20</f>
        <v>780</v>
      </c>
      <c r="J20" s="203">
        <f t="shared" ref="J20:J37" si="3">H20*E20</f>
        <v>542.75</v>
      </c>
      <c r="K20" s="209"/>
      <c r="L20" s="368">
        <f t="shared" si="2"/>
        <v>542.75</v>
      </c>
    </row>
    <row r="21" spans="1:24" ht="18" x14ac:dyDescent="0.2">
      <c r="A21" s="457"/>
      <c r="B21" s="370" t="s">
        <v>73</v>
      </c>
      <c r="C21" s="202" t="s">
        <v>11</v>
      </c>
      <c r="D21" s="130">
        <v>12</v>
      </c>
      <c r="E21" s="202">
        <v>0</v>
      </c>
      <c r="F21" s="208"/>
      <c r="G21" s="202">
        <f t="shared" ref="G21:G37" si="4">F21+E21</f>
        <v>0</v>
      </c>
      <c r="H21" s="130">
        <f>Transformer!H21</f>
        <v>65</v>
      </c>
      <c r="I21" s="130">
        <f t="shared" ref="I21:I37" si="5">D21*H21</f>
        <v>780</v>
      </c>
      <c r="J21" s="203">
        <f t="shared" si="3"/>
        <v>0</v>
      </c>
      <c r="K21" s="209"/>
      <c r="L21" s="368">
        <f t="shared" si="2"/>
        <v>0</v>
      </c>
    </row>
    <row r="22" spans="1:24" ht="18" x14ac:dyDescent="0.2">
      <c r="A22" s="369"/>
      <c r="B22" s="370" t="s">
        <v>22</v>
      </c>
      <c r="C22" s="202" t="s">
        <v>11</v>
      </c>
      <c r="D22" s="130">
        <v>5</v>
      </c>
      <c r="E22" s="202">
        <v>4</v>
      </c>
      <c r="F22" s="208"/>
      <c r="G22" s="202">
        <f t="shared" si="4"/>
        <v>4</v>
      </c>
      <c r="H22" s="130">
        <v>65</v>
      </c>
      <c r="I22" s="130">
        <f t="shared" si="5"/>
        <v>325</v>
      </c>
      <c r="J22" s="203">
        <f t="shared" si="3"/>
        <v>260</v>
      </c>
      <c r="K22" s="209"/>
      <c r="L22" s="368">
        <f t="shared" si="2"/>
        <v>260</v>
      </c>
    </row>
    <row r="23" spans="1:24" ht="18" x14ac:dyDescent="0.2">
      <c r="A23" s="383">
        <v>2.2000000000000002</v>
      </c>
      <c r="B23" s="370" t="s">
        <v>165</v>
      </c>
      <c r="C23" s="202" t="s">
        <v>11</v>
      </c>
      <c r="D23" s="130">
        <v>20</v>
      </c>
      <c r="E23" s="202">
        <v>17.04</v>
      </c>
      <c r="F23" s="202"/>
      <c r="G23" s="202">
        <f t="shared" si="4"/>
        <v>17.04</v>
      </c>
      <c r="H23" s="130">
        <v>260</v>
      </c>
      <c r="I23" s="130">
        <f t="shared" si="5"/>
        <v>5200</v>
      </c>
      <c r="J23" s="203">
        <f t="shared" si="3"/>
        <v>4430.3999999999996</v>
      </c>
      <c r="K23" s="203">
        <f>F23*H23</f>
        <v>0</v>
      </c>
      <c r="L23" s="368">
        <f t="shared" si="2"/>
        <v>4430.3999999999996</v>
      </c>
    </row>
    <row r="24" spans="1:24" ht="18" x14ac:dyDescent="0.2">
      <c r="A24" s="369">
        <v>2.2999999999999998</v>
      </c>
      <c r="B24" s="366" t="s">
        <v>120</v>
      </c>
      <c r="C24" s="202"/>
      <c r="D24" s="130"/>
      <c r="E24" s="202"/>
      <c r="F24" s="208"/>
      <c r="G24" s="202">
        <f t="shared" si="4"/>
        <v>0</v>
      </c>
      <c r="H24" s="130"/>
      <c r="I24" s="130">
        <f t="shared" si="5"/>
        <v>0</v>
      </c>
      <c r="J24" s="203">
        <f t="shared" si="3"/>
        <v>0</v>
      </c>
      <c r="K24" s="203">
        <f t="shared" ref="K24:K37" si="6">F24*H24</f>
        <v>0</v>
      </c>
      <c r="L24" s="368">
        <f t="shared" si="2"/>
        <v>0</v>
      </c>
    </row>
    <row r="25" spans="1:24" ht="18" x14ac:dyDescent="0.2">
      <c r="A25" s="369"/>
      <c r="B25" s="370" t="s">
        <v>84</v>
      </c>
      <c r="C25" s="202" t="s">
        <v>12</v>
      </c>
      <c r="D25" s="130">
        <v>2.5</v>
      </c>
      <c r="E25" s="202">
        <v>1.77</v>
      </c>
      <c r="F25" s="208"/>
      <c r="G25" s="202">
        <f t="shared" si="4"/>
        <v>1.77</v>
      </c>
      <c r="H25" s="130">
        <f>Transformer!H24</f>
        <v>2600</v>
      </c>
      <c r="I25" s="130">
        <f t="shared" si="5"/>
        <v>6500</v>
      </c>
      <c r="J25" s="203">
        <f t="shared" si="3"/>
        <v>4602</v>
      </c>
      <c r="K25" s="203">
        <f t="shared" si="6"/>
        <v>0</v>
      </c>
      <c r="L25" s="368">
        <f t="shared" si="2"/>
        <v>4602</v>
      </c>
    </row>
    <row r="26" spans="1:24" ht="18" x14ac:dyDescent="0.2">
      <c r="A26" s="369"/>
      <c r="B26" s="370" t="s">
        <v>23</v>
      </c>
      <c r="C26" s="202" t="s">
        <v>12</v>
      </c>
      <c r="D26" s="130">
        <v>1.5</v>
      </c>
      <c r="E26" s="202">
        <v>0.8</v>
      </c>
      <c r="F26" s="208"/>
      <c r="G26" s="202">
        <f t="shared" si="4"/>
        <v>0.8</v>
      </c>
      <c r="H26" s="130">
        <f>Transformer!H25</f>
        <v>2600</v>
      </c>
      <c r="I26" s="130">
        <f t="shared" si="5"/>
        <v>3900</v>
      </c>
      <c r="J26" s="203">
        <f t="shared" si="3"/>
        <v>2080</v>
      </c>
      <c r="K26" s="203">
        <f t="shared" si="6"/>
        <v>0</v>
      </c>
      <c r="L26" s="368">
        <f>K26+J26</f>
        <v>2080</v>
      </c>
    </row>
    <row r="27" spans="1:24" ht="18" x14ac:dyDescent="0.2">
      <c r="A27" s="369"/>
      <c r="B27" s="370" t="s">
        <v>24</v>
      </c>
      <c r="C27" s="202" t="s">
        <v>12</v>
      </c>
      <c r="D27" s="130">
        <v>2</v>
      </c>
      <c r="E27" s="202">
        <v>0.35</v>
      </c>
      <c r="F27" s="208"/>
      <c r="G27" s="202">
        <f t="shared" si="4"/>
        <v>0.35</v>
      </c>
      <c r="H27" s="130">
        <v>2600</v>
      </c>
      <c r="I27" s="130">
        <f t="shared" si="5"/>
        <v>5200</v>
      </c>
      <c r="J27" s="203">
        <f t="shared" si="3"/>
        <v>909.99999999999989</v>
      </c>
      <c r="K27" s="203">
        <f t="shared" si="6"/>
        <v>0</v>
      </c>
      <c r="L27" s="368">
        <f t="shared" si="2"/>
        <v>909.99999999999989</v>
      </c>
    </row>
    <row r="28" spans="1:24" ht="18" x14ac:dyDescent="0.2">
      <c r="A28" s="369">
        <v>2.4</v>
      </c>
      <c r="B28" s="366" t="s">
        <v>109</v>
      </c>
      <c r="C28" s="202"/>
      <c r="D28" s="130"/>
      <c r="E28" s="202"/>
      <c r="F28" s="208"/>
      <c r="G28" s="202">
        <f t="shared" si="4"/>
        <v>0</v>
      </c>
      <c r="H28" s="130"/>
      <c r="I28" s="130">
        <f t="shared" si="5"/>
        <v>0</v>
      </c>
      <c r="J28" s="203">
        <f t="shared" si="3"/>
        <v>0</v>
      </c>
      <c r="K28" s="203">
        <f t="shared" si="6"/>
        <v>0</v>
      </c>
      <c r="L28" s="368">
        <f t="shared" si="2"/>
        <v>0</v>
      </c>
    </row>
    <row r="29" spans="1:24" ht="18" x14ac:dyDescent="0.2">
      <c r="A29" s="369"/>
      <c r="B29" s="370" t="s">
        <v>84</v>
      </c>
      <c r="C29" s="202" t="s">
        <v>11</v>
      </c>
      <c r="D29" s="130">
        <v>16</v>
      </c>
      <c r="E29" s="202">
        <v>14.16</v>
      </c>
      <c r="F29" s="208"/>
      <c r="G29" s="202">
        <f t="shared" si="4"/>
        <v>14.16</v>
      </c>
      <c r="H29" s="130">
        <v>85</v>
      </c>
      <c r="I29" s="130">
        <f t="shared" si="5"/>
        <v>1360</v>
      </c>
      <c r="J29" s="203">
        <f t="shared" si="3"/>
        <v>1203.5999999999999</v>
      </c>
      <c r="K29" s="203">
        <f t="shared" si="6"/>
        <v>0</v>
      </c>
      <c r="L29" s="368">
        <f t="shared" si="2"/>
        <v>1203.5999999999999</v>
      </c>
    </row>
    <row r="30" spans="1:24" ht="18" x14ac:dyDescent="0.2">
      <c r="A30" s="369"/>
      <c r="B30" s="370" t="s">
        <v>23</v>
      </c>
      <c r="C30" s="202" t="s">
        <v>11</v>
      </c>
      <c r="D30" s="130">
        <v>4</v>
      </c>
      <c r="E30" s="202">
        <v>3.2</v>
      </c>
      <c r="F30" s="208"/>
      <c r="G30" s="202">
        <f t="shared" si="4"/>
        <v>3.2</v>
      </c>
      <c r="H30" s="130">
        <v>85</v>
      </c>
      <c r="I30" s="130">
        <f t="shared" si="5"/>
        <v>340</v>
      </c>
      <c r="J30" s="203">
        <f t="shared" si="3"/>
        <v>272</v>
      </c>
      <c r="K30" s="203">
        <f t="shared" si="6"/>
        <v>0</v>
      </c>
      <c r="L30" s="368">
        <f t="shared" si="2"/>
        <v>272</v>
      </c>
    </row>
    <row r="31" spans="1:24" ht="18" x14ac:dyDescent="0.2">
      <c r="A31" s="369"/>
      <c r="B31" s="370" t="s">
        <v>24</v>
      </c>
      <c r="C31" s="202" t="s">
        <v>11</v>
      </c>
      <c r="D31" s="130">
        <v>14</v>
      </c>
      <c r="E31" s="202">
        <v>6.08</v>
      </c>
      <c r="F31" s="208"/>
      <c r="G31" s="202">
        <f t="shared" si="4"/>
        <v>6.08</v>
      </c>
      <c r="H31" s="130">
        <v>85</v>
      </c>
      <c r="I31" s="130">
        <f t="shared" si="5"/>
        <v>1190</v>
      </c>
      <c r="J31" s="203">
        <f t="shared" si="3"/>
        <v>516.79999999999995</v>
      </c>
      <c r="K31" s="203">
        <f t="shared" si="6"/>
        <v>0</v>
      </c>
      <c r="L31" s="368">
        <f t="shared" si="2"/>
        <v>516.79999999999995</v>
      </c>
    </row>
    <row r="32" spans="1:24" ht="18" x14ac:dyDescent="0.2">
      <c r="A32" s="369"/>
      <c r="B32" s="370" t="s">
        <v>225</v>
      </c>
      <c r="C32" s="202" t="s">
        <v>12</v>
      </c>
      <c r="D32" s="130">
        <v>2</v>
      </c>
      <c r="E32" s="202"/>
      <c r="F32" s="208"/>
      <c r="G32" s="202">
        <f t="shared" si="4"/>
        <v>0</v>
      </c>
      <c r="H32" s="130">
        <v>85</v>
      </c>
      <c r="I32" s="130">
        <f t="shared" si="5"/>
        <v>170</v>
      </c>
      <c r="J32" s="203">
        <f t="shared" si="3"/>
        <v>0</v>
      </c>
      <c r="K32" s="203">
        <f t="shared" si="6"/>
        <v>0</v>
      </c>
      <c r="L32" s="368">
        <f t="shared" si="2"/>
        <v>0</v>
      </c>
    </row>
    <row r="33" spans="1:24" s="71" customFormat="1" ht="18" x14ac:dyDescent="0.2">
      <c r="A33" s="369">
        <v>2.5</v>
      </c>
      <c r="B33" s="366" t="s">
        <v>15</v>
      </c>
      <c r="C33" s="202"/>
      <c r="D33" s="130"/>
      <c r="E33" s="202"/>
      <c r="F33" s="208"/>
      <c r="G33" s="202">
        <f t="shared" si="4"/>
        <v>0</v>
      </c>
      <c r="H33" s="130"/>
      <c r="I33" s="130">
        <f t="shared" si="5"/>
        <v>0</v>
      </c>
      <c r="J33" s="203">
        <f t="shared" si="3"/>
        <v>0</v>
      </c>
      <c r="K33" s="203">
        <f t="shared" si="6"/>
        <v>0</v>
      </c>
      <c r="L33" s="368">
        <f t="shared" si="2"/>
        <v>0</v>
      </c>
      <c r="M33" s="626"/>
      <c r="N33" s="626"/>
      <c r="O33" s="626"/>
      <c r="P33" s="626"/>
      <c r="Q33" s="626"/>
      <c r="R33" s="626"/>
      <c r="S33" s="626"/>
      <c r="T33" s="626"/>
      <c r="U33" s="626"/>
      <c r="V33" s="626"/>
      <c r="W33" s="626"/>
      <c r="X33" s="626"/>
    </row>
    <row r="34" spans="1:24" s="71" customFormat="1" ht="18" x14ac:dyDescent="0.2">
      <c r="A34" s="369"/>
      <c r="B34" s="370" t="s">
        <v>92</v>
      </c>
      <c r="C34" s="202" t="s">
        <v>16</v>
      </c>
      <c r="D34" s="130">
        <v>180</v>
      </c>
      <c r="E34" s="202">
        <v>144.35</v>
      </c>
      <c r="F34" s="208"/>
      <c r="G34" s="202">
        <f t="shared" si="4"/>
        <v>144.35</v>
      </c>
      <c r="H34" s="130">
        <v>34</v>
      </c>
      <c r="I34" s="130">
        <f t="shared" si="5"/>
        <v>6120</v>
      </c>
      <c r="J34" s="203">
        <f t="shared" si="3"/>
        <v>4907.8999999999996</v>
      </c>
      <c r="K34" s="203">
        <f t="shared" si="6"/>
        <v>0</v>
      </c>
      <c r="L34" s="368">
        <f t="shared" si="2"/>
        <v>4907.8999999999996</v>
      </c>
      <c r="M34" s="626"/>
      <c r="N34" s="626"/>
      <c r="O34" s="626"/>
      <c r="P34" s="626"/>
      <c r="Q34" s="626"/>
      <c r="R34" s="626"/>
      <c r="S34" s="626"/>
      <c r="T34" s="626"/>
      <c r="U34" s="626"/>
      <c r="V34" s="626"/>
      <c r="W34" s="626"/>
      <c r="X34" s="626"/>
    </row>
    <row r="35" spans="1:24" s="71" customFormat="1" ht="18" x14ac:dyDescent="0.2">
      <c r="A35" s="369"/>
      <c r="B35" s="370" t="s">
        <v>25</v>
      </c>
      <c r="C35" s="202" t="s">
        <v>16</v>
      </c>
      <c r="D35" s="130">
        <v>310</v>
      </c>
      <c r="E35" s="202">
        <v>101.87</v>
      </c>
      <c r="F35" s="208"/>
      <c r="G35" s="202">
        <f t="shared" si="4"/>
        <v>101.87</v>
      </c>
      <c r="H35" s="130">
        <v>34</v>
      </c>
      <c r="I35" s="130">
        <f t="shared" si="5"/>
        <v>10540</v>
      </c>
      <c r="J35" s="203">
        <f t="shared" si="3"/>
        <v>3463.58</v>
      </c>
      <c r="K35" s="203">
        <f t="shared" si="6"/>
        <v>0</v>
      </c>
      <c r="L35" s="368">
        <f t="shared" si="2"/>
        <v>3463.58</v>
      </c>
      <c r="M35" s="626"/>
      <c r="N35" s="626"/>
      <c r="O35" s="626"/>
      <c r="P35" s="626"/>
      <c r="Q35" s="626"/>
      <c r="R35" s="626"/>
      <c r="S35" s="626"/>
      <c r="T35" s="626"/>
      <c r="U35" s="626"/>
      <c r="V35" s="626"/>
      <c r="W35" s="626"/>
      <c r="X35" s="626"/>
    </row>
    <row r="36" spans="1:24" s="71" customFormat="1" ht="18" x14ac:dyDescent="0.2">
      <c r="A36" s="369"/>
      <c r="B36" s="370" t="s">
        <v>26</v>
      </c>
      <c r="C36" s="202" t="s">
        <v>16</v>
      </c>
      <c r="D36" s="130">
        <v>447</v>
      </c>
      <c r="E36" s="202">
        <f>53.48+56.15</f>
        <v>109.63</v>
      </c>
      <c r="F36" s="202"/>
      <c r="G36" s="202">
        <f t="shared" si="4"/>
        <v>109.63</v>
      </c>
      <c r="H36" s="130">
        <v>34</v>
      </c>
      <c r="I36" s="130">
        <f t="shared" si="5"/>
        <v>15198</v>
      </c>
      <c r="J36" s="203">
        <f t="shared" si="3"/>
        <v>3727.42</v>
      </c>
      <c r="K36" s="203">
        <f t="shared" si="6"/>
        <v>0</v>
      </c>
      <c r="L36" s="368">
        <f t="shared" si="2"/>
        <v>3727.42</v>
      </c>
      <c r="M36" s="626"/>
      <c r="N36" s="626"/>
      <c r="O36" s="626"/>
      <c r="P36" s="626"/>
      <c r="Q36" s="626"/>
      <c r="R36" s="626"/>
      <c r="S36" s="626"/>
      <c r="T36" s="626"/>
      <c r="U36" s="626"/>
      <c r="V36" s="626"/>
      <c r="W36" s="626"/>
      <c r="X36" s="626"/>
    </row>
    <row r="37" spans="1:24" ht="18" x14ac:dyDescent="0.2">
      <c r="A37" s="371">
        <v>2.6</v>
      </c>
      <c r="B37" s="371" t="s">
        <v>224</v>
      </c>
      <c r="C37" s="205" t="s">
        <v>174</v>
      </c>
      <c r="D37" s="140">
        <v>20</v>
      </c>
      <c r="E37" s="205">
        <v>16.3</v>
      </c>
      <c r="F37" s="202"/>
      <c r="G37" s="202">
        <f t="shared" si="4"/>
        <v>16.3</v>
      </c>
      <c r="H37" s="140">
        <v>35</v>
      </c>
      <c r="I37" s="130">
        <f t="shared" si="5"/>
        <v>700</v>
      </c>
      <c r="J37" s="203">
        <f t="shared" si="3"/>
        <v>570.5</v>
      </c>
      <c r="K37" s="203">
        <f t="shared" si="6"/>
        <v>0</v>
      </c>
      <c r="L37" s="368">
        <f t="shared" si="2"/>
        <v>570.5</v>
      </c>
    </row>
    <row r="38" spans="1:24" s="587" customFormat="1" ht="18.75" thickBot="1" x14ac:dyDescent="0.25">
      <c r="A38" s="583"/>
      <c r="B38" s="1166" t="s">
        <v>64</v>
      </c>
      <c r="C38" s="1167"/>
      <c r="D38" s="1167"/>
      <c r="E38" s="1167"/>
      <c r="F38" s="1167"/>
      <c r="G38" s="1167"/>
      <c r="H38" s="1168"/>
      <c r="I38" s="584">
        <f>SUM(I20:I37)</f>
        <v>58303</v>
      </c>
      <c r="J38" s="584">
        <f>SUM(J20:J37)</f>
        <v>27486.949999999997</v>
      </c>
      <c r="K38" s="584">
        <f>SUM(K20:K37)</f>
        <v>0</v>
      </c>
      <c r="L38" s="584">
        <f>SUM(L20:L37)</f>
        <v>27486.949999999997</v>
      </c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</row>
    <row r="39" spans="1:24" ht="18" x14ac:dyDescent="0.2">
      <c r="A39" s="365"/>
      <c r="B39" s="366" t="s">
        <v>194</v>
      </c>
      <c r="C39" s="208"/>
      <c r="D39" s="207"/>
      <c r="E39" s="208"/>
      <c r="F39" s="208"/>
      <c r="G39" s="202"/>
      <c r="H39" s="207"/>
      <c r="I39" s="207"/>
      <c r="J39" s="207"/>
      <c r="K39" s="209"/>
      <c r="L39" s="368">
        <f t="shared" si="2"/>
        <v>0</v>
      </c>
    </row>
    <row r="40" spans="1:24" ht="18" x14ac:dyDescent="0.2">
      <c r="A40" s="369">
        <v>3.1</v>
      </c>
      <c r="B40" s="370" t="s">
        <v>124</v>
      </c>
      <c r="C40" s="202" t="s">
        <v>12</v>
      </c>
      <c r="D40" s="130">
        <v>12</v>
      </c>
      <c r="E40" s="202">
        <v>6.68</v>
      </c>
      <c r="F40" s="208"/>
      <c r="G40" s="202">
        <f>F40+E40</f>
        <v>6.68</v>
      </c>
      <c r="H40" s="130">
        <v>800</v>
      </c>
      <c r="I40" s="130">
        <f>D40*H40</f>
        <v>9600</v>
      </c>
      <c r="J40" s="203">
        <f>H40*E40</f>
        <v>5344</v>
      </c>
      <c r="K40" s="209"/>
      <c r="L40" s="368">
        <f t="shared" si="2"/>
        <v>5344</v>
      </c>
    </row>
    <row r="41" spans="1:24" ht="18" x14ac:dyDescent="0.2">
      <c r="A41" s="371">
        <v>3.2</v>
      </c>
      <c r="B41" s="372" t="s">
        <v>119</v>
      </c>
      <c r="C41" s="205" t="s">
        <v>12</v>
      </c>
      <c r="D41" s="140">
        <v>15</v>
      </c>
      <c r="E41" s="205">
        <v>5.01</v>
      </c>
      <c r="F41" s="208"/>
      <c r="G41" s="202">
        <f>F41+E41</f>
        <v>5.01</v>
      </c>
      <c r="H41" s="140">
        <v>880</v>
      </c>
      <c r="I41" s="130">
        <f>D41*H41</f>
        <v>13200</v>
      </c>
      <c r="J41" s="214">
        <f>H41*E41</f>
        <v>4408.8</v>
      </c>
      <c r="K41" s="209"/>
      <c r="L41" s="368">
        <f t="shared" si="2"/>
        <v>4408.8</v>
      </c>
    </row>
    <row r="42" spans="1:24" s="587" customFormat="1" ht="18.75" thickBot="1" x14ac:dyDescent="0.25">
      <c r="A42" s="583"/>
      <c r="B42" s="1166" t="s">
        <v>64</v>
      </c>
      <c r="C42" s="1167"/>
      <c r="D42" s="1167"/>
      <c r="E42" s="1167"/>
      <c r="F42" s="1167"/>
      <c r="G42" s="1167"/>
      <c r="H42" s="1168"/>
      <c r="I42" s="584">
        <f>SUM(I40:I41)</f>
        <v>22800</v>
      </c>
      <c r="J42" s="584">
        <f>SUM(J40:J41)</f>
        <v>9752.7999999999993</v>
      </c>
      <c r="K42" s="584">
        <f>SUM(K40:K41)</f>
        <v>0</v>
      </c>
      <c r="L42" s="584">
        <f>SUM(L40:L41)</f>
        <v>9752.7999999999993</v>
      </c>
      <c r="M42" s="638"/>
      <c r="N42" s="638"/>
      <c r="O42" s="638"/>
      <c r="P42" s="638"/>
      <c r="Q42" s="638"/>
      <c r="R42" s="638"/>
      <c r="S42" s="638"/>
      <c r="T42" s="638"/>
      <c r="U42" s="638"/>
      <c r="V42" s="638"/>
      <c r="W42" s="638"/>
      <c r="X42" s="638"/>
    </row>
    <row r="43" spans="1:24" s="71" customFormat="1" ht="18.75" thickBot="1" x14ac:dyDescent="0.25">
      <c r="A43" s="432"/>
      <c r="B43" s="432" t="s">
        <v>233</v>
      </c>
      <c r="C43" s="432"/>
      <c r="D43" s="432"/>
      <c r="E43" s="432"/>
      <c r="F43" s="432"/>
      <c r="G43" s="432"/>
      <c r="H43" s="432"/>
      <c r="I43" s="432"/>
      <c r="J43" s="432"/>
      <c r="K43" s="432"/>
      <c r="L43" s="432"/>
      <c r="M43" s="626"/>
      <c r="N43" s="626"/>
      <c r="O43" s="626"/>
      <c r="P43" s="626"/>
      <c r="Q43" s="626"/>
      <c r="R43" s="626"/>
      <c r="S43" s="626"/>
      <c r="T43" s="626"/>
      <c r="U43" s="626"/>
      <c r="V43" s="626"/>
      <c r="W43" s="626"/>
      <c r="X43" s="626"/>
    </row>
    <row r="44" spans="1:24" s="254" customFormat="1" ht="21.75" customHeight="1" x14ac:dyDescent="0.15">
      <c r="A44" s="1150" t="s">
        <v>61</v>
      </c>
      <c r="B44" s="1153" t="s">
        <v>54</v>
      </c>
      <c r="C44" s="1153" t="s">
        <v>5</v>
      </c>
      <c r="D44" s="1155" t="s">
        <v>4</v>
      </c>
      <c r="E44" s="1156"/>
      <c r="F44" s="1157"/>
      <c r="G44" s="1128" t="s">
        <v>334</v>
      </c>
      <c r="H44" s="1158" t="s">
        <v>8</v>
      </c>
      <c r="I44" s="1161" t="s">
        <v>50</v>
      </c>
      <c r="J44" s="1156"/>
      <c r="K44" s="1157"/>
      <c r="L44" s="505"/>
      <c r="M44" s="616"/>
      <c r="N44" s="616"/>
      <c r="O44" s="616"/>
      <c r="P44" s="616"/>
      <c r="Q44" s="616"/>
      <c r="R44" s="616"/>
      <c r="S44" s="616"/>
      <c r="T44" s="616"/>
      <c r="U44" s="616"/>
      <c r="V44" s="616"/>
      <c r="W44" s="616"/>
      <c r="X44" s="616"/>
    </row>
    <row r="45" spans="1:24" s="254" customFormat="1" ht="19.5" customHeight="1" x14ac:dyDescent="0.15">
      <c r="A45" s="1151"/>
      <c r="B45" s="1154"/>
      <c r="C45" s="1154"/>
      <c r="D45" s="1162" t="s">
        <v>62</v>
      </c>
      <c r="E45" s="1164" t="s">
        <v>63</v>
      </c>
      <c r="F45" s="1165"/>
      <c r="G45" s="1129"/>
      <c r="H45" s="1159"/>
      <c r="I45" s="1143" t="s">
        <v>6</v>
      </c>
      <c r="J45" s="1145" t="s">
        <v>7</v>
      </c>
      <c r="K45" s="1146"/>
      <c r="L45" s="1147" t="s">
        <v>7</v>
      </c>
      <c r="M45" s="616"/>
      <c r="N45" s="616"/>
      <c r="O45" s="616"/>
      <c r="P45" s="616"/>
      <c r="Q45" s="616"/>
      <c r="R45" s="616"/>
      <c r="S45" s="616"/>
      <c r="T45" s="616"/>
      <c r="U45" s="616"/>
      <c r="V45" s="616"/>
      <c r="W45" s="616"/>
      <c r="X45" s="616"/>
    </row>
    <row r="46" spans="1:24" s="254" customFormat="1" ht="21" customHeight="1" thickBot="1" x14ac:dyDescent="0.2">
      <c r="A46" s="1152"/>
      <c r="B46" s="1144"/>
      <c r="C46" s="1144"/>
      <c r="D46" s="1163"/>
      <c r="E46" s="458" t="s">
        <v>98</v>
      </c>
      <c r="F46" s="458" t="s">
        <v>99</v>
      </c>
      <c r="G46" s="1129"/>
      <c r="H46" s="1160"/>
      <c r="I46" s="1144"/>
      <c r="J46" s="458" t="s">
        <v>98</v>
      </c>
      <c r="K46" s="458" t="s">
        <v>99</v>
      </c>
      <c r="L46" s="1148"/>
      <c r="M46" s="616"/>
      <c r="N46" s="616"/>
      <c r="O46" s="616"/>
      <c r="P46" s="616"/>
      <c r="Q46" s="616"/>
      <c r="R46" s="616"/>
      <c r="S46" s="616"/>
      <c r="T46" s="616"/>
      <c r="U46" s="616"/>
      <c r="V46" s="616"/>
      <c r="W46" s="616"/>
      <c r="X46" s="616"/>
    </row>
    <row r="47" spans="1:24" s="254" customFormat="1" ht="21" customHeight="1" thickBot="1" x14ac:dyDescent="0.2">
      <c r="A47" s="459" t="s">
        <v>102</v>
      </c>
      <c r="B47" s="460" t="s">
        <v>103</v>
      </c>
      <c r="C47" s="460" t="s">
        <v>104</v>
      </c>
      <c r="D47" s="461" t="s">
        <v>105</v>
      </c>
      <c r="E47" s="461" t="s">
        <v>106</v>
      </c>
      <c r="F47" s="461" t="s">
        <v>107</v>
      </c>
      <c r="G47" s="478"/>
      <c r="H47" s="462" t="s">
        <v>108</v>
      </c>
      <c r="I47" s="460" t="s">
        <v>116</v>
      </c>
      <c r="J47" s="461" t="s">
        <v>115</v>
      </c>
      <c r="K47" s="461" t="s">
        <v>114</v>
      </c>
      <c r="L47" s="463" t="s">
        <v>113</v>
      </c>
      <c r="M47" s="616"/>
      <c r="N47" s="616"/>
      <c r="O47" s="616"/>
      <c r="P47" s="616"/>
      <c r="Q47" s="616"/>
      <c r="R47" s="616"/>
      <c r="S47" s="616"/>
      <c r="T47" s="616"/>
      <c r="U47" s="616"/>
      <c r="V47" s="616"/>
      <c r="W47" s="616"/>
      <c r="X47" s="616"/>
    </row>
    <row r="48" spans="1:24" ht="18" x14ac:dyDescent="0.2">
      <c r="A48" s="464"/>
      <c r="B48" s="359" t="s">
        <v>75</v>
      </c>
      <c r="C48" s="360"/>
      <c r="D48" s="361"/>
      <c r="E48" s="360"/>
      <c r="F48" s="360"/>
      <c r="G48" s="417"/>
      <c r="H48" s="361"/>
      <c r="I48" s="361"/>
      <c r="J48" s="362"/>
      <c r="K48" s="362"/>
      <c r="L48" s="364"/>
    </row>
    <row r="49" spans="1:24" ht="18" x14ac:dyDescent="0.2">
      <c r="A49" s="465"/>
      <c r="B49" s="366" t="s">
        <v>76</v>
      </c>
      <c r="C49" s="208"/>
      <c r="D49" s="207"/>
      <c r="E49" s="208"/>
      <c r="F49" s="208"/>
      <c r="G49" s="202"/>
      <c r="H49" s="207"/>
      <c r="I49" s="207"/>
      <c r="J49" s="244"/>
      <c r="K49" s="244"/>
      <c r="L49" s="368"/>
    </row>
    <row r="50" spans="1:24" ht="18" x14ac:dyDescent="0.2">
      <c r="A50" s="434">
        <v>1.01</v>
      </c>
      <c r="B50" s="366" t="s">
        <v>110</v>
      </c>
      <c r="C50" s="202"/>
      <c r="D50" s="130"/>
      <c r="E50" s="202"/>
      <c r="F50" s="202"/>
      <c r="G50" s="202"/>
      <c r="H50" s="130"/>
      <c r="I50" s="130"/>
      <c r="J50" s="130"/>
      <c r="K50" s="130"/>
      <c r="L50" s="368"/>
    </row>
    <row r="51" spans="1:24" ht="18.75" x14ac:dyDescent="0.25">
      <c r="A51" s="434"/>
      <c r="B51" s="370" t="s">
        <v>77</v>
      </c>
      <c r="C51" s="202" t="s">
        <v>12</v>
      </c>
      <c r="D51" s="130">
        <v>1.5</v>
      </c>
      <c r="E51" s="380">
        <v>0.48</v>
      </c>
      <c r="F51" s="684"/>
      <c r="G51" s="202">
        <f>F51+E51</f>
        <v>0.48</v>
      </c>
      <c r="H51" s="130">
        <v>2600</v>
      </c>
      <c r="I51" s="130">
        <f t="shared" ref="I51:I58" si="7">D51*H51</f>
        <v>3900</v>
      </c>
      <c r="J51" s="203">
        <f t="shared" ref="J51:J58" si="8">H51*E51</f>
        <v>1248</v>
      </c>
      <c r="K51" s="244">
        <f>H51*F51</f>
        <v>0</v>
      </c>
      <c r="L51" s="368">
        <f>K51+J51</f>
        <v>1248</v>
      </c>
    </row>
    <row r="52" spans="1:24" ht="18.75" x14ac:dyDescent="0.25">
      <c r="A52" s="434"/>
      <c r="B52" s="370" t="s">
        <v>74</v>
      </c>
      <c r="C52" s="202" t="s">
        <v>12</v>
      </c>
      <c r="D52" s="130">
        <v>2</v>
      </c>
      <c r="E52" s="380">
        <v>1</v>
      </c>
      <c r="F52" s="684"/>
      <c r="G52" s="202">
        <f t="shared" ref="G52:G58" si="9">F52+E52</f>
        <v>1</v>
      </c>
      <c r="H52" s="130">
        <v>2600</v>
      </c>
      <c r="I52" s="130">
        <f t="shared" si="7"/>
        <v>5200</v>
      </c>
      <c r="J52" s="203">
        <f t="shared" si="8"/>
        <v>2600</v>
      </c>
      <c r="K52" s="244">
        <f t="shared" ref="K52:K58" si="10">H52*F52</f>
        <v>0</v>
      </c>
      <c r="L52" s="368">
        <f t="shared" ref="L52:L85" si="11">K52+J52</f>
        <v>2600</v>
      </c>
    </row>
    <row r="53" spans="1:24" ht="18.75" x14ac:dyDescent="0.25">
      <c r="A53" s="465">
        <v>1.2</v>
      </c>
      <c r="B53" s="366" t="s">
        <v>121</v>
      </c>
      <c r="C53" s="208"/>
      <c r="D53" s="207"/>
      <c r="E53" s="380"/>
      <c r="F53" s="684"/>
      <c r="G53" s="202">
        <f t="shared" si="9"/>
        <v>0</v>
      </c>
      <c r="H53" s="207"/>
      <c r="I53" s="130">
        <f t="shared" si="7"/>
        <v>0</v>
      </c>
      <c r="J53" s="203">
        <f t="shared" si="8"/>
        <v>0</v>
      </c>
      <c r="K53" s="244">
        <f t="shared" si="10"/>
        <v>0</v>
      </c>
      <c r="L53" s="368">
        <f t="shared" si="11"/>
        <v>0</v>
      </c>
    </row>
    <row r="54" spans="1:24" ht="18.75" x14ac:dyDescent="0.25">
      <c r="A54" s="434"/>
      <c r="B54" s="370" t="s">
        <v>77</v>
      </c>
      <c r="C54" s="202" t="s">
        <v>11</v>
      </c>
      <c r="D54" s="130">
        <v>15</v>
      </c>
      <c r="E54" s="380">
        <v>9.6</v>
      </c>
      <c r="F54" s="684"/>
      <c r="G54" s="202">
        <f t="shared" si="9"/>
        <v>9.6</v>
      </c>
      <c r="H54" s="130">
        <v>85</v>
      </c>
      <c r="I54" s="130">
        <f t="shared" si="7"/>
        <v>1275</v>
      </c>
      <c r="J54" s="203">
        <f t="shared" si="8"/>
        <v>816</v>
      </c>
      <c r="K54" s="244">
        <f t="shared" si="10"/>
        <v>0</v>
      </c>
      <c r="L54" s="368">
        <f t="shared" si="11"/>
        <v>816</v>
      </c>
    </row>
    <row r="55" spans="1:24" ht="18.75" x14ac:dyDescent="0.25">
      <c r="A55" s="435"/>
      <c r="B55" s="370" t="s">
        <v>74</v>
      </c>
      <c r="C55" s="202" t="s">
        <v>11</v>
      </c>
      <c r="D55" s="130">
        <v>24</v>
      </c>
      <c r="E55" s="380">
        <v>14.16</v>
      </c>
      <c r="F55" s="684"/>
      <c r="G55" s="202">
        <f t="shared" si="9"/>
        <v>14.16</v>
      </c>
      <c r="H55" s="130">
        <v>85</v>
      </c>
      <c r="I55" s="130">
        <f t="shared" si="7"/>
        <v>2040</v>
      </c>
      <c r="J55" s="203">
        <f t="shared" si="8"/>
        <v>1203.5999999999999</v>
      </c>
      <c r="K55" s="244">
        <f t="shared" si="10"/>
        <v>0</v>
      </c>
      <c r="L55" s="368">
        <f t="shared" si="11"/>
        <v>1203.5999999999999</v>
      </c>
    </row>
    <row r="56" spans="1:24" ht="18.75" x14ac:dyDescent="0.25">
      <c r="A56" s="434">
        <v>1.3</v>
      </c>
      <c r="B56" s="366" t="s">
        <v>15</v>
      </c>
      <c r="C56" s="202"/>
      <c r="D56" s="130"/>
      <c r="E56" s="380"/>
      <c r="F56" s="684"/>
      <c r="G56" s="202">
        <f t="shared" si="9"/>
        <v>0</v>
      </c>
      <c r="H56" s="130"/>
      <c r="I56" s="130">
        <f t="shared" si="7"/>
        <v>0</v>
      </c>
      <c r="J56" s="203">
        <f t="shared" si="8"/>
        <v>0</v>
      </c>
      <c r="K56" s="244">
        <f t="shared" si="10"/>
        <v>0</v>
      </c>
      <c r="L56" s="368">
        <f t="shared" si="11"/>
        <v>0</v>
      </c>
    </row>
    <row r="57" spans="1:24" ht="18.75" x14ac:dyDescent="0.25">
      <c r="A57" s="434"/>
      <c r="B57" s="370" t="s">
        <v>25</v>
      </c>
      <c r="C57" s="202" t="s">
        <v>16</v>
      </c>
      <c r="D57" s="130">
        <v>250</v>
      </c>
      <c r="E57" s="380">
        <v>146.88</v>
      </c>
      <c r="F57" s="684"/>
      <c r="G57" s="202">
        <f t="shared" si="9"/>
        <v>146.88</v>
      </c>
      <c r="H57" s="130">
        <v>34</v>
      </c>
      <c r="I57" s="130">
        <f t="shared" si="7"/>
        <v>8500</v>
      </c>
      <c r="J57" s="203">
        <f t="shared" si="8"/>
        <v>4993.92</v>
      </c>
      <c r="K57" s="244">
        <f t="shared" si="10"/>
        <v>0</v>
      </c>
      <c r="L57" s="368">
        <f t="shared" si="11"/>
        <v>4993.92</v>
      </c>
    </row>
    <row r="58" spans="1:24" ht="18.75" x14ac:dyDescent="0.25">
      <c r="A58" s="436"/>
      <c r="B58" s="372" t="s">
        <v>26</v>
      </c>
      <c r="C58" s="205" t="s">
        <v>16</v>
      </c>
      <c r="D58" s="140">
        <v>80</v>
      </c>
      <c r="E58" s="466">
        <v>48.59</v>
      </c>
      <c r="F58" s="684"/>
      <c r="G58" s="202">
        <f t="shared" si="9"/>
        <v>48.59</v>
      </c>
      <c r="H58" s="130">
        <v>34</v>
      </c>
      <c r="I58" s="130">
        <f t="shared" si="7"/>
        <v>2720</v>
      </c>
      <c r="J58" s="203">
        <f t="shared" si="8"/>
        <v>1652.0600000000002</v>
      </c>
      <c r="K58" s="244">
        <f t="shared" si="10"/>
        <v>0</v>
      </c>
      <c r="L58" s="368">
        <f t="shared" si="11"/>
        <v>1652.0600000000002</v>
      </c>
    </row>
    <row r="59" spans="1:24" s="587" customFormat="1" ht="18.75" thickBot="1" x14ac:dyDescent="0.25">
      <c r="A59" s="583"/>
      <c r="B59" s="1166" t="s">
        <v>64</v>
      </c>
      <c r="C59" s="1167"/>
      <c r="D59" s="1167"/>
      <c r="E59" s="1167"/>
      <c r="F59" s="1167"/>
      <c r="G59" s="1167"/>
      <c r="H59" s="1168"/>
      <c r="I59" s="584">
        <f>SUM(I49:I58)</f>
        <v>23635</v>
      </c>
      <c r="J59" s="584">
        <f>SUM(J49:J58)</f>
        <v>12513.58</v>
      </c>
      <c r="K59" s="584">
        <f>SUM(K49:K58)</f>
        <v>0</v>
      </c>
      <c r="L59" s="584">
        <f>SUM(L49:L58)</f>
        <v>12513.58</v>
      </c>
      <c r="M59" s="638"/>
      <c r="N59" s="638"/>
      <c r="O59" s="638"/>
      <c r="P59" s="638"/>
      <c r="Q59" s="638"/>
      <c r="R59" s="638"/>
      <c r="S59" s="638"/>
      <c r="T59" s="638"/>
      <c r="U59" s="638"/>
      <c r="V59" s="638"/>
      <c r="W59" s="638"/>
      <c r="X59" s="638"/>
    </row>
    <row r="60" spans="1:24" s="392" customFormat="1" ht="18" x14ac:dyDescent="0.2">
      <c r="A60" s="467"/>
      <c r="B60" s="468" t="s">
        <v>319</v>
      </c>
      <c r="C60" s="11"/>
      <c r="D60" s="147"/>
      <c r="E60" s="242"/>
      <c r="F60" s="469"/>
      <c r="G60" s="439"/>
      <c r="H60" s="147"/>
      <c r="I60" s="147"/>
      <c r="J60" s="242"/>
      <c r="K60" s="242"/>
      <c r="L60" s="368">
        <f t="shared" si="11"/>
        <v>0</v>
      </c>
    </row>
    <row r="61" spans="1:24" s="392" customFormat="1" ht="31.5" x14ac:dyDescent="0.2">
      <c r="A61" s="441">
        <v>2.0099999999999998</v>
      </c>
      <c r="B61" s="442" t="s">
        <v>320</v>
      </c>
      <c r="C61" s="218" t="s">
        <v>303</v>
      </c>
      <c r="D61" s="232">
        <v>60</v>
      </c>
      <c r="E61" s="232">
        <v>63.84</v>
      </c>
      <c r="F61" s="147"/>
      <c r="G61" s="479">
        <f>F61+E61</f>
        <v>63.84</v>
      </c>
      <c r="H61" s="443">
        <v>310</v>
      </c>
      <c r="I61" s="232">
        <f>H61*D61</f>
        <v>18600</v>
      </c>
      <c r="J61" s="203">
        <f>H61*E61</f>
        <v>19790.400000000001</v>
      </c>
      <c r="K61" s="239">
        <f>H61*F61</f>
        <v>0</v>
      </c>
      <c r="L61" s="368">
        <f t="shared" si="11"/>
        <v>19790.400000000001</v>
      </c>
    </row>
    <row r="62" spans="1:24" s="569" customFormat="1" ht="29.25" customHeight="1" thickBot="1" x14ac:dyDescent="0.25">
      <c r="A62" s="602" t="s">
        <v>64</v>
      </c>
      <c r="B62" s="1166" t="s">
        <v>64</v>
      </c>
      <c r="C62" s="1167"/>
      <c r="D62" s="1167"/>
      <c r="E62" s="1167"/>
      <c r="F62" s="1167"/>
      <c r="G62" s="1167"/>
      <c r="H62" s="1168"/>
      <c r="I62" s="603">
        <f>SUM(I61:I61)</f>
        <v>18600</v>
      </c>
      <c r="J62" s="603">
        <f>SUM(J61:J61)</f>
        <v>19790.400000000001</v>
      </c>
      <c r="K62" s="603">
        <f>SUM(K61:K61)</f>
        <v>0</v>
      </c>
      <c r="L62" s="603">
        <f>SUM(L61:L61)</f>
        <v>19790.400000000001</v>
      </c>
      <c r="M62" s="616"/>
      <c r="N62" s="616"/>
      <c r="O62" s="616"/>
      <c r="P62" s="616"/>
      <c r="Q62" s="616"/>
      <c r="R62" s="616"/>
      <c r="S62" s="616"/>
      <c r="T62" s="616"/>
      <c r="U62" s="616"/>
      <c r="V62" s="616"/>
      <c r="W62" s="616"/>
      <c r="X62" s="616"/>
    </row>
    <row r="63" spans="1:24" ht="18" x14ac:dyDescent="0.2">
      <c r="A63" s="471"/>
      <c r="B63" s="472" t="s">
        <v>167</v>
      </c>
      <c r="C63" s="210"/>
      <c r="D63" s="131"/>
      <c r="E63" s="210"/>
      <c r="F63" s="210"/>
      <c r="G63" s="210"/>
      <c r="H63" s="131"/>
      <c r="I63" s="131"/>
      <c r="J63" s="131"/>
      <c r="K63" s="131"/>
      <c r="L63" s="368">
        <f t="shared" si="11"/>
        <v>0</v>
      </c>
    </row>
    <row r="64" spans="1:24" ht="18" x14ac:dyDescent="0.2">
      <c r="A64" s="436">
        <v>3.1</v>
      </c>
      <c r="B64" s="372" t="s">
        <v>166</v>
      </c>
      <c r="C64" s="205" t="s">
        <v>11</v>
      </c>
      <c r="D64" s="140">
        <v>40</v>
      </c>
      <c r="E64" s="205">
        <v>35.31</v>
      </c>
      <c r="F64" s="876">
        <v>3.25</v>
      </c>
      <c r="G64" s="205">
        <f>F64+E64</f>
        <v>38.56</v>
      </c>
      <c r="H64" s="140">
        <v>245</v>
      </c>
      <c r="I64" s="140">
        <f>D64*H64</f>
        <v>9800</v>
      </c>
      <c r="J64" s="140">
        <f>E64*H64</f>
        <v>8650.9500000000007</v>
      </c>
      <c r="K64" s="140">
        <f>H64*F64</f>
        <v>796.25</v>
      </c>
      <c r="L64" s="373">
        <f t="shared" si="11"/>
        <v>9447.2000000000007</v>
      </c>
    </row>
    <row r="65" spans="1:24" ht="18" x14ac:dyDescent="0.2">
      <c r="A65" s="962">
        <v>3.2</v>
      </c>
      <c r="B65" s="867" t="s">
        <v>524</v>
      </c>
      <c r="C65" s="205" t="s">
        <v>11</v>
      </c>
      <c r="D65" s="867">
        <v>15</v>
      </c>
      <c r="E65" s="963"/>
      <c r="F65" s="964">
        <v>12.9</v>
      </c>
      <c r="G65" s="963"/>
      <c r="H65" s="867">
        <v>220</v>
      </c>
      <c r="I65" s="867"/>
      <c r="J65" s="140">
        <f>E65*H65</f>
        <v>0</v>
      </c>
      <c r="K65" s="140">
        <f>H65*F65</f>
        <v>2838</v>
      </c>
      <c r="L65" s="373">
        <f t="shared" si="11"/>
        <v>2838</v>
      </c>
      <c r="M65" s="644"/>
      <c r="N65" s="644"/>
      <c r="O65" s="644"/>
      <c r="P65" s="644"/>
      <c r="Q65" s="644"/>
      <c r="R65" s="644"/>
      <c r="S65" s="644"/>
      <c r="T65" s="644"/>
      <c r="U65" s="644"/>
      <c r="V65" s="644"/>
      <c r="W65" s="644"/>
      <c r="X65" s="644"/>
    </row>
    <row r="66" spans="1:24" s="587" customFormat="1" ht="18.75" thickBot="1" x14ac:dyDescent="0.25">
      <c r="A66" s="583"/>
      <c r="B66" s="1166" t="s">
        <v>64</v>
      </c>
      <c r="C66" s="1167"/>
      <c r="D66" s="1167"/>
      <c r="E66" s="1167"/>
      <c r="F66" s="1167"/>
      <c r="G66" s="1167"/>
      <c r="H66" s="1168"/>
      <c r="I66" s="584">
        <f>SUM(I64:I64)</f>
        <v>9800</v>
      </c>
      <c r="J66" s="584">
        <f>SUM(J64:J65)</f>
        <v>8650.9500000000007</v>
      </c>
      <c r="K66" s="584">
        <f>SUM(K64:K65)</f>
        <v>3634.25</v>
      </c>
      <c r="L66" s="584">
        <f>SUM(L64:L65)</f>
        <v>12285.2</v>
      </c>
      <c r="M66" s="638"/>
      <c r="N66" s="638"/>
      <c r="O66" s="638"/>
      <c r="P66" s="638"/>
      <c r="Q66" s="638"/>
      <c r="R66" s="638"/>
      <c r="S66" s="638"/>
      <c r="T66" s="638"/>
      <c r="U66" s="638"/>
      <c r="V66" s="638"/>
      <c r="W66" s="638"/>
      <c r="X66" s="638"/>
    </row>
    <row r="67" spans="1:24" ht="18" x14ac:dyDescent="0.2">
      <c r="A67" s="471"/>
      <c r="B67" s="376" t="s">
        <v>168</v>
      </c>
      <c r="C67" s="210"/>
      <c r="D67" s="131"/>
      <c r="E67" s="210"/>
      <c r="F67" s="210"/>
      <c r="G67" s="210"/>
      <c r="H67" s="131"/>
      <c r="I67" s="131"/>
      <c r="J67" s="131"/>
      <c r="K67" s="131"/>
      <c r="L67" s="368">
        <f t="shared" si="11"/>
        <v>0</v>
      </c>
    </row>
    <row r="68" spans="1:24" ht="18" x14ac:dyDescent="0.2">
      <c r="A68" s="436">
        <v>4.0999999999999996</v>
      </c>
      <c r="B68" s="371" t="s">
        <v>169</v>
      </c>
      <c r="C68" s="205"/>
      <c r="D68" s="140"/>
      <c r="E68" s="205"/>
      <c r="F68" s="202"/>
      <c r="G68" s="205"/>
      <c r="H68" s="140"/>
      <c r="I68" s="140"/>
      <c r="J68" s="140"/>
      <c r="K68" s="140"/>
      <c r="L68" s="368">
        <f t="shared" si="11"/>
        <v>0</v>
      </c>
    </row>
    <row r="69" spans="1:24" ht="18" x14ac:dyDescent="0.2">
      <c r="A69" s="436"/>
      <c r="B69" s="371" t="s">
        <v>170</v>
      </c>
      <c r="C69" s="205"/>
      <c r="D69" s="140"/>
      <c r="E69" s="205"/>
      <c r="F69" s="202"/>
      <c r="G69" s="205"/>
      <c r="H69" s="140"/>
      <c r="I69" s="140"/>
      <c r="J69" s="140"/>
      <c r="K69" s="140"/>
      <c r="L69" s="368">
        <f t="shared" si="11"/>
        <v>0</v>
      </c>
    </row>
    <row r="70" spans="1:24" ht="18.75" x14ac:dyDescent="0.25">
      <c r="A70" s="436"/>
      <c r="B70" s="371" t="s">
        <v>172</v>
      </c>
      <c r="C70" s="205" t="s">
        <v>174</v>
      </c>
      <c r="D70" s="140">
        <v>65</v>
      </c>
      <c r="E70" s="380">
        <v>57.56</v>
      </c>
      <c r="F70" s="380"/>
      <c r="G70" s="384">
        <f>F70+E70</f>
        <v>57.56</v>
      </c>
      <c r="H70" s="140">
        <v>20</v>
      </c>
      <c r="I70" s="140">
        <f>H70*D70</f>
        <v>1300</v>
      </c>
      <c r="J70" s="130">
        <f>H70*E70</f>
        <v>1151.2</v>
      </c>
      <c r="K70" s="239">
        <f>H70*F70</f>
        <v>0</v>
      </c>
      <c r="L70" s="368">
        <f t="shared" si="11"/>
        <v>1151.2</v>
      </c>
    </row>
    <row r="71" spans="1:24" ht="18.75" x14ac:dyDescent="0.25">
      <c r="A71" s="436"/>
      <c r="B71" s="371" t="s">
        <v>173</v>
      </c>
      <c r="C71" s="205" t="s">
        <v>174</v>
      </c>
      <c r="D71" s="140">
        <v>40</v>
      </c>
      <c r="E71" s="380">
        <v>61.79</v>
      </c>
      <c r="F71" s="380"/>
      <c r="G71" s="384">
        <f>F71+E71</f>
        <v>61.79</v>
      </c>
      <c r="H71" s="140">
        <v>19</v>
      </c>
      <c r="I71" s="140">
        <f>H71*D71</f>
        <v>760</v>
      </c>
      <c r="J71" s="130">
        <f>H71*E71</f>
        <v>1174.01</v>
      </c>
      <c r="K71" s="239">
        <f>H71*F71</f>
        <v>0</v>
      </c>
      <c r="L71" s="368">
        <f t="shared" si="11"/>
        <v>1174.01</v>
      </c>
    </row>
    <row r="72" spans="1:24" ht="18.75" x14ac:dyDescent="0.25">
      <c r="A72" s="436"/>
      <c r="B72" s="371" t="s">
        <v>171</v>
      </c>
      <c r="C72" s="205" t="s">
        <v>174</v>
      </c>
      <c r="D72" s="140">
        <v>55</v>
      </c>
      <c r="E72" s="380">
        <v>52.8</v>
      </c>
      <c r="F72" s="380"/>
      <c r="G72" s="384">
        <f>F72+E72</f>
        <v>52.8</v>
      </c>
      <c r="H72" s="140">
        <v>45</v>
      </c>
      <c r="I72" s="140">
        <f>H72*D72</f>
        <v>2475</v>
      </c>
      <c r="J72" s="130">
        <f>H72*E72</f>
        <v>2376</v>
      </c>
      <c r="K72" s="239">
        <f>H72*F72</f>
        <v>0</v>
      </c>
      <c r="L72" s="368">
        <f t="shared" si="11"/>
        <v>2376</v>
      </c>
    </row>
    <row r="73" spans="1:24" s="312" customFormat="1" ht="18.75" x14ac:dyDescent="0.25">
      <c r="A73" s="436">
        <v>4.2</v>
      </c>
      <c r="B73" s="371" t="s">
        <v>238</v>
      </c>
      <c r="C73" s="205" t="s">
        <v>174</v>
      </c>
      <c r="D73" s="140">
        <v>23</v>
      </c>
      <c r="E73" s="205"/>
      <c r="F73" s="877">
        <v>23.9</v>
      </c>
      <c r="G73" s="384">
        <f>F73+E73</f>
        <v>23.9</v>
      </c>
      <c r="H73" s="140">
        <v>105</v>
      </c>
      <c r="I73" s="140">
        <f>H73*D73</f>
        <v>2415</v>
      </c>
      <c r="J73" s="130">
        <f>H73*E73</f>
        <v>0</v>
      </c>
      <c r="K73" s="239">
        <f>H73*F73</f>
        <v>2509.5</v>
      </c>
      <c r="L73" s="368">
        <f t="shared" si="11"/>
        <v>2509.5</v>
      </c>
      <c r="M73" s="628"/>
      <c r="N73" s="628"/>
      <c r="O73" s="628"/>
      <c r="P73" s="628"/>
      <c r="Q73" s="628"/>
      <c r="R73" s="628"/>
      <c r="S73" s="628"/>
      <c r="T73" s="628"/>
      <c r="U73" s="628"/>
      <c r="V73" s="628"/>
      <c r="W73" s="628"/>
      <c r="X73" s="628"/>
    </row>
    <row r="74" spans="1:24" s="587" customFormat="1" ht="18.75" thickBot="1" x14ac:dyDescent="0.25">
      <c r="A74" s="583"/>
      <c r="B74" s="1166" t="s">
        <v>64</v>
      </c>
      <c r="C74" s="1167"/>
      <c r="D74" s="1167"/>
      <c r="E74" s="1167"/>
      <c r="F74" s="1167"/>
      <c r="G74" s="1167"/>
      <c r="H74" s="1168"/>
      <c r="I74" s="584">
        <f>SUM(I70:I73)</f>
        <v>6950</v>
      </c>
      <c r="J74" s="584">
        <f>SUM(J70:J73)</f>
        <v>4701.21</v>
      </c>
      <c r="K74" s="584">
        <f>SUM(K70:K73)</f>
        <v>2509.5</v>
      </c>
      <c r="L74" s="584">
        <f>SUM(L70:L73)</f>
        <v>7210.71</v>
      </c>
      <c r="M74" s="638"/>
      <c r="N74" s="638"/>
      <c r="O74" s="638"/>
      <c r="P74" s="638"/>
      <c r="Q74" s="638"/>
      <c r="R74" s="638"/>
      <c r="S74" s="638"/>
      <c r="T74" s="638"/>
      <c r="U74" s="638"/>
      <c r="V74" s="638"/>
      <c r="W74" s="638"/>
      <c r="X74" s="638"/>
    </row>
    <row r="75" spans="1:24" s="312" customFormat="1" ht="18" x14ac:dyDescent="0.2">
      <c r="A75" s="474"/>
      <c r="B75" s="475" t="s">
        <v>297</v>
      </c>
      <c r="C75" s="476"/>
      <c r="D75" s="476"/>
      <c r="E75" s="476"/>
      <c r="F75" s="476"/>
      <c r="G75" s="218"/>
      <c r="H75" s="476"/>
      <c r="I75" s="476"/>
      <c r="J75" s="476"/>
      <c r="K75" s="476"/>
      <c r="L75" s="368">
        <f t="shared" si="11"/>
        <v>0</v>
      </c>
      <c r="M75" s="628"/>
      <c r="N75" s="628"/>
      <c r="O75" s="628"/>
      <c r="P75" s="628"/>
      <c r="Q75" s="628"/>
      <c r="R75" s="628"/>
      <c r="S75" s="628"/>
      <c r="T75" s="628"/>
      <c r="U75" s="628"/>
      <c r="V75" s="628"/>
      <c r="W75" s="628"/>
      <c r="X75" s="628"/>
    </row>
    <row r="76" spans="1:24" s="312" customFormat="1" ht="18" x14ac:dyDescent="0.2">
      <c r="A76" s="451">
        <v>6.1</v>
      </c>
      <c r="B76" s="452" t="s">
        <v>298</v>
      </c>
      <c r="C76" s="476"/>
      <c r="D76" s="476"/>
      <c r="E76" s="244"/>
      <c r="F76" s="244"/>
      <c r="G76" s="381"/>
      <c r="H76" s="477"/>
      <c r="I76" s="477"/>
      <c r="J76" s="130"/>
      <c r="K76" s="130"/>
      <c r="L76" s="368">
        <f t="shared" si="11"/>
        <v>0</v>
      </c>
      <c r="M76" s="628"/>
      <c r="N76" s="628"/>
      <c r="O76" s="628"/>
      <c r="P76" s="628"/>
      <c r="Q76" s="628"/>
      <c r="R76" s="628"/>
      <c r="S76" s="628"/>
      <c r="T76" s="628"/>
      <c r="U76" s="628"/>
      <c r="V76" s="628"/>
      <c r="W76" s="628"/>
      <c r="X76" s="628"/>
    </row>
    <row r="77" spans="1:24" s="312" customFormat="1" ht="20.25" x14ac:dyDescent="0.2">
      <c r="A77" s="451"/>
      <c r="B77" s="452" t="s">
        <v>299</v>
      </c>
      <c r="C77" s="218" t="s">
        <v>303</v>
      </c>
      <c r="D77" s="218">
        <v>50</v>
      </c>
      <c r="E77" s="244"/>
      <c r="F77" s="244">
        <v>38.53</v>
      </c>
      <c r="G77" s="244">
        <f>F77+E77</f>
        <v>38.53</v>
      </c>
      <c r="H77" s="232">
        <v>115</v>
      </c>
      <c r="I77" s="232">
        <f>H77*D77</f>
        <v>5750</v>
      </c>
      <c r="J77" s="130">
        <f>H77*E77</f>
        <v>0</v>
      </c>
      <c r="K77" s="130">
        <f>H77*F77</f>
        <v>4430.95</v>
      </c>
      <c r="L77" s="368">
        <f t="shared" si="11"/>
        <v>4430.95</v>
      </c>
      <c r="M77" s="628"/>
      <c r="N77" s="628"/>
      <c r="O77" s="628"/>
      <c r="P77" s="628"/>
      <c r="Q77" s="628"/>
      <c r="R77" s="628"/>
      <c r="S77" s="628"/>
      <c r="T77" s="628"/>
      <c r="U77" s="628"/>
      <c r="V77" s="628"/>
      <c r="W77" s="628"/>
      <c r="X77" s="628"/>
    </row>
    <row r="78" spans="1:24" s="312" customFormat="1" ht="18" x14ac:dyDescent="0.2">
      <c r="A78" s="451">
        <v>6.2</v>
      </c>
      <c r="B78" s="452" t="s">
        <v>301</v>
      </c>
      <c r="C78" s="218"/>
      <c r="D78" s="218"/>
      <c r="E78" s="218"/>
      <c r="F78" s="218"/>
      <c r="G78" s="244">
        <f>F78+E78</f>
        <v>0</v>
      </c>
      <c r="H78" s="218"/>
      <c r="I78" s="218"/>
      <c r="J78" s="130">
        <f>H78*E78</f>
        <v>0</v>
      </c>
      <c r="K78" s="130">
        <f>H78*F78</f>
        <v>0</v>
      </c>
      <c r="L78" s="368">
        <f t="shared" si="11"/>
        <v>0</v>
      </c>
      <c r="M78" s="628"/>
      <c r="N78" s="628"/>
      <c r="O78" s="628"/>
      <c r="P78" s="628"/>
      <c r="Q78" s="628"/>
      <c r="R78" s="628"/>
      <c r="S78" s="628"/>
      <c r="T78" s="628"/>
      <c r="U78" s="628"/>
      <c r="V78" s="628"/>
      <c r="W78" s="628"/>
      <c r="X78" s="628"/>
    </row>
    <row r="79" spans="1:24" s="312" customFormat="1" ht="17.25" customHeight="1" x14ac:dyDescent="0.2">
      <c r="A79" s="451"/>
      <c r="B79" s="453" t="s">
        <v>302</v>
      </c>
      <c r="C79" s="218" t="s">
        <v>303</v>
      </c>
      <c r="D79" s="218">
        <v>50</v>
      </c>
      <c r="E79" s="244">
        <v>50.46</v>
      </c>
      <c r="F79" s="244">
        <v>40.409999999999997</v>
      </c>
      <c r="G79" s="244">
        <f>F79+E79</f>
        <v>90.87</v>
      </c>
      <c r="H79" s="232">
        <v>140</v>
      </c>
      <c r="I79" s="232">
        <f>H79*D79</f>
        <v>7000</v>
      </c>
      <c r="J79" s="130">
        <f>H79*E79</f>
        <v>7064.4000000000005</v>
      </c>
      <c r="K79" s="130">
        <f>H79*F79</f>
        <v>5657.4</v>
      </c>
      <c r="L79" s="368">
        <f t="shared" si="11"/>
        <v>12721.8</v>
      </c>
      <c r="M79" s="628"/>
      <c r="N79" s="628"/>
      <c r="O79" s="628"/>
      <c r="P79" s="628"/>
      <c r="Q79" s="628"/>
      <c r="R79" s="628"/>
      <c r="S79" s="628"/>
      <c r="T79" s="628"/>
      <c r="U79" s="628"/>
      <c r="V79" s="628"/>
      <c r="W79" s="628"/>
      <c r="X79" s="628"/>
    </row>
    <row r="80" spans="1:24" s="312" customFormat="1" ht="17.25" customHeight="1" x14ac:dyDescent="0.2">
      <c r="A80" s="451">
        <v>6.3</v>
      </c>
      <c r="B80" s="453" t="s">
        <v>507</v>
      </c>
      <c r="C80" s="218" t="s">
        <v>11</v>
      </c>
      <c r="D80" s="218">
        <v>20</v>
      </c>
      <c r="E80" s="244"/>
      <c r="F80" s="244"/>
      <c r="G80" s="244">
        <f t="shared" ref="G80:G85" si="12">F80+E80</f>
        <v>0</v>
      </c>
      <c r="H80" s="232">
        <v>380</v>
      </c>
      <c r="I80" s="232">
        <f t="shared" ref="I80:I85" si="13">H80*D80</f>
        <v>7600</v>
      </c>
      <c r="J80" s="130">
        <f t="shared" ref="J80:J85" si="14">H80*E80</f>
        <v>0</v>
      </c>
      <c r="K80" s="130">
        <f t="shared" ref="K80:K85" si="15">H80*F80</f>
        <v>0</v>
      </c>
      <c r="L80" s="368">
        <f t="shared" si="11"/>
        <v>0</v>
      </c>
      <c r="M80" s="628"/>
      <c r="N80" s="628"/>
      <c r="O80" s="628"/>
      <c r="P80" s="628"/>
      <c r="Q80" s="628"/>
      <c r="R80" s="628"/>
      <c r="S80" s="628"/>
      <c r="T80" s="628"/>
      <c r="U80" s="628"/>
      <c r="V80" s="628"/>
      <c r="W80" s="628"/>
      <c r="X80" s="628"/>
    </row>
    <row r="81" spans="1:24" s="312" customFormat="1" ht="17.25" customHeight="1" x14ac:dyDescent="0.2">
      <c r="A81" s="451">
        <v>6.4</v>
      </c>
      <c r="B81" s="453" t="s">
        <v>508</v>
      </c>
      <c r="C81" s="218" t="s">
        <v>174</v>
      </c>
      <c r="D81" s="218">
        <v>21</v>
      </c>
      <c r="E81" s="244"/>
      <c r="F81" s="244"/>
      <c r="G81" s="244">
        <f t="shared" si="12"/>
        <v>0</v>
      </c>
      <c r="H81" s="232">
        <v>70</v>
      </c>
      <c r="I81" s="232">
        <f t="shared" si="13"/>
        <v>1470</v>
      </c>
      <c r="J81" s="130">
        <f t="shared" si="14"/>
        <v>0</v>
      </c>
      <c r="K81" s="130">
        <f t="shared" si="15"/>
        <v>0</v>
      </c>
      <c r="L81" s="368">
        <f t="shared" si="11"/>
        <v>0</v>
      </c>
      <c r="M81" s="628"/>
      <c r="N81" s="628"/>
      <c r="O81" s="628"/>
      <c r="P81" s="628"/>
      <c r="Q81" s="628"/>
      <c r="R81" s="628"/>
      <c r="S81" s="628"/>
      <c r="T81" s="628"/>
      <c r="U81" s="628"/>
      <c r="V81" s="628"/>
      <c r="W81" s="628"/>
      <c r="X81" s="628"/>
    </row>
    <row r="82" spans="1:24" s="312" customFormat="1" ht="17.25" customHeight="1" x14ac:dyDescent="0.2">
      <c r="A82" s="451">
        <v>6.5</v>
      </c>
      <c r="B82" s="453" t="s">
        <v>509</v>
      </c>
      <c r="C82" s="218" t="s">
        <v>174</v>
      </c>
      <c r="D82" s="218">
        <v>6.5</v>
      </c>
      <c r="E82" s="244"/>
      <c r="F82" s="244"/>
      <c r="G82" s="244">
        <f t="shared" si="12"/>
        <v>0</v>
      </c>
      <c r="H82" s="232">
        <v>280</v>
      </c>
      <c r="I82" s="232">
        <f t="shared" si="13"/>
        <v>1820</v>
      </c>
      <c r="J82" s="130">
        <f t="shared" si="14"/>
        <v>0</v>
      </c>
      <c r="K82" s="130">
        <f t="shared" si="15"/>
        <v>0</v>
      </c>
      <c r="L82" s="368">
        <f t="shared" si="11"/>
        <v>0</v>
      </c>
      <c r="M82" s="628"/>
      <c r="N82" s="628"/>
      <c r="O82" s="628"/>
      <c r="P82" s="628"/>
      <c r="Q82" s="628"/>
      <c r="R82" s="628"/>
      <c r="S82" s="628"/>
      <c r="T82" s="628"/>
      <c r="U82" s="628"/>
      <c r="V82" s="628"/>
      <c r="W82" s="628"/>
      <c r="X82" s="628"/>
    </row>
    <row r="83" spans="1:24" s="312" customFormat="1" ht="17.25" customHeight="1" x14ac:dyDescent="0.2">
      <c r="A83" s="451">
        <v>6.7</v>
      </c>
      <c r="B83" s="452" t="s">
        <v>510</v>
      </c>
      <c r="C83" s="218" t="s">
        <v>11</v>
      </c>
      <c r="D83" s="218">
        <v>40</v>
      </c>
      <c r="E83" s="244"/>
      <c r="F83" s="244"/>
      <c r="G83" s="244">
        <f t="shared" si="12"/>
        <v>0</v>
      </c>
      <c r="H83" s="232">
        <v>450</v>
      </c>
      <c r="I83" s="232">
        <f t="shared" si="13"/>
        <v>18000</v>
      </c>
      <c r="J83" s="130">
        <f t="shared" si="14"/>
        <v>0</v>
      </c>
      <c r="K83" s="130">
        <f t="shared" si="15"/>
        <v>0</v>
      </c>
      <c r="L83" s="368">
        <f t="shared" si="11"/>
        <v>0</v>
      </c>
      <c r="M83" s="628"/>
      <c r="N83" s="628"/>
      <c r="O83" s="628"/>
      <c r="P83" s="628"/>
      <c r="Q83" s="628"/>
      <c r="R83" s="628"/>
      <c r="S83" s="628"/>
      <c r="T83" s="628"/>
      <c r="U83" s="628"/>
      <c r="V83" s="628"/>
      <c r="W83" s="628"/>
      <c r="X83" s="628"/>
    </row>
    <row r="84" spans="1:24" s="312" customFormat="1" ht="17.25" customHeight="1" x14ac:dyDescent="0.2">
      <c r="A84" s="451">
        <v>6.8</v>
      </c>
      <c r="B84" s="452" t="s">
        <v>511</v>
      </c>
      <c r="C84" s="218" t="s">
        <v>174</v>
      </c>
      <c r="D84" s="218">
        <v>35</v>
      </c>
      <c r="E84" s="244"/>
      <c r="F84" s="244"/>
      <c r="G84" s="244">
        <f t="shared" si="12"/>
        <v>0</v>
      </c>
      <c r="H84" s="232">
        <v>160</v>
      </c>
      <c r="I84" s="232">
        <f t="shared" si="13"/>
        <v>5600</v>
      </c>
      <c r="J84" s="130">
        <f t="shared" si="14"/>
        <v>0</v>
      </c>
      <c r="K84" s="130">
        <f t="shared" si="15"/>
        <v>0</v>
      </c>
      <c r="L84" s="368">
        <f t="shared" si="11"/>
        <v>0</v>
      </c>
      <c r="M84" s="628"/>
      <c r="N84" s="628"/>
      <c r="O84" s="628"/>
      <c r="P84" s="628"/>
      <c r="Q84" s="628"/>
      <c r="R84" s="628"/>
      <c r="S84" s="628"/>
      <c r="T84" s="628"/>
      <c r="U84" s="628"/>
      <c r="V84" s="628"/>
      <c r="W84" s="628"/>
      <c r="X84" s="628"/>
    </row>
    <row r="85" spans="1:24" s="312" customFormat="1" ht="17.25" customHeight="1" x14ac:dyDescent="0.2">
      <c r="A85" s="451">
        <v>6.9</v>
      </c>
      <c r="B85" s="452" t="s">
        <v>512</v>
      </c>
      <c r="C85" s="218" t="s">
        <v>174</v>
      </c>
      <c r="D85" s="218">
        <v>75</v>
      </c>
      <c r="E85" s="244"/>
      <c r="F85" s="244"/>
      <c r="G85" s="244">
        <f t="shared" si="12"/>
        <v>0</v>
      </c>
      <c r="H85" s="232">
        <v>155</v>
      </c>
      <c r="I85" s="232">
        <f t="shared" si="13"/>
        <v>11625</v>
      </c>
      <c r="J85" s="130">
        <f t="shared" si="14"/>
        <v>0</v>
      </c>
      <c r="K85" s="130">
        <f t="shared" si="15"/>
        <v>0</v>
      </c>
      <c r="L85" s="368">
        <f t="shared" si="11"/>
        <v>0</v>
      </c>
      <c r="M85" s="628"/>
      <c r="N85" s="628"/>
      <c r="O85" s="628"/>
      <c r="P85" s="628"/>
      <c r="Q85" s="628"/>
      <c r="R85" s="628"/>
      <c r="S85" s="628"/>
      <c r="T85" s="628"/>
      <c r="U85" s="628"/>
      <c r="V85" s="628"/>
      <c r="W85" s="628"/>
      <c r="X85" s="628"/>
    </row>
    <row r="86" spans="1:24" s="582" customFormat="1" ht="21.75" customHeight="1" thickBot="1" x14ac:dyDescent="0.25">
      <c r="A86" s="599"/>
      <c r="B86" s="1171" t="s">
        <v>64</v>
      </c>
      <c r="C86" s="1172"/>
      <c r="D86" s="1172"/>
      <c r="E86" s="1172"/>
      <c r="F86" s="1172"/>
      <c r="G86" s="1172"/>
      <c r="H86" s="1173"/>
      <c r="I86" s="600">
        <f>SUM(I76:I85)</f>
        <v>58865</v>
      </c>
      <c r="J86" s="600">
        <f>SUM(J76:J85)</f>
        <v>7064.4000000000005</v>
      </c>
      <c r="K86" s="600">
        <f>SUM(K76:K85)</f>
        <v>10088.349999999999</v>
      </c>
      <c r="L86" s="600">
        <f>SUM(L76:L85)</f>
        <v>17152.75</v>
      </c>
      <c r="M86" s="628"/>
      <c r="N86" s="628"/>
      <c r="O86" s="628"/>
      <c r="P86" s="628"/>
      <c r="Q86" s="628"/>
      <c r="R86" s="628"/>
      <c r="S86" s="628"/>
      <c r="T86" s="628"/>
      <c r="U86" s="628"/>
      <c r="V86" s="628"/>
      <c r="W86" s="628"/>
      <c r="X86" s="628"/>
    </row>
    <row r="87" spans="1:24" s="71" customFormat="1" ht="14.25" x14ac:dyDescent="0.15">
      <c r="M87" s="626"/>
      <c r="N87" s="626"/>
      <c r="O87" s="626"/>
      <c r="P87" s="626"/>
      <c r="Q87" s="626"/>
      <c r="R87" s="626"/>
      <c r="S87" s="626"/>
      <c r="T87" s="626"/>
      <c r="U87" s="626"/>
      <c r="V87" s="626"/>
      <c r="W87" s="626"/>
      <c r="X87" s="626"/>
    </row>
    <row r="88" spans="1:24" s="84" customFormat="1" ht="18" x14ac:dyDescent="0.2">
      <c r="B88" s="432" t="s">
        <v>233</v>
      </c>
      <c r="C88" s="432"/>
      <c r="D88" s="432"/>
      <c r="E88" s="432"/>
      <c r="F88" s="432"/>
      <c r="G88" s="432"/>
      <c r="H88" s="432"/>
      <c r="I88" s="432"/>
      <c r="J88" s="432" t="s">
        <v>343</v>
      </c>
      <c r="K88" s="432"/>
      <c r="L88" s="432"/>
      <c r="M88" s="626"/>
      <c r="N88" s="626"/>
      <c r="O88" s="626"/>
      <c r="P88" s="626"/>
      <c r="Q88" s="626"/>
      <c r="R88" s="626"/>
      <c r="S88" s="626"/>
      <c r="T88" s="626"/>
      <c r="U88" s="626"/>
      <c r="V88" s="626"/>
      <c r="W88" s="626"/>
    </row>
  </sheetData>
  <mergeCells count="33">
    <mergeCell ref="I44:K44"/>
    <mergeCell ref="B66:H66"/>
    <mergeCell ref="G44:G46"/>
    <mergeCell ref="L3:L4"/>
    <mergeCell ref="B42:H42"/>
    <mergeCell ref="D45:D46"/>
    <mergeCell ref="E45:F45"/>
    <mergeCell ref="I45:I46"/>
    <mergeCell ref="J45:K45"/>
    <mergeCell ref="L45:L46"/>
    <mergeCell ref="B62:H62"/>
    <mergeCell ref="B44:B46"/>
    <mergeCell ref="C44:C46"/>
    <mergeCell ref="D44:F44"/>
    <mergeCell ref="B1:K1"/>
    <mergeCell ref="I2:K2"/>
    <mergeCell ref="B38:H38"/>
    <mergeCell ref="I3:I4"/>
    <mergeCell ref="J3:K3"/>
    <mergeCell ref="B17:H17"/>
    <mergeCell ref="G2:G4"/>
    <mergeCell ref="B86:H86"/>
    <mergeCell ref="A2:A4"/>
    <mergeCell ref="B2:B4"/>
    <mergeCell ref="C2:C4"/>
    <mergeCell ref="D2:F2"/>
    <mergeCell ref="H2:H4"/>
    <mergeCell ref="D3:D4"/>
    <mergeCell ref="E3:F3"/>
    <mergeCell ref="B59:H59"/>
    <mergeCell ref="A44:A46"/>
    <mergeCell ref="H44:H46"/>
    <mergeCell ref="B74:H74"/>
  </mergeCells>
  <pageMargins left="0.49" right="0.33" top="0.75" bottom="0.75" header="0.3" footer="0.3"/>
  <pageSetup scale="58" orientation="landscape" r:id="rId1"/>
  <rowBreaks count="1" manualBreakCount="1">
    <brk id="4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64"/>
  <sheetViews>
    <sheetView topLeftCell="A46" zoomScale="85" zoomScaleNormal="85" workbookViewId="0">
      <selection activeCell="F28" sqref="F28"/>
    </sheetView>
  </sheetViews>
  <sheetFormatPr defaultColWidth="9.14453125" defaultRowHeight="15" x14ac:dyDescent="0.2"/>
  <cols>
    <col min="1" max="1" width="10.0859375" style="351" customWidth="1"/>
    <col min="2" max="2" width="37.53125" style="351" customWidth="1"/>
    <col min="3" max="3" width="11.43359375" style="351" customWidth="1"/>
    <col min="4" max="4" width="14.390625" style="351" customWidth="1"/>
    <col min="5" max="5" width="15.46875" style="351" customWidth="1"/>
    <col min="6" max="6" width="15.73828125" style="351" customWidth="1"/>
    <col min="7" max="7" width="16.6796875" style="351" customWidth="1"/>
    <col min="8" max="8" width="15.87109375" style="351" customWidth="1"/>
    <col min="9" max="9" width="19.234375" style="351" customWidth="1"/>
    <col min="10" max="11" width="17.62109375" style="351" customWidth="1"/>
    <col min="12" max="12" width="19.90625" style="351" customWidth="1"/>
    <col min="13" max="13" width="9.28125" style="638" bestFit="1" customWidth="1"/>
    <col min="14" max="29" width="9.14453125" style="638"/>
    <col min="30" max="16384" width="9.14453125" style="351"/>
  </cols>
  <sheetData>
    <row r="1" spans="1:29" ht="15.75" thickBot="1" x14ac:dyDescent="0.25">
      <c r="A1" s="253"/>
      <c r="B1" s="1116" t="s">
        <v>200</v>
      </c>
      <c r="C1" s="1116"/>
      <c r="D1" s="1116"/>
      <c r="E1" s="1116"/>
      <c r="F1" s="1116"/>
      <c r="G1" s="1116"/>
      <c r="H1" s="1116"/>
      <c r="I1" s="1116"/>
      <c r="J1" s="1116"/>
      <c r="K1" s="1116"/>
      <c r="L1" s="254"/>
    </row>
    <row r="2" spans="1:29" s="254" customFormat="1" ht="21.75" customHeight="1" x14ac:dyDescent="0.15">
      <c r="A2" s="1107" t="s">
        <v>61</v>
      </c>
      <c r="B2" s="1128" t="s">
        <v>54</v>
      </c>
      <c r="C2" s="1128" t="s">
        <v>5</v>
      </c>
      <c r="D2" s="1117" t="s">
        <v>4</v>
      </c>
      <c r="E2" s="1118"/>
      <c r="F2" s="1119"/>
      <c r="G2" s="1128" t="s">
        <v>334</v>
      </c>
      <c r="H2" s="1110" t="s">
        <v>8</v>
      </c>
      <c r="I2" s="1136" t="s">
        <v>50</v>
      </c>
      <c r="J2" s="1118"/>
      <c r="K2" s="1119"/>
      <c r="L2" s="503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  <c r="Y2" s="616"/>
      <c r="Z2" s="616"/>
      <c r="AA2" s="616"/>
      <c r="AB2" s="616"/>
      <c r="AC2" s="616"/>
    </row>
    <row r="3" spans="1:29" s="254" customFormat="1" ht="19.5" customHeight="1" x14ac:dyDescent="0.15">
      <c r="A3" s="1108"/>
      <c r="B3" s="1129"/>
      <c r="C3" s="1129"/>
      <c r="D3" s="1130" t="s">
        <v>62</v>
      </c>
      <c r="E3" s="1120" t="s">
        <v>63</v>
      </c>
      <c r="F3" s="1121"/>
      <c r="G3" s="1129"/>
      <c r="H3" s="1111"/>
      <c r="I3" s="1122" t="s">
        <v>6</v>
      </c>
      <c r="J3" s="1134" t="s">
        <v>7</v>
      </c>
      <c r="K3" s="1135"/>
      <c r="L3" s="1132" t="s">
        <v>336</v>
      </c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616"/>
      <c r="AB3" s="616"/>
      <c r="AC3" s="616"/>
    </row>
    <row r="4" spans="1:29" s="254" customFormat="1" ht="36" customHeight="1" thickBot="1" x14ac:dyDescent="0.2">
      <c r="A4" s="1109"/>
      <c r="B4" s="1123"/>
      <c r="C4" s="1123"/>
      <c r="D4" s="1131"/>
      <c r="E4" s="255" t="s">
        <v>98</v>
      </c>
      <c r="F4" s="255" t="s">
        <v>99</v>
      </c>
      <c r="G4" s="1129"/>
      <c r="H4" s="1112"/>
      <c r="I4" s="1123"/>
      <c r="J4" s="255" t="s">
        <v>98</v>
      </c>
      <c r="K4" s="255" t="s">
        <v>99</v>
      </c>
      <c r="L4" s="1133"/>
      <c r="M4" s="616"/>
      <c r="N4" s="616"/>
      <c r="O4" s="616"/>
      <c r="P4" s="616"/>
      <c r="Q4" s="616"/>
      <c r="R4" s="616"/>
      <c r="S4" s="616"/>
      <c r="T4" s="616"/>
      <c r="U4" s="616"/>
      <c r="V4" s="616"/>
      <c r="W4" s="616"/>
      <c r="X4" s="616"/>
      <c r="Y4" s="616"/>
      <c r="Z4" s="616"/>
      <c r="AA4" s="616"/>
      <c r="AB4" s="616"/>
      <c r="AC4" s="616"/>
    </row>
    <row r="5" spans="1:29" s="254" customFormat="1" ht="21" customHeight="1" thickBot="1" x14ac:dyDescent="0.2">
      <c r="A5" s="280" t="s">
        <v>102</v>
      </c>
      <c r="B5" s="257" t="s">
        <v>103</v>
      </c>
      <c r="C5" s="257" t="s">
        <v>104</v>
      </c>
      <c r="D5" s="258" t="s">
        <v>105</v>
      </c>
      <c r="E5" s="258" t="s">
        <v>106</v>
      </c>
      <c r="F5" s="258" t="s">
        <v>107</v>
      </c>
      <c r="G5" s="349"/>
      <c r="H5" s="259" t="s">
        <v>108</v>
      </c>
      <c r="I5" s="257" t="s">
        <v>116</v>
      </c>
      <c r="J5" s="258" t="s">
        <v>115</v>
      </c>
      <c r="K5" s="258" t="s">
        <v>114</v>
      </c>
      <c r="L5" s="260" t="s">
        <v>113</v>
      </c>
      <c r="M5" s="616"/>
      <c r="N5" s="616"/>
      <c r="O5" s="616"/>
      <c r="P5" s="616"/>
      <c r="Q5" s="616"/>
      <c r="R5" s="616"/>
      <c r="S5" s="616"/>
      <c r="T5" s="616"/>
      <c r="U5" s="616"/>
      <c r="V5" s="616"/>
      <c r="W5" s="616"/>
      <c r="X5" s="616"/>
      <c r="Y5" s="616"/>
      <c r="Z5" s="616"/>
      <c r="AA5" s="616"/>
      <c r="AB5" s="616"/>
      <c r="AC5" s="616"/>
    </row>
    <row r="6" spans="1:29" ht="18" x14ac:dyDescent="0.2">
      <c r="A6" s="358"/>
      <c r="B6" s="359" t="s">
        <v>9</v>
      </c>
      <c r="C6" s="360"/>
      <c r="D6" s="361"/>
      <c r="E6" s="360"/>
      <c r="F6" s="360"/>
      <c r="G6" s="417"/>
      <c r="H6" s="361"/>
      <c r="I6" s="361"/>
      <c r="J6" s="362"/>
      <c r="K6" s="363"/>
      <c r="L6" s="364"/>
    </row>
    <row r="7" spans="1:29" ht="18" x14ac:dyDescent="0.2">
      <c r="A7" s="365">
        <v>1</v>
      </c>
      <c r="B7" s="366" t="s">
        <v>10</v>
      </c>
      <c r="C7" s="208"/>
      <c r="D7" s="207"/>
      <c r="E7" s="208"/>
      <c r="F7" s="208"/>
      <c r="G7" s="202"/>
      <c r="H7" s="207"/>
      <c r="I7" s="207"/>
      <c r="J7" s="244"/>
      <c r="K7" s="367"/>
      <c r="L7" s="368"/>
    </row>
    <row r="8" spans="1:29" ht="18.75" x14ac:dyDescent="0.25">
      <c r="A8" s="369">
        <v>1.01</v>
      </c>
      <c r="B8" s="370" t="s">
        <v>18</v>
      </c>
      <c r="C8" s="202" t="s">
        <v>11</v>
      </c>
      <c r="D8" s="130">
        <v>68.25</v>
      </c>
      <c r="E8" s="481">
        <v>66.650000000000006</v>
      </c>
      <c r="F8" s="208"/>
      <c r="G8" s="202">
        <f>F8+E8</f>
        <v>66.650000000000006</v>
      </c>
      <c r="H8" s="130">
        <v>6</v>
      </c>
      <c r="I8" s="130">
        <f t="shared" ref="I8:I16" si="0">D8*H8</f>
        <v>409.5</v>
      </c>
      <c r="J8" s="203">
        <f t="shared" ref="J8:J16" si="1">H8*E8</f>
        <v>399.90000000000003</v>
      </c>
      <c r="K8" s="367">
        <f>H8*F8</f>
        <v>0</v>
      </c>
      <c r="L8" s="368">
        <f>K8+J8</f>
        <v>399.90000000000003</v>
      </c>
    </row>
    <row r="9" spans="1:29" ht="18.75" x14ac:dyDescent="0.25">
      <c r="A9" s="369">
        <v>1.02</v>
      </c>
      <c r="B9" s="370" t="s">
        <v>100</v>
      </c>
      <c r="C9" s="202" t="s">
        <v>12</v>
      </c>
      <c r="D9" s="130">
        <v>102.38</v>
      </c>
      <c r="E9" s="481">
        <v>24.65</v>
      </c>
      <c r="F9" s="208"/>
      <c r="G9" s="202">
        <f t="shared" ref="G9:G16" si="2">F9+E9</f>
        <v>24.65</v>
      </c>
      <c r="H9" s="130">
        <v>25</v>
      </c>
      <c r="I9" s="130">
        <f t="shared" si="0"/>
        <v>2559.5</v>
      </c>
      <c r="J9" s="203">
        <f t="shared" si="1"/>
        <v>616.25</v>
      </c>
      <c r="K9" s="367">
        <f t="shared" ref="K9:K16" si="3">H9*F9</f>
        <v>0</v>
      </c>
      <c r="L9" s="368">
        <f t="shared" ref="L9:L38" si="4">K9+J9</f>
        <v>616.25</v>
      </c>
    </row>
    <row r="10" spans="1:29" ht="18.75" x14ac:dyDescent="0.25">
      <c r="A10" s="369">
        <v>1.03</v>
      </c>
      <c r="B10" s="370" t="s">
        <v>201</v>
      </c>
      <c r="C10" s="202"/>
      <c r="D10" s="130"/>
      <c r="E10" s="481"/>
      <c r="F10" s="208"/>
      <c r="G10" s="202">
        <f t="shared" si="2"/>
        <v>0</v>
      </c>
      <c r="H10" s="130"/>
      <c r="I10" s="130">
        <f t="shared" si="0"/>
        <v>0</v>
      </c>
      <c r="J10" s="203">
        <f t="shared" si="1"/>
        <v>0</v>
      </c>
      <c r="K10" s="367">
        <f t="shared" si="3"/>
        <v>0</v>
      </c>
      <c r="L10" s="368">
        <f t="shared" si="4"/>
        <v>0</v>
      </c>
    </row>
    <row r="11" spans="1:29" ht="18.75" x14ac:dyDescent="0.25">
      <c r="A11" s="369"/>
      <c r="B11" s="370" t="s">
        <v>202</v>
      </c>
      <c r="C11" s="202" t="s">
        <v>12</v>
      </c>
      <c r="D11" s="130">
        <v>15</v>
      </c>
      <c r="E11" s="481"/>
      <c r="F11" s="208"/>
      <c r="G11" s="202">
        <f t="shared" si="2"/>
        <v>0</v>
      </c>
      <c r="H11" s="130">
        <v>45</v>
      </c>
      <c r="I11" s="130">
        <f t="shared" si="0"/>
        <v>675</v>
      </c>
      <c r="J11" s="203">
        <f t="shared" si="1"/>
        <v>0</v>
      </c>
      <c r="K11" s="367">
        <f t="shared" si="3"/>
        <v>0</v>
      </c>
      <c r="L11" s="368">
        <f t="shared" si="4"/>
        <v>0</v>
      </c>
    </row>
    <row r="12" spans="1:29" ht="18.75" x14ac:dyDescent="0.25">
      <c r="A12" s="369"/>
      <c r="B12" s="370" t="s">
        <v>203</v>
      </c>
      <c r="C12" s="202" t="s">
        <v>12</v>
      </c>
      <c r="D12" s="130">
        <v>10</v>
      </c>
      <c r="E12" s="481"/>
      <c r="F12" s="208"/>
      <c r="G12" s="202">
        <f t="shared" si="2"/>
        <v>0</v>
      </c>
      <c r="H12" s="130">
        <v>80</v>
      </c>
      <c r="I12" s="130">
        <f t="shared" si="0"/>
        <v>800</v>
      </c>
      <c r="J12" s="203">
        <f t="shared" si="1"/>
        <v>0</v>
      </c>
      <c r="K12" s="367">
        <f t="shared" si="3"/>
        <v>0</v>
      </c>
      <c r="L12" s="368">
        <f t="shared" si="4"/>
        <v>0</v>
      </c>
    </row>
    <row r="13" spans="1:29" ht="18.75" x14ac:dyDescent="0.25">
      <c r="A13" s="369">
        <v>1.04</v>
      </c>
      <c r="B13" s="370" t="s">
        <v>13</v>
      </c>
      <c r="C13" s="202" t="s">
        <v>12</v>
      </c>
      <c r="D13" s="130">
        <v>34.130000000000003</v>
      </c>
      <c r="E13" s="481"/>
      <c r="F13" s="208"/>
      <c r="G13" s="202">
        <f t="shared" si="2"/>
        <v>0</v>
      </c>
      <c r="H13" s="130">
        <v>35</v>
      </c>
      <c r="I13" s="130">
        <f t="shared" si="0"/>
        <v>1194.5500000000002</v>
      </c>
      <c r="J13" s="203">
        <f t="shared" si="1"/>
        <v>0</v>
      </c>
      <c r="K13" s="367">
        <f t="shared" si="3"/>
        <v>0</v>
      </c>
      <c r="L13" s="368">
        <f t="shared" si="4"/>
        <v>0</v>
      </c>
    </row>
    <row r="14" spans="1:29" ht="18.75" x14ac:dyDescent="0.25">
      <c r="A14" s="369">
        <v>1.05</v>
      </c>
      <c r="B14" s="370" t="s">
        <v>101</v>
      </c>
      <c r="C14" s="202" t="s">
        <v>12</v>
      </c>
      <c r="D14" s="130">
        <v>136.5</v>
      </c>
      <c r="E14" s="481">
        <v>45.2</v>
      </c>
      <c r="F14" s="208"/>
      <c r="G14" s="202">
        <f t="shared" si="2"/>
        <v>45.2</v>
      </c>
      <c r="H14" s="130">
        <v>40</v>
      </c>
      <c r="I14" s="130">
        <f t="shared" si="0"/>
        <v>5460</v>
      </c>
      <c r="J14" s="203">
        <f t="shared" si="1"/>
        <v>1808</v>
      </c>
      <c r="K14" s="367">
        <f t="shared" si="3"/>
        <v>0</v>
      </c>
      <c r="L14" s="368">
        <f t="shared" si="4"/>
        <v>1808</v>
      </c>
    </row>
    <row r="15" spans="1:29" ht="18.75" x14ac:dyDescent="0.25">
      <c r="A15" s="369">
        <v>1.06</v>
      </c>
      <c r="B15" s="369" t="s">
        <v>87</v>
      </c>
      <c r="C15" s="202" t="s">
        <v>12</v>
      </c>
      <c r="D15" s="130">
        <v>136.5</v>
      </c>
      <c r="E15" s="481">
        <v>89.47</v>
      </c>
      <c r="F15" s="208"/>
      <c r="G15" s="202">
        <f t="shared" si="2"/>
        <v>89.47</v>
      </c>
      <c r="H15" s="130">
        <v>25</v>
      </c>
      <c r="I15" s="130">
        <f t="shared" si="0"/>
        <v>3412.5</v>
      </c>
      <c r="J15" s="203">
        <f t="shared" si="1"/>
        <v>2236.75</v>
      </c>
      <c r="K15" s="367">
        <f t="shared" si="3"/>
        <v>0</v>
      </c>
      <c r="L15" s="368">
        <f t="shared" si="4"/>
        <v>2236.75</v>
      </c>
    </row>
    <row r="16" spans="1:29" ht="18" x14ac:dyDescent="0.2">
      <c r="A16" s="371">
        <v>1.07</v>
      </c>
      <c r="B16" s="371" t="s">
        <v>94</v>
      </c>
      <c r="C16" s="205" t="s">
        <v>11</v>
      </c>
      <c r="D16" s="140">
        <v>26.3</v>
      </c>
      <c r="E16" s="212">
        <v>17.75</v>
      </c>
      <c r="F16" s="202"/>
      <c r="G16" s="202">
        <f t="shared" si="2"/>
        <v>17.75</v>
      </c>
      <c r="H16" s="213">
        <v>105</v>
      </c>
      <c r="I16" s="130">
        <f t="shared" si="0"/>
        <v>2761.5</v>
      </c>
      <c r="J16" s="203">
        <f t="shared" si="1"/>
        <v>1863.75</v>
      </c>
      <c r="K16" s="367">
        <f t="shared" si="3"/>
        <v>0</v>
      </c>
      <c r="L16" s="368">
        <f t="shared" si="4"/>
        <v>1863.75</v>
      </c>
    </row>
    <row r="17" spans="1:29" s="587" customFormat="1" ht="18.75" thickBot="1" x14ac:dyDescent="0.25">
      <c r="A17" s="585"/>
      <c r="B17" s="1174" t="s">
        <v>64</v>
      </c>
      <c r="C17" s="1175"/>
      <c r="D17" s="1175"/>
      <c r="E17" s="1175"/>
      <c r="F17" s="1175"/>
      <c r="G17" s="1175"/>
      <c r="H17" s="1176"/>
      <c r="I17" s="586">
        <f>SUM(I8:I16)</f>
        <v>17272.55</v>
      </c>
      <c r="J17" s="586">
        <f>SUM(J8:J16)</f>
        <v>6924.65</v>
      </c>
      <c r="K17" s="586">
        <f>SUM(K8:K16)</f>
        <v>0</v>
      </c>
      <c r="L17" s="586">
        <f>SUM(L8:L16)</f>
        <v>6924.65</v>
      </c>
      <c r="M17" s="638"/>
      <c r="N17" s="638"/>
      <c r="O17" s="638"/>
      <c r="P17" s="638"/>
      <c r="Q17" s="638"/>
      <c r="R17" s="638"/>
      <c r="S17" s="638"/>
      <c r="T17" s="638"/>
      <c r="U17" s="638"/>
      <c r="V17" s="638"/>
      <c r="W17" s="638"/>
      <c r="X17" s="638"/>
      <c r="Y17" s="638"/>
      <c r="Z17" s="638"/>
      <c r="AA17" s="638"/>
      <c r="AB17" s="638"/>
      <c r="AC17" s="638"/>
    </row>
    <row r="18" spans="1:29" ht="18" x14ac:dyDescent="0.2">
      <c r="A18" s="376"/>
      <c r="B18" s="377" t="s">
        <v>193</v>
      </c>
      <c r="C18" s="165"/>
      <c r="D18" s="166"/>
      <c r="E18" s="165"/>
      <c r="F18" s="165"/>
      <c r="G18" s="164"/>
      <c r="H18" s="166"/>
      <c r="I18" s="166"/>
      <c r="J18" s="166"/>
      <c r="K18" s="206"/>
      <c r="L18" s="368">
        <f t="shared" si="4"/>
        <v>0</v>
      </c>
    </row>
    <row r="19" spans="1:29" ht="18" x14ac:dyDescent="0.2">
      <c r="A19" s="369">
        <v>2.1</v>
      </c>
      <c r="B19" s="370" t="s">
        <v>20</v>
      </c>
      <c r="C19" s="202"/>
      <c r="D19" s="207"/>
      <c r="E19" s="208"/>
      <c r="F19" s="208"/>
      <c r="G19" s="202"/>
      <c r="H19" s="130"/>
      <c r="I19" s="207"/>
      <c r="J19" s="207"/>
      <c r="K19" s="209"/>
      <c r="L19" s="368">
        <f t="shared" si="4"/>
        <v>0</v>
      </c>
    </row>
    <row r="20" spans="1:29" ht="18.75" x14ac:dyDescent="0.25">
      <c r="A20" s="457"/>
      <c r="B20" s="370" t="s">
        <v>21</v>
      </c>
      <c r="C20" s="202" t="s">
        <v>11</v>
      </c>
      <c r="D20" s="130">
        <v>11</v>
      </c>
      <c r="E20" s="380">
        <v>12.4</v>
      </c>
      <c r="F20" s="208"/>
      <c r="G20" s="202">
        <f>F20+E20</f>
        <v>12.4</v>
      </c>
      <c r="H20" s="130">
        <v>65</v>
      </c>
      <c r="I20" s="130">
        <f>D20*H20</f>
        <v>715</v>
      </c>
      <c r="J20" s="203">
        <f t="shared" ref="J20:J34" si="5">H20*E20</f>
        <v>806</v>
      </c>
      <c r="K20" s="367">
        <f t="shared" ref="K20:K34" si="6">H20*F20</f>
        <v>0</v>
      </c>
      <c r="L20" s="368">
        <f t="shared" si="4"/>
        <v>806</v>
      </c>
    </row>
    <row r="21" spans="1:29" ht="18.75" x14ac:dyDescent="0.25">
      <c r="A21" s="369"/>
      <c r="B21" s="370" t="s">
        <v>22</v>
      </c>
      <c r="C21" s="202" t="s">
        <v>11</v>
      </c>
      <c r="D21" s="130">
        <v>26.3</v>
      </c>
      <c r="E21" s="380">
        <v>0</v>
      </c>
      <c r="F21" s="208"/>
      <c r="G21" s="202">
        <f t="shared" ref="G21:G34" si="7">F21+E21</f>
        <v>0</v>
      </c>
      <c r="H21" s="130">
        <v>65</v>
      </c>
      <c r="I21" s="130">
        <f t="shared" ref="I21:I34" si="8">D21*H21</f>
        <v>1709.5</v>
      </c>
      <c r="J21" s="203">
        <f t="shared" si="5"/>
        <v>0</v>
      </c>
      <c r="K21" s="367">
        <f t="shared" si="6"/>
        <v>0</v>
      </c>
      <c r="L21" s="368">
        <f t="shared" si="4"/>
        <v>0</v>
      </c>
    </row>
    <row r="22" spans="1:29" ht="18.75" x14ac:dyDescent="0.25">
      <c r="A22" s="383">
        <v>2.2000000000000002</v>
      </c>
      <c r="B22" s="370" t="s">
        <v>165</v>
      </c>
      <c r="C22" s="202" t="s">
        <v>11</v>
      </c>
      <c r="D22" s="130">
        <v>38</v>
      </c>
      <c r="E22" s="380"/>
      <c r="F22" s="202"/>
      <c r="G22" s="202">
        <f t="shared" si="7"/>
        <v>0</v>
      </c>
      <c r="H22" s="130">
        <v>260</v>
      </c>
      <c r="I22" s="130">
        <f t="shared" si="8"/>
        <v>9880</v>
      </c>
      <c r="J22" s="203">
        <f t="shared" si="5"/>
        <v>0</v>
      </c>
      <c r="K22" s="367">
        <f t="shared" si="6"/>
        <v>0</v>
      </c>
      <c r="L22" s="368">
        <f t="shared" si="4"/>
        <v>0</v>
      </c>
    </row>
    <row r="23" spans="1:29" ht="18.75" x14ac:dyDescent="0.25">
      <c r="A23" s="369">
        <v>2.2999999999999998</v>
      </c>
      <c r="B23" s="366" t="s">
        <v>120</v>
      </c>
      <c r="C23" s="202"/>
      <c r="D23" s="130"/>
      <c r="E23" s="380"/>
      <c r="F23" s="208"/>
      <c r="G23" s="202">
        <f t="shared" si="7"/>
        <v>0</v>
      </c>
      <c r="H23" s="130"/>
      <c r="I23" s="130">
        <f t="shared" si="8"/>
        <v>0</v>
      </c>
      <c r="J23" s="203">
        <f t="shared" si="5"/>
        <v>0</v>
      </c>
      <c r="K23" s="367">
        <f t="shared" si="6"/>
        <v>0</v>
      </c>
      <c r="L23" s="368">
        <f t="shared" si="4"/>
        <v>0</v>
      </c>
    </row>
    <row r="24" spans="1:29" ht="18.75" x14ac:dyDescent="0.25">
      <c r="A24" s="369"/>
      <c r="B24" s="370" t="s">
        <v>84</v>
      </c>
      <c r="C24" s="202" t="s">
        <v>12</v>
      </c>
      <c r="D24" s="130">
        <v>2.44</v>
      </c>
      <c r="E24" s="380">
        <v>1.95</v>
      </c>
      <c r="F24" s="208"/>
      <c r="G24" s="202">
        <f t="shared" si="7"/>
        <v>1.95</v>
      </c>
      <c r="H24" s="130">
        <v>2600</v>
      </c>
      <c r="I24" s="130">
        <f t="shared" si="8"/>
        <v>6344</v>
      </c>
      <c r="J24" s="203">
        <f t="shared" si="5"/>
        <v>5070</v>
      </c>
      <c r="K24" s="367">
        <f t="shared" si="6"/>
        <v>0</v>
      </c>
      <c r="L24" s="368">
        <f t="shared" si="4"/>
        <v>5070</v>
      </c>
    </row>
    <row r="25" spans="1:29" ht="18.75" x14ac:dyDescent="0.25">
      <c r="A25" s="369"/>
      <c r="B25" s="370" t="s">
        <v>204</v>
      </c>
      <c r="C25" s="202" t="s">
        <v>12</v>
      </c>
      <c r="D25" s="130">
        <v>4.38</v>
      </c>
      <c r="E25" s="380">
        <v>0</v>
      </c>
      <c r="F25" s="208"/>
      <c r="G25" s="202">
        <f t="shared" si="7"/>
        <v>0</v>
      </c>
      <c r="H25" s="130">
        <v>2600</v>
      </c>
      <c r="I25" s="130">
        <f t="shared" si="8"/>
        <v>11388</v>
      </c>
      <c r="J25" s="203">
        <f t="shared" si="5"/>
        <v>0</v>
      </c>
      <c r="K25" s="367">
        <f t="shared" si="6"/>
        <v>0</v>
      </c>
      <c r="L25" s="368">
        <f t="shared" si="4"/>
        <v>0</v>
      </c>
    </row>
    <row r="26" spans="1:29" ht="18.75" x14ac:dyDescent="0.25">
      <c r="A26" s="369">
        <v>2.4</v>
      </c>
      <c r="B26" s="366" t="s">
        <v>109</v>
      </c>
      <c r="C26" s="202"/>
      <c r="D26" s="130"/>
      <c r="E26" s="380"/>
      <c r="F26" s="208"/>
      <c r="G26" s="202">
        <f t="shared" si="7"/>
        <v>0</v>
      </c>
      <c r="H26" s="130"/>
      <c r="I26" s="130">
        <f t="shared" si="8"/>
        <v>0</v>
      </c>
      <c r="J26" s="203">
        <f t="shared" si="5"/>
        <v>0</v>
      </c>
      <c r="K26" s="367">
        <f t="shared" si="6"/>
        <v>0</v>
      </c>
      <c r="L26" s="368">
        <f t="shared" si="4"/>
        <v>0</v>
      </c>
    </row>
    <row r="27" spans="1:29" ht="18.75" x14ac:dyDescent="0.25">
      <c r="A27" s="369"/>
      <c r="B27" s="370" t="s">
        <v>84</v>
      </c>
      <c r="C27" s="202" t="s">
        <v>11</v>
      </c>
      <c r="D27" s="130">
        <v>6.8</v>
      </c>
      <c r="E27" s="380">
        <v>19.52</v>
      </c>
      <c r="F27" s="208"/>
      <c r="G27" s="202">
        <f t="shared" si="7"/>
        <v>19.52</v>
      </c>
      <c r="H27" s="130">
        <v>85</v>
      </c>
      <c r="I27" s="130">
        <f t="shared" si="8"/>
        <v>578</v>
      </c>
      <c r="J27" s="203">
        <f t="shared" si="5"/>
        <v>1659.2</v>
      </c>
      <c r="K27" s="367">
        <f t="shared" si="6"/>
        <v>0</v>
      </c>
      <c r="L27" s="368">
        <f t="shared" si="4"/>
        <v>1659.2</v>
      </c>
    </row>
    <row r="28" spans="1:29" ht="18.75" x14ac:dyDescent="0.25">
      <c r="A28" s="369"/>
      <c r="B28" s="370" t="s">
        <v>546</v>
      </c>
      <c r="C28" s="202" t="s">
        <v>11</v>
      </c>
      <c r="D28" s="130">
        <v>50</v>
      </c>
      <c r="E28" s="380"/>
      <c r="F28" s="202">
        <v>42.63</v>
      </c>
      <c r="G28" s="202">
        <f t="shared" si="7"/>
        <v>42.63</v>
      </c>
      <c r="H28" s="130">
        <v>85</v>
      </c>
      <c r="I28" s="130">
        <f t="shared" si="8"/>
        <v>4250</v>
      </c>
      <c r="J28" s="203">
        <f t="shared" si="5"/>
        <v>0</v>
      </c>
      <c r="K28" s="367">
        <f t="shared" si="6"/>
        <v>3623.55</v>
      </c>
      <c r="L28" s="368">
        <f t="shared" si="4"/>
        <v>3623.55</v>
      </c>
      <c r="M28" s="644"/>
      <c r="N28" s="644"/>
      <c r="O28" s="644"/>
      <c r="P28" s="644"/>
      <c r="Q28" s="644"/>
      <c r="R28" s="644"/>
      <c r="S28" s="644"/>
      <c r="T28" s="644"/>
      <c r="U28" s="644"/>
      <c r="V28" s="644"/>
      <c r="W28" s="644"/>
      <c r="X28" s="644"/>
      <c r="Y28" s="644"/>
      <c r="Z28" s="644"/>
      <c r="AA28" s="644"/>
      <c r="AB28" s="644"/>
      <c r="AC28" s="644"/>
    </row>
    <row r="29" spans="1:29" ht="18.75" x14ac:dyDescent="0.25">
      <c r="A29" s="369"/>
      <c r="B29" s="370" t="s">
        <v>204</v>
      </c>
      <c r="C29" s="202" t="s">
        <v>11</v>
      </c>
      <c r="D29" s="130">
        <v>22</v>
      </c>
      <c r="E29" s="380"/>
      <c r="F29" s="208"/>
      <c r="G29" s="202">
        <f t="shared" si="7"/>
        <v>0</v>
      </c>
      <c r="H29" s="130">
        <v>85</v>
      </c>
      <c r="I29" s="130">
        <f t="shared" si="8"/>
        <v>1870</v>
      </c>
      <c r="J29" s="203">
        <f t="shared" si="5"/>
        <v>0</v>
      </c>
      <c r="K29" s="367">
        <f t="shared" si="6"/>
        <v>0</v>
      </c>
      <c r="L29" s="368">
        <f t="shared" si="4"/>
        <v>0</v>
      </c>
    </row>
    <row r="30" spans="1:29" ht="18.75" x14ac:dyDescent="0.25">
      <c r="A30" s="369">
        <v>2.5</v>
      </c>
      <c r="B30" s="366" t="s">
        <v>15</v>
      </c>
      <c r="C30" s="202"/>
      <c r="D30" s="130"/>
      <c r="E30" s="380"/>
      <c r="F30" s="208"/>
      <c r="G30" s="202">
        <f t="shared" si="7"/>
        <v>0</v>
      </c>
      <c r="H30" s="130"/>
      <c r="I30" s="130">
        <f t="shared" si="8"/>
        <v>0</v>
      </c>
      <c r="J30" s="203">
        <f t="shared" si="5"/>
        <v>0</v>
      </c>
      <c r="K30" s="367">
        <f t="shared" si="6"/>
        <v>0</v>
      </c>
      <c r="L30" s="368">
        <f t="shared" si="4"/>
        <v>0</v>
      </c>
    </row>
    <row r="31" spans="1:29" ht="18.75" x14ac:dyDescent="0.25">
      <c r="A31" s="369"/>
      <c r="B31" s="370" t="s">
        <v>205</v>
      </c>
      <c r="C31" s="202" t="s">
        <v>16</v>
      </c>
      <c r="D31" s="130">
        <v>125</v>
      </c>
      <c r="E31" s="380">
        <v>311.58</v>
      </c>
      <c r="F31" s="208"/>
      <c r="G31" s="202">
        <f t="shared" si="7"/>
        <v>311.58</v>
      </c>
      <c r="H31" s="130">
        <v>34</v>
      </c>
      <c r="I31" s="130">
        <f t="shared" si="8"/>
        <v>4250</v>
      </c>
      <c r="J31" s="203">
        <f t="shared" si="5"/>
        <v>10593.72</v>
      </c>
      <c r="K31" s="367">
        <f t="shared" si="6"/>
        <v>0</v>
      </c>
      <c r="L31" s="368">
        <f t="shared" si="4"/>
        <v>10593.72</v>
      </c>
    </row>
    <row r="32" spans="1:29" ht="18.75" x14ac:dyDescent="0.25">
      <c r="A32" s="369"/>
      <c r="B32" s="370" t="s">
        <v>43</v>
      </c>
      <c r="C32" s="202" t="s">
        <v>16</v>
      </c>
      <c r="D32" s="130">
        <v>58</v>
      </c>
      <c r="E32" s="380">
        <v>205.99</v>
      </c>
      <c r="F32" s="208"/>
      <c r="G32" s="202">
        <f t="shared" si="7"/>
        <v>205.99</v>
      </c>
      <c r="H32" s="130">
        <v>34</v>
      </c>
      <c r="I32" s="130">
        <f t="shared" si="8"/>
        <v>1972</v>
      </c>
      <c r="J32" s="203">
        <f t="shared" si="5"/>
        <v>7003.66</v>
      </c>
      <c r="K32" s="367">
        <f t="shared" si="6"/>
        <v>0</v>
      </c>
      <c r="L32" s="368">
        <f t="shared" si="4"/>
        <v>7003.66</v>
      </c>
    </row>
    <row r="33" spans="1:29" ht="18.75" x14ac:dyDescent="0.25">
      <c r="A33" s="369"/>
      <c r="B33" s="370" t="s">
        <v>206</v>
      </c>
      <c r="C33" s="202" t="s">
        <v>16</v>
      </c>
      <c r="D33" s="130">
        <v>51</v>
      </c>
      <c r="E33" s="380"/>
      <c r="F33" s="208"/>
      <c r="G33" s="202">
        <f t="shared" si="7"/>
        <v>0</v>
      </c>
      <c r="H33" s="130">
        <v>34</v>
      </c>
      <c r="I33" s="130">
        <f t="shared" si="8"/>
        <v>1734</v>
      </c>
      <c r="J33" s="203">
        <f t="shared" si="5"/>
        <v>0</v>
      </c>
      <c r="K33" s="367">
        <f t="shared" si="6"/>
        <v>0</v>
      </c>
      <c r="L33" s="368">
        <f t="shared" si="4"/>
        <v>0</v>
      </c>
    </row>
    <row r="34" spans="1:29" ht="18.75" x14ac:dyDescent="0.25">
      <c r="A34" s="371">
        <v>2.6</v>
      </c>
      <c r="B34" s="371" t="s">
        <v>224</v>
      </c>
      <c r="C34" s="205" t="s">
        <v>174</v>
      </c>
      <c r="D34" s="140">
        <v>26</v>
      </c>
      <c r="E34" s="466"/>
      <c r="F34" s="208"/>
      <c r="G34" s="202">
        <f t="shared" si="7"/>
        <v>0</v>
      </c>
      <c r="H34" s="140">
        <v>35</v>
      </c>
      <c r="I34" s="130">
        <f t="shared" si="8"/>
        <v>910</v>
      </c>
      <c r="J34" s="203">
        <f t="shared" si="5"/>
        <v>0</v>
      </c>
      <c r="K34" s="367">
        <f t="shared" si="6"/>
        <v>0</v>
      </c>
      <c r="L34" s="368">
        <f t="shared" si="4"/>
        <v>0</v>
      </c>
    </row>
    <row r="35" spans="1:29" s="587" customFormat="1" ht="18.75" thickBot="1" x14ac:dyDescent="0.25">
      <c r="A35" s="585"/>
      <c r="B35" s="1174" t="s">
        <v>64</v>
      </c>
      <c r="C35" s="1175"/>
      <c r="D35" s="1175"/>
      <c r="E35" s="1175"/>
      <c r="F35" s="1175"/>
      <c r="G35" s="1175"/>
      <c r="H35" s="1176"/>
      <c r="I35" s="586">
        <f>SUM(I20:I34)</f>
        <v>45600.5</v>
      </c>
      <c r="J35" s="586">
        <f>SUM(J20:J34)</f>
        <v>25132.579999999998</v>
      </c>
      <c r="K35" s="586">
        <f>SUM(K20:K34)</f>
        <v>3623.55</v>
      </c>
      <c r="L35" s="586">
        <f>SUM(L20:L34)</f>
        <v>28756.13</v>
      </c>
      <c r="M35" s="638"/>
      <c r="N35" s="638"/>
      <c r="O35" s="638"/>
      <c r="P35" s="638"/>
      <c r="Q35" s="638"/>
      <c r="R35" s="638"/>
      <c r="S35" s="638"/>
      <c r="T35" s="638"/>
      <c r="U35" s="638"/>
      <c r="V35" s="638"/>
      <c r="W35" s="638"/>
      <c r="X35" s="638"/>
      <c r="Y35" s="638"/>
      <c r="Z35" s="638"/>
      <c r="AA35" s="638"/>
      <c r="AB35" s="638"/>
      <c r="AC35" s="638"/>
    </row>
    <row r="36" spans="1:29" ht="18" x14ac:dyDescent="0.2">
      <c r="A36" s="365"/>
      <c r="B36" s="366" t="s">
        <v>194</v>
      </c>
      <c r="C36" s="208"/>
      <c r="D36" s="207"/>
      <c r="E36" s="208"/>
      <c r="F36" s="208"/>
      <c r="G36" s="417"/>
      <c r="H36" s="207"/>
      <c r="I36" s="207"/>
      <c r="J36" s="207"/>
      <c r="K36" s="209"/>
      <c r="L36" s="368">
        <f t="shared" si="4"/>
        <v>0</v>
      </c>
    </row>
    <row r="37" spans="1:29" ht="18.75" x14ac:dyDescent="0.25">
      <c r="A37" s="369">
        <v>3.1</v>
      </c>
      <c r="B37" s="370" t="s">
        <v>124</v>
      </c>
      <c r="C37" s="202" t="s">
        <v>12</v>
      </c>
      <c r="D37" s="130">
        <v>10.4</v>
      </c>
      <c r="E37" s="380">
        <v>9.44</v>
      </c>
      <c r="F37" s="208"/>
      <c r="G37" s="674">
        <f>F37+E37</f>
        <v>9.44</v>
      </c>
      <c r="H37" s="130">
        <v>800</v>
      </c>
      <c r="I37" s="130">
        <f>D37*H37</f>
        <v>8320</v>
      </c>
      <c r="J37" s="203">
        <f>H37*E37</f>
        <v>7552</v>
      </c>
      <c r="K37" s="209"/>
      <c r="L37" s="368">
        <f t="shared" si="4"/>
        <v>7552</v>
      </c>
    </row>
    <row r="38" spans="1:29" ht="18.75" x14ac:dyDescent="0.25">
      <c r="A38" s="371">
        <v>3.2</v>
      </c>
      <c r="B38" s="372" t="s">
        <v>119</v>
      </c>
      <c r="C38" s="205" t="s">
        <v>12</v>
      </c>
      <c r="D38" s="140">
        <v>3.2</v>
      </c>
      <c r="E38" s="466">
        <v>9.44</v>
      </c>
      <c r="F38" s="208"/>
      <c r="G38" s="691">
        <f>F38+E38</f>
        <v>9.44</v>
      </c>
      <c r="H38" s="140">
        <v>880</v>
      </c>
      <c r="I38" s="130">
        <f>D38*H38</f>
        <v>2816</v>
      </c>
      <c r="J38" s="203">
        <f>H38*E38</f>
        <v>8307.1999999999989</v>
      </c>
      <c r="K38" s="209"/>
      <c r="L38" s="368">
        <f t="shared" si="4"/>
        <v>8307.1999999999989</v>
      </c>
    </row>
    <row r="39" spans="1:29" s="587" customFormat="1" ht="18.75" thickBot="1" x14ac:dyDescent="0.25">
      <c r="A39" s="585"/>
      <c r="B39" s="1174" t="s">
        <v>64</v>
      </c>
      <c r="C39" s="1175"/>
      <c r="D39" s="1175"/>
      <c r="E39" s="1175"/>
      <c r="F39" s="1175"/>
      <c r="G39" s="1175"/>
      <c r="H39" s="1176"/>
      <c r="I39" s="586">
        <f>SUM(I37:I38)</f>
        <v>11136</v>
      </c>
      <c r="J39" s="586">
        <f>SUM(J37:J38)</f>
        <v>15859.199999999999</v>
      </c>
      <c r="K39" s="586">
        <f>SUM(K37:K38)</f>
        <v>0</v>
      </c>
      <c r="L39" s="586">
        <f>SUM(L37:L38)</f>
        <v>15859.199999999999</v>
      </c>
      <c r="M39" s="638"/>
      <c r="N39" s="638"/>
      <c r="O39" s="638"/>
      <c r="P39" s="638"/>
      <c r="Q39" s="638"/>
      <c r="R39" s="638"/>
      <c r="S39" s="638"/>
      <c r="T39" s="638"/>
      <c r="U39" s="638"/>
      <c r="V39" s="638"/>
      <c r="W39" s="638"/>
      <c r="X39" s="638"/>
      <c r="Y39" s="638"/>
      <c r="Z39" s="638"/>
      <c r="AA39" s="638"/>
      <c r="AB39" s="638"/>
      <c r="AC39" s="638"/>
    </row>
    <row r="40" spans="1:29" ht="18.75" x14ac:dyDescent="0.25">
      <c r="A40" s="482"/>
      <c r="B40" s="482"/>
      <c r="C40" s="482"/>
      <c r="D40" s="482"/>
      <c r="E40" s="482"/>
      <c r="F40" s="482"/>
      <c r="G40" s="482"/>
      <c r="H40" s="482"/>
      <c r="I40" s="482"/>
      <c r="J40" s="482"/>
      <c r="K40" s="482"/>
      <c r="L40" s="482"/>
    </row>
    <row r="41" spans="1:29" ht="18.75" x14ac:dyDescent="0.25">
      <c r="A41" s="482"/>
      <c r="B41" s="482" t="s">
        <v>234</v>
      </c>
      <c r="C41" s="482"/>
      <c r="D41" s="482"/>
      <c r="E41" s="482"/>
      <c r="F41" s="482"/>
      <c r="G41" s="482"/>
      <c r="H41" s="482"/>
      <c r="I41" s="482"/>
      <c r="J41" s="482"/>
      <c r="K41" s="482"/>
      <c r="L41" s="482"/>
    </row>
    <row r="42" spans="1:29" ht="15.75" thickBot="1" x14ac:dyDescent="0.25">
      <c r="A42" s="253"/>
      <c r="B42" s="1116" t="s">
        <v>200</v>
      </c>
      <c r="C42" s="1116"/>
      <c r="D42" s="1116"/>
      <c r="E42" s="1116"/>
      <c r="F42" s="1116"/>
      <c r="G42" s="1116"/>
      <c r="H42" s="1116"/>
      <c r="I42" s="1116"/>
      <c r="J42" s="1116"/>
      <c r="K42" s="1116"/>
      <c r="L42" s="254"/>
    </row>
    <row r="43" spans="1:29" s="254" customFormat="1" ht="21.75" customHeight="1" x14ac:dyDescent="0.15">
      <c r="A43" s="1107" t="s">
        <v>61</v>
      </c>
      <c r="B43" s="1128" t="s">
        <v>54</v>
      </c>
      <c r="C43" s="1128" t="s">
        <v>5</v>
      </c>
      <c r="D43" s="1117" t="s">
        <v>4</v>
      </c>
      <c r="E43" s="1118"/>
      <c r="F43" s="1119"/>
      <c r="G43" s="1128" t="s">
        <v>334</v>
      </c>
      <c r="H43" s="1110" t="s">
        <v>8</v>
      </c>
      <c r="I43" s="1136" t="s">
        <v>50</v>
      </c>
      <c r="J43" s="1118"/>
      <c r="K43" s="1119"/>
      <c r="L43" s="503"/>
      <c r="M43" s="616"/>
      <c r="N43" s="616"/>
      <c r="O43" s="616"/>
      <c r="P43" s="616"/>
      <c r="Q43" s="616"/>
      <c r="R43" s="616"/>
      <c r="S43" s="616"/>
      <c r="T43" s="616"/>
      <c r="U43" s="616"/>
      <c r="V43" s="616"/>
      <c r="W43" s="616"/>
      <c r="X43" s="616"/>
      <c r="Y43" s="616"/>
      <c r="Z43" s="616"/>
      <c r="AA43" s="616"/>
      <c r="AB43" s="616"/>
      <c r="AC43" s="616"/>
    </row>
    <row r="44" spans="1:29" s="254" customFormat="1" ht="19.5" customHeight="1" x14ac:dyDescent="0.15">
      <c r="A44" s="1108"/>
      <c r="B44" s="1129"/>
      <c r="C44" s="1129"/>
      <c r="D44" s="1130" t="s">
        <v>62</v>
      </c>
      <c r="E44" s="1120" t="s">
        <v>63</v>
      </c>
      <c r="F44" s="1121"/>
      <c r="G44" s="1129"/>
      <c r="H44" s="1111"/>
      <c r="I44" s="1122" t="s">
        <v>6</v>
      </c>
      <c r="J44" s="1134" t="s">
        <v>7</v>
      </c>
      <c r="K44" s="1135"/>
      <c r="L44" s="1132" t="s">
        <v>7</v>
      </c>
      <c r="M44" s="616"/>
      <c r="N44" s="616"/>
      <c r="O44" s="616"/>
      <c r="P44" s="616"/>
      <c r="Q44" s="616"/>
      <c r="R44" s="616"/>
      <c r="S44" s="616"/>
      <c r="T44" s="616"/>
      <c r="U44" s="616"/>
      <c r="V44" s="616"/>
      <c r="W44" s="616"/>
      <c r="X44" s="616"/>
      <c r="Y44" s="616"/>
      <c r="Z44" s="616"/>
      <c r="AA44" s="616"/>
      <c r="AB44" s="616"/>
      <c r="AC44" s="616"/>
    </row>
    <row r="45" spans="1:29" s="254" customFormat="1" ht="38.25" customHeight="1" thickBot="1" x14ac:dyDescent="0.2">
      <c r="A45" s="1109"/>
      <c r="B45" s="1123"/>
      <c r="C45" s="1123"/>
      <c r="D45" s="1131"/>
      <c r="E45" s="255" t="s">
        <v>98</v>
      </c>
      <c r="F45" s="255" t="s">
        <v>99</v>
      </c>
      <c r="G45" s="1129"/>
      <c r="H45" s="1112"/>
      <c r="I45" s="1123"/>
      <c r="J45" s="255" t="s">
        <v>98</v>
      </c>
      <c r="K45" s="255" t="s">
        <v>99</v>
      </c>
      <c r="L45" s="1133"/>
      <c r="M45" s="616"/>
      <c r="N45" s="616"/>
      <c r="O45" s="616"/>
      <c r="P45" s="616"/>
      <c r="Q45" s="616"/>
      <c r="R45" s="616"/>
      <c r="S45" s="616"/>
      <c r="T45" s="616"/>
      <c r="U45" s="616"/>
      <c r="V45" s="616"/>
      <c r="W45" s="616"/>
      <c r="X45" s="616"/>
      <c r="Y45" s="616"/>
      <c r="Z45" s="616"/>
      <c r="AA45" s="616"/>
      <c r="AB45" s="616"/>
      <c r="AC45" s="616"/>
    </row>
    <row r="46" spans="1:29" s="254" customFormat="1" ht="21" customHeight="1" thickBot="1" x14ac:dyDescent="0.2">
      <c r="A46" s="280" t="s">
        <v>102</v>
      </c>
      <c r="B46" s="257" t="s">
        <v>103</v>
      </c>
      <c r="C46" s="257" t="s">
        <v>104</v>
      </c>
      <c r="D46" s="258" t="s">
        <v>105</v>
      </c>
      <c r="E46" s="258" t="s">
        <v>106</v>
      </c>
      <c r="F46" s="258" t="s">
        <v>107</v>
      </c>
      <c r="G46" s="349"/>
      <c r="H46" s="259" t="s">
        <v>108</v>
      </c>
      <c r="I46" s="257" t="s">
        <v>116</v>
      </c>
      <c r="J46" s="258" t="s">
        <v>115</v>
      </c>
      <c r="K46" s="258" t="s">
        <v>114</v>
      </c>
      <c r="L46" s="260" t="s">
        <v>113</v>
      </c>
      <c r="M46" s="616"/>
      <c r="N46" s="616"/>
      <c r="O46" s="616"/>
      <c r="P46" s="616"/>
      <c r="Q46" s="616"/>
      <c r="R46" s="616"/>
      <c r="S46" s="616"/>
      <c r="T46" s="616"/>
      <c r="U46" s="616"/>
      <c r="V46" s="616"/>
      <c r="W46" s="616"/>
      <c r="X46" s="616"/>
      <c r="Y46" s="616"/>
      <c r="Z46" s="616"/>
      <c r="AA46" s="616"/>
      <c r="AB46" s="616"/>
      <c r="AC46" s="616"/>
    </row>
    <row r="47" spans="1:29" s="392" customFormat="1" ht="14.25" x14ac:dyDescent="0.15">
      <c r="A47" s="385"/>
      <c r="B47" s="386" t="s">
        <v>304</v>
      </c>
      <c r="C47" s="387"/>
      <c r="D47" s="388"/>
      <c r="E47" s="389"/>
      <c r="F47" s="390"/>
      <c r="G47" s="483"/>
      <c r="H47" s="390"/>
      <c r="I47" s="390"/>
      <c r="J47" s="390"/>
      <c r="K47" s="390"/>
      <c r="L47" s="391"/>
    </row>
    <row r="48" spans="1:29" s="392" customFormat="1" ht="20.25" customHeight="1" x14ac:dyDescent="0.2">
      <c r="A48" s="393"/>
      <c r="B48" s="394" t="s">
        <v>305</v>
      </c>
      <c r="C48" s="395"/>
      <c r="D48" s="396"/>
      <c r="E48" s="397"/>
      <c r="F48" s="243"/>
      <c r="G48" s="239"/>
      <c r="H48" s="243"/>
      <c r="I48" s="243"/>
      <c r="J48" s="243"/>
      <c r="K48" s="243"/>
      <c r="L48" s="398"/>
    </row>
    <row r="49" spans="1:29" s="392" customFormat="1" ht="20.25" customHeight="1" x14ac:dyDescent="0.2">
      <c r="A49" s="399">
        <v>1.01</v>
      </c>
      <c r="B49" s="400" t="s">
        <v>306</v>
      </c>
      <c r="C49" s="395"/>
      <c r="D49" s="396"/>
      <c r="E49" s="397"/>
      <c r="F49" s="243"/>
      <c r="G49" s="239"/>
      <c r="H49" s="243"/>
      <c r="I49" s="243"/>
      <c r="J49" s="243"/>
      <c r="K49" s="243"/>
      <c r="L49" s="398"/>
    </row>
    <row r="50" spans="1:29" s="392" customFormat="1" ht="20.25" customHeight="1" x14ac:dyDescent="0.2">
      <c r="A50" s="399"/>
      <c r="B50" s="401" t="s">
        <v>307</v>
      </c>
      <c r="C50" s="402" t="s">
        <v>318</v>
      </c>
      <c r="D50" s="403">
        <v>1</v>
      </c>
      <c r="E50" s="239">
        <v>1.5</v>
      </c>
      <c r="F50" s="239"/>
      <c r="G50" s="239">
        <f>F50+E50</f>
        <v>1.5</v>
      </c>
      <c r="H50" s="403">
        <v>2600</v>
      </c>
      <c r="I50" s="239">
        <f>H50*D50</f>
        <v>2600</v>
      </c>
      <c r="J50" s="239">
        <f>H50*E50</f>
        <v>3900</v>
      </c>
      <c r="K50" s="239">
        <f>H50*F50</f>
        <v>0</v>
      </c>
      <c r="L50" s="398">
        <f>K50+J50</f>
        <v>3900</v>
      </c>
    </row>
    <row r="51" spans="1:29" s="392" customFormat="1" ht="20.25" customHeight="1" x14ac:dyDescent="0.2">
      <c r="A51" s="399"/>
      <c r="B51" s="401" t="s">
        <v>308</v>
      </c>
      <c r="C51" s="402" t="s">
        <v>318</v>
      </c>
      <c r="D51" s="403">
        <v>1.22</v>
      </c>
      <c r="E51" s="239">
        <v>1.98</v>
      </c>
      <c r="F51" s="239"/>
      <c r="G51" s="239">
        <f t="shared" ref="G51:G60" si="9">F51+E51</f>
        <v>1.98</v>
      </c>
      <c r="H51" s="403">
        <v>2600</v>
      </c>
      <c r="I51" s="239">
        <f>H51*D51</f>
        <v>3172</v>
      </c>
      <c r="J51" s="239">
        <f t="shared" ref="J51:J60" si="10">H51*E51</f>
        <v>5148</v>
      </c>
      <c r="K51" s="239">
        <f t="shared" ref="K51:K60" si="11">H51*F51</f>
        <v>0</v>
      </c>
      <c r="L51" s="398">
        <f t="shared" ref="L51:L60" si="12">K51+J51</f>
        <v>5148</v>
      </c>
    </row>
    <row r="52" spans="1:29" s="392" customFormat="1" ht="20.25" customHeight="1" x14ac:dyDescent="0.2">
      <c r="A52" s="399"/>
      <c r="B52" s="401" t="s">
        <v>327</v>
      </c>
      <c r="C52" s="402" t="s">
        <v>318</v>
      </c>
      <c r="D52" s="403">
        <v>5.57</v>
      </c>
      <c r="E52" s="239">
        <v>4.54</v>
      </c>
      <c r="F52" s="239"/>
      <c r="G52" s="239">
        <f t="shared" si="9"/>
        <v>4.54</v>
      </c>
      <c r="H52" s="403">
        <v>2600</v>
      </c>
      <c r="I52" s="239">
        <f>H52*D52</f>
        <v>14482</v>
      </c>
      <c r="J52" s="239">
        <f t="shared" si="10"/>
        <v>11804</v>
      </c>
      <c r="K52" s="239">
        <f t="shared" si="11"/>
        <v>0</v>
      </c>
      <c r="L52" s="398">
        <f t="shared" si="12"/>
        <v>11804</v>
      </c>
    </row>
    <row r="53" spans="1:29" s="392" customFormat="1" ht="20.25" customHeight="1" x14ac:dyDescent="0.2">
      <c r="A53" s="404">
        <v>1.02</v>
      </c>
      <c r="B53" s="400" t="s">
        <v>310</v>
      </c>
      <c r="C53" s="402"/>
      <c r="D53" s="403"/>
      <c r="E53" s="403"/>
      <c r="F53" s="403"/>
      <c r="G53" s="239">
        <f t="shared" si="9"/>
        <v>0</v>
      </c>
      <c r="H53" s="239"/>
      <c r="I53" s="239"/>
      <c r="J53" s="239"/>
      <c r="K53" s="239"/>
      <c r="L53" s="398"/>
    </row>
    <row r="54" spans="1:29" s="392" customFormat="1" ht="20.25" customHeight="1" x14ac:dyDescent="0.2">
      <c r="A54" s="399"/>
      <c r="B54" s="401" t="s">
        <v>311</v>
      </c>
      <c r="C54" s="402" t="s">
        <v>303</v>
      </c>
      <c r="D54" s="403">
        <v>57.13</v>
      </c>
      <c r="E54" s="239">
        <v>96.8</v>
      </c>
      <c r="F54" s="239"/>
      <c r="G54" s="239">
        <f t="shared" si="9"/>
        <v>96.8</v>
      </c>
      <c r="H54" s="403">
        <v>85</v>
      </c>
      <c r="I54" s="239">
        <f>H54*D54</f>
        <v>4856.05</v>
      </c>
      <c r="J54" s="239">
        <f t="shared" si="10"/>
        <v>8228</v>
      </c>
      <c r="K54" s="239">
        <f t="shared" si="11"/>
        <v>0</v>
      </c>
      <c r="L54" s="398">
        <f t="shared" si="12"/>
        <v>8228</v>
      </c>
    </row>
    <row r="55" spans="1:29" s="392" customFormat="1" ht="20.25" customHeight="1" x14ac:dyDescent="0.2">
      <c r="A55" s="399"/>
      <c r="B55" s="401" t="s">
        <v>312</v>
      </c>
      <c r="C55" s="402" t="s">
        <v>303</v>
      </c>
      <c r="D55" s="403">
        <v>50</v>
      </c>
      <c r="E55" s="239">
        <v>0</v>
      </c>
      <c r="F55" s="239"/>
      <c r="G55" s="239">
        <f t="shared" si="9"/>
        <v>0</v>
      </c>
      <c r="H55" s="403">
        <v>85</v>
      </c>
      <c r="I55" s="239">
        <f>H55*D55</f>
        <v>4250</v>
      </c>
      <c r="J55" s="239">
        <f t="shared" si="10"/>
        <v>0</v>
      </c>
      <c r="K55" s="239">
        <f t="shared" si="11"/>
        <v>0</v>
      </c>
      <c r="L55" s="398">
        <f t="shared" si="12"/>
        <v>0</v>
      </c>
    </row>
    <row r="56" spans="1:29" s="392" customFormat="1" ht="20.25" customHeight="1" x14ac:dyDescent="0.2">
      <c r="A56" s="399"/>
      <c r="B56" s="401" t="s">
        <v>313</v>
      </c>
      <c r="C56" s="402" t="s">
        <v>303</v>
      </c>
      <c r="D56" s="403">
        <v>3.41</v>
      </c>
      <c r="E56" s="239">
        <v>0</v>
      </c>
      <c r="F56" s="239"/>
      <c r="G56" s="239">
        <f t="shared" si="9"/>
        <v>0</v>
      </c>
      <c r="H56" s="403">
        <v>85</v>
      </c>
      <c r="I56" s="239">
        <f>H56*D56</f>
        <v>289.85000000000002</v>
      </c>
      <c r="J56" s="239">
        <f t="shared" si="10"/>
        <v>0</v>
      </c>
      <c r="K56" s="239">
        <f t="shared" si="11"/>
        <v>0</v>
      </c>
      <c r="L56" s="398">
        <f t="shared" si="12"/>
        <v>0</v>
      </c>
    </row>
    <row r="57" spans="1:29" s="392" customFormat="1" ht="20.25" customHeight="1" x14ac:dyDescent="0.2">
      <c r="A57" s="404">
        <v>1.03</v>
      </c>
      <c r="B57" s="400" t="s">
        <v>314</v>
      </c>
      <c r="C57" s="402"/>
      <c r="D57" s="403"/>
      <c r="E57" s="403"/>
      <c r="F57" s="403"/>
      <c r="G57" s="239"/>
      <c r="H57" s="239"/>
      <c r="I57" s="239"/>
      <c r="J57" s="239"/>
      <c r="K57" s="239"/>
      <c r="L57" s="398"/>
    </row>
    <row r="58" spans="1:29" s="392" customFormat="1" ht="20.25" customHeight="1" x14ac:dyDescent="0.2">
      <c r="A58" s="399"/>
      <c r="B58" s="401" t="s">
        <v>328</v>
      </c>
      <c r="C58" s="402" t="s">
        <v>246</v>
      </c>
      <c r="D58" s="239">
        <v>217</v>
      </c>
      <c r="E58" s="239">
        <v>231.24</v>
      </c>
      <c r="F58" s="239">
        <v>195</v>
      </c>
      <c r="G58" s="239">
        <f t="shared" si="9"/>
        <v>426.24</v>
      </c>
      <c r="H58" s="403">
        <v>34</v>
      </c>
      <c r="I58" s="239">
        <f>H58*D58</f>
        <v>7378</v>
      </c>
      <c r="J58" s="239">
        <f t="shared" si="10"/>
        <v>7862.16</v>
      </c>
      <c r="K58" s="239">
        <f t="shared" si="11"/>
        <v>6630</v>
      </c>
      <c r="L58" s="398">
        <f t="shared" si="12"/>
        <v>14492.16</v>
      </c>
    </row>
    <row r="59" spans="1:29" s="392" customFormat="1" ht="20.25" customHeight="1" x14ac:dyDescent="0.2">
      <c r="A59" s="399"/>
      <c r="B59" s="401" t="s">
        <v>329</v>
      </c>
      <c r="C59" s="402" t="s">
        <v>16</v>
      </c>
      <c r="D59" s="239">
        <v>330</v>
      </c>
      <c r="E59" s="239">
        <v>265.27</v>
      </c>
      <c r="F59" s="239">
        <v>160.91999999999999</v>
      </c>
      <c r="G59" s="239">
        <f t="shared" si="9"/>
        <v>426.18999999999994</v>
      </c>
      <c r="H59" s="403">
        <v>34</v>
      </c>
      <c r="I59" s="239">
        <f>H59*D59</f>
        <v>11220</v>
      </c>
      <c r="J59" s="239">
        <f t="shared" si="10"/>
        <v>9019.18</v>
      </c>
      <c r="K59" s="239">
        <f t="shared" si="11"/>
        <v>5471.28</v>
      </c>
      <c r="L59" s="398">
        <f t="shared" si="12"/>
        <v>14490.46</v>
      </c>
    </row>
    <row r="60" spans="1:29" s="392" customFormat="1" ht="20.25" customHeight="1" thickBot="1" x14ac:dyDescent="0.25">
      <c r="A60" s="405"/>
      <c r="B60" s="406" t="s">
        <v>330</v>
      </c>
      <c r="C60" s="407" t="s">
        <v>246</v>
      </c>
      <c r="D60" s="408">
        <v>217</v>
      </c>
      <c r="E60" s="240">
        <v>0</v>
      </c>
      <c r="F60" s="240"/>
      <c r="G60" s="239">
        <f t="shared" si="9"/>
        <v>0</v>
      </c>
      <c r="H60" s="403">
        <v>34</v>
      </c>
      <c r="I60" s="240">
        <f>H60*D60</f>
        <v>7378</v>
      </c>
      <c r="J60" s="240">
        <f t="shared" si="10"/>
        <v>0</v>
      </c>
      <c r="K60" s="239">
        <f t="shared" si="11"/>
        <v>0</v>
      </c>
      <c r="L60" s="398">
        <f t="shared" si="12"/>
        <v>0</v>
      </c>
    </row>
    <row r="61" spans="1:29" s="569" customFormat="1" ht="20.25" customHeight="1" thickBot="1" x14ac:dyDescent="0.25">
      <c r="A61" s="590"/>
      <c r="B61" s="591" t="s">
        <v>64</v>
      </c>
      <c r="C61" s="592"/>
      <c r="D61" s="592"/>
      <c r="E61" s="591"/>
      <c r="F61" s="591"/>
      <c r="G61" s="604"/>
      <c r="H61" s="591"/>
      <c r="I61" s="591">
        <f>SUM(I50:I60)</f>
        <v>55625.899999999994</v>
      </c>
      <c r="J61" s="591">
        <f>SUM(J50:J60)</f>
        <v>45961.340000000004</v>
      </c>
      <c r="K61" s="591">
        <f>SUM(K50:K60)</f>
        <v>12101.279999999999</v>
      </c>
      <c r="L61" s="591">
        <f>SUM(L50:L60)</f>
        <v>58062.62</v>
      </c>
      <c r="M61" s="616"/>
      <c r="N61" s="616"/>
      <c r="O61" s="616"/>
      <c r="P61" s="616"/>
      <c r="Q61" s="616"/>
      <c r="R61" s="616"/>
      <c r="S61" s="616"/>
      <c r="T61" s="616"/>
      <c r="U61" s="616"/>
      <c r="V61" s="616"/>
      <c r="W61" s="616"/>
      <c r="X61" s="616"/>
      <c r="Y61" s="616"/>
      <c r="Z61" s="616"/>
      <c r="AA61" s="616"/>
      <c r="AB61" s="616"/>
      <c r="AC61" s="616"/>
    </row>
    <row r="62" spans="1:29" s="569" customFormat="1" ht="20.25" customHeight="1" x14ac:dyDescent="0.2">
      <c r="A62" s="722"/>
      <c r="B62" s="91"/>
      <c r="C62" s="723"/>
      <c r="D62" s="723"/>
      <c r="E62" s="91"/>
      <c r="F62" s="91"/>
      <c r="G62" s="965"/>
      <c r="H62" s="91"/>
      <c r="I62" s="91"/>
      <c r="J62" s="91"/>
      <c r="K62" s="91"/>
      <c r="L62" s="91"/>
      <c r="M62" s="616"/>
      <c r="N62" s="616"/>
      <c r="O62" s="616"/>
      <c r="P62" s="616"/>
      <c r="Q62" s="616"/>
      <c r="R62" s="616"/>
      <c r="S62" s="616"/>
      <c r="T62" s="616"/>
      <c r="U62" s="616"/>
      <c r="V62" s="616"/>
      <c r="W62" s="616"/>
      <c r="X62" s="616"/>
      <c r="Y62" s="616"/>
      <c r="Z62" s="616"/>
      <c r="AA62" s="616"/>
      <c r="AB62" s="616"/>
      <c r="AC62" s="616"/>
    </row>
    <row r="63" spans="1:29" s="569" customFormat="1" ht="20.25" customHeight="1" x14ac:dyDescent="0.2">
      <c r="A63" s="722"/>
      <c r="B63" s="91"/>
      <c r="C63" s="723"/>
      <c r="D63" s="723"/>
      <c r="E63" s="91"/>
      <c r="F63" s="91"/>
      <c r="G63" s="965"/>
      <c r="H63" s="91"/>
      <c r="I63" s="91"/>
      <c r="J63" s="91"/>
      <c r="K63" s="91"/>
      <c r="L63" s="91"/>
      <c r="M63" s="616"/>
      <c r="N63" s="616"/>
      <c r="O63" s="616"/>
      <c r="P63" s="616"/>
      <c r="Q63" s="616"/>
      <c r="R63" s="616"/>
      <c r="S63" s="616"/>
      <c r="T63" s="616"/>
      <c r="U63" s="616"/>
      <c r="V63" s="616"/>
      <c r="W63" s="616"/>
      <c r="X63" s="616"/>
      <c r="Y63" s="616"/>
      <c r="Z63" s="616"/>
      <c r="AA63" s="616"/>
      <c r="AB63" s="616"/>
      <c r="AC63" s="616"/>
    </row>
    <row r="64" spans="1:29" s="84" customFormat="1" ht="18" x14ac:dyDescent="0.2">
      <c r="B64" s="432" t="s">
        <v>233</v>
      </c>
      <c r="C64" s="432"/>
      <c r="D64" s="432"/>
      <c r="E64" s="432"/>
      <c r="F64" s="432"/>
      <c r="G64" s="432"/>
      <c r="H64" s="432"/>
      <c r="I64" s="432"/>
      <c r="J64" s="432" t="s">
        <v>343</v>
      </c>
      <c r="K64" s="432"/>
      <c r="L64" s="432"/>
      <c r="M64" s="626"/>
      <c r="N64" s="626"/>
      <c r="O64" s="626"/>
      <c r="P64" s="626"/>
      <c r="Q64" s="626"/>
      <c r="R64" s="626"/>
      <c r="S64" s="626"/>
      <c r="T64" s="626"/>
      <c r="U64" s="626"/>
      <c r="V64" s="626"/>
      <c r="W64" s="626"/>
    </row>
  </sheetData>
  <mergeCells count="29">
    <mergeCell ref="L44:L45"/>
    <mergeCell ref="A43:A45"/>
    <mergeCell ref="B43:B45"/>
    <mergeCell ref="C43:C45"/>
    <mergeCell ref="B17:H17"/>
    <mergeCell ref="I43:K43"/>
    <mergeCell ref="J44:K44"/>
    <mergeCell ref="D43:F43"/>
    <mergeCell ref="B35:H35"/>
    <mergeCell ref="B39:H39"/>
    <mergeCell ref="L3:L4"/>
    <mergeCell ref="B1:K1"/>
    <mergeCell ref="A2:A4"/>
    <mergeCell ref="B2:B4"/>
    <mergeCell ref="C2:C4"/>
    <mergeCell ref="D2:F2"/>
    <mergeCell ref="H2:H4"/>
    <mergeCell ref="I3:I4"/>
    <mergeCell ref="G2:G4"/>
    <mergeCell ref="I2:K2"/>
    <mergeCell ref="G43:G45"/>
    <mergeCell ref="D44:D45"/>
    <mergeCell ref="E44:F44"/>
    <mergeCell ref="H43:H45"/>
    <mergeCell ref="D3:D4"/>
    <mergeCell ref="E3:F3"/>
    <mergeCell ref="B42:K42"/>
    <mergeCell ref="I44:I45"/>
    <mergeCell ref="J3:K3"/>
  </mergeCells>
  <pageMargins left="0.6" right="0.28999999999999998" top="0.75" bottom="0.75" header="0.3" footer="0.3"/>
  <pageSetup scale="63" orientation="landscape" r:id="rId1"/>
  <rowBreaks count="1" manualBreakCount="1">
    <brk id="41" max="11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34"/>
  <sheetViews>
    <sheetView zoomScale="70" zoomScaleNormal="60" zoomScaleSheetLayoutView="70" workbookViewId="0">
      <pane ySplit="4" topLeftCell="A93" activePane="bottomLeft" state="frozen"/>
      <selection pane="bottomLeft" activeCell="F4" sqref="F1:F65536"/>
    </sheetView>
  </sheetViews>
  <sheetFormatPr defaultColWidth="9.14453125" defaultRowHeight="15" x14ac:dyDescent="0.2"/>
  <cols>
    <col min="1" max="1" width="9.68359375" style="351" customWidth="1"/>
    <col min="2" max="2" width="49.234375" style="351" customWidth="1"/>
    <col min="3" max="3" width="8.47265625" style="351" customWidth="1"/>
    <col min="4" max="4" width="13.44921875" style="351" customWidth="1"/>
    <col min="5" max="5" width="15.6015625" style="351" customWidth="1"/>
    <col min="6" max="6" width="18.16015625" style="351" customWidth="1"/>
    <col min="7" max="7" width="16.41015625" style="71" customWidth="1"/>
    <col min="8" max="8" width="16.8125" style="351" customWidth="1"/>
    <col min="9" max="9" width="21.1171875" style="351" customWidth="1"/>
    <col min="10" max="10" width="20.3125" style="351" customWidth="1"/>
    <col min="11" max="11" width="19.37109375" style="351" customWidth="1"/>
    <col min="12" max="12" width="24.34765625" style="351" customWidth="1"/>
    <col min="13" max="13" width="11.56640625" style="644" bestFit="1" customWidth="1"/>
    <col min="14" max="21" width="9.14453125" style="638"/>
    <col min="22" max="16384" width="9.14453125" style="351"/>
  </cols>
  <sheetData>
    <row r="1" spans="1:21" ht="15.75" thickBot="1" x14ac:dyDescent="0.25">
      <c r="A1" s="253"/>
      <c r="B1" s="1116" t="s">
        <v>192</v>
      </c>
      <c r="C1" s="1116"/>
      <c r="D1" s="1116"/>
      <c r="E1" s="1116"/>
      <c r="F1" s="1116"/>
      <c r="G1" s="1116"/>
      <c r="H1" s="1116"/>
      <c r="I1" s="1116"/>
      <c r="J1" s="1116"/>
      <c r="K1" s="1116"/>
      <c r="L1" s="254"/>
    </row>
    <row r="2" spans="1:21" s="254" customFormat="1" ht="21.75" customHeight="1" x14ac:dyDescent="0.15">
      <c r="A2" s="1107" t="s">
        <v>61</v>
      </c>
      <c r="B2" s="1128" t="s">
        <v>54</v>
      </c>
      <c r="C2" s="1128" t="s">
        <v>5</v>
      </c>
      <c r="D2" s="1117" t="s">
        <v>4</v>
      </c>
      <c r="E2" s="1118"/>
      <c r="F2" s="1119"/>
      <c r="G2" s="1128" t="s">
        <v>334</v>
      </c>
      <c r="H2" s="1110" t="s">
        <v>8</v>
      </c>
      <c r="I2" s="1136" t="s">
        <v>50</v>
      </c>
      <c r="J2" s="1118"/>
      <c r="K2" s="1119"/>
      <c r="L2" s="503"/>
      <c r="M2" s="616"/>
      <c r="N2" s="616"/>
      <c r="O2" s="616"/>
      <c r="P2" s="616"/>
      <c r="Q2" s="616"/>
      <c r="R2" s="616"/>
      <c r="S2" s="616"/>
      <c r="T2" s="616"/>
      <c r="U2" s="616"/>
    </row>
    <row r="3" spans="1:21" s="254" customFormat="1" ht="19.5" customHeight="1" x14ac:dyDescent="0.15">
      <c r="A3" s="1108"/>
      <c r="B3" s="1129"/>
      <c r="C3" s="1129"/>
      <c r="D3" s="1130" t="s">
        <v>62</v>
      </c>
      <c r="E3" s="1120" t="s">
        <v>63</v>
      </c>
      <c r="F3" s="1121"/>
      <c r="G3" s="1129"/>
      <c r="H3" s="1111"/>
      <c r="I3" s="1122" t="s">
        <v>6</v>
      </c>
      <c r="J3" s="1134" t="s">
        <v>7</v>
      </c>
      <c r="K3" s="1135"/>
      <c r="L3" s="1132" t="s">
        <v>336</v>
      </c>
      <c r="M3" s="616"/>
      <c r="N3" s="616"/>
      <c r="O3" s="616"/>
      <c r="P3" s="616"/>
      <c r="Q3" s="616"/>
      <c r="R3" s="616"/>
      <c r="S3" s="616"/>
      <c r="T3" s="616"/>
      <c r="U3" s="616"/>
    </row>
    <row r="4" spans="1:21" s="254" customFormat="1" ht="21" customHeight="1" thickBot="1" x14ac:dyDescent="0.2">
      <c r="A4" s="1109"/>
      <c r="B4" s="1123"/>
      <c r="C4" s="1123"/>
      <c r="D4" s="1131"/>
      <c r="E4" s="255" t="s">
        <v>98</v>
      </c>
      <c r="F4" s="255" t="s">
        <v>99</v>
      </c>
      <c r="G4" s="1129"/>
      <c r="H4" s="1112"/>
      <c r="I4" s="1123"/>
      <c r="J4" s="255" t="s">
        <v>98</v>
      </c>
      <c r="K4" s="255" t="s">
        <v>99</v>
      </c>
      <c r="L4" s="1133"/>
      <c r="M4" s="616"/>
      <c r="N4" s="616"/>
      <c r="O4" s="616"/>
      <c r="P4" s="616"/>
      <c r="Q4" s="616"/>
      <c r="R4" s="616"/>
      <c r="S4" s="616"/>
      <c r="T4" s="616"/>
      <c r="U4" s="616"/>
    </row>
    <row r="5" spans="1:21" s="254" customFormat="1" ht="21" customHeight="1" thickBot="1" x14ac:dyDescent="0.2">
      <c r="A5" s="280" t="s">
        <v>102</v>
      </c>
      <c r="B5" s="257" t="s">
        <v>103</v>
      </c>
      <c r="C5" s="257" t="s">
        <v>104</v>
      </c>
      <c r="D5" s="258" t="s">
        <v>105</v>
      </c>
      <c r="E5" s="258" t="s">
        <v>106</v>
      </c>
      <c r="F5" s="258" t="s">
        <v>107</v>
      </c>
      <c r="G5" s="689"/>
      <c r="H5" s="259" t="s">
        <v>108</v>
      </c>
      <c r="I5" s="257" t="s">
        <v>116</v>
      </c>
      <c r="J5" s="258" t="s">
        <v>115</v>
      </c>
      <c r="K5" s="258" t="s">
        <v>114</v>
      </c>
      <c r="L5" s="260" t="s">
        <v>113</v>
      </c>
      <c r="M5" s="616"/>
      <c r="N5" s="616"/>
      <c r="O5" s="616"/>
      <c r="P5" s="616"/>
      <c r="Q5" s="616"/>
      <c r="R5" s="616"/>
      <c r="S5" s="616"/>
      <c r="T5" s="616"/>
      <c r="U5" s="616"/>
    </row>
    <row r="6" spans="1:21" ht="18" x14ac:dyDescent="0.2">
      <c r="A6" s="358"/>
      <c r="B6" s="359" t="s">
        <v>9</v>
      </c>
      <c r="C6" s="360"/>
      <c r="D6" s="361"/>
      <c r="E6" s="360"/>
      <c r="F6" s="360"/>
      <c r="G6" s="162"/>
      <c r="H6" s="361"/>
      <c r="I6" s="361"/>
      <c r="J6" s="362"/>
      <c r="K6" s="363"/>
      <c r="L6" s="364"/>
    </row>
    <row r="7" spans="1:21" ht="18" x14ac:dyDescent="0.2">
      <c r="A7" s="365">
        <v>1</v>
      </c>
      <c r="B7" s="366" t="s">
        <v>10</v>
      </c>
      <c r="C7" s="208"/>
      <c r="D7" s="207"/>
      <c r="E7" s="208"/>
      <c r="F7" s="208"/>
      <c r="G7" s="40"/>
      <c r="H7" s="207"/>
      <c r="I7" s="207"/>
      <c r="J7" s="244"/>
      <c r="K7" s="367"/>
      <c r="L7" s="368"/>
    </row>
    <row r="8" spans="1:21" ht="18" x14ac:dyDescent="0.2">
      <c r="A8" s="369">
        <v>1.01</v>
      </c>
      <c r="B8" s="370" t="s">
        <v>18</v>
      </c>
      <c r="C8" s="202" t="s">
        <v>11</v>
      </c>
      <c r="D8" s="130">
        <v>403.52</v>
      </c>
      <c r="E8" s="202">
        <v>362.3</v>
      </c>
      <c r="F8" s="208"/>
      <c r="G8" s="127">
        <f t="shared" ref="G8:G13" si="0">F8+E8</f>
        <v>362.3</v>
      </c>
      <c r="H8" s="130">
        <f>DIAGONSTIC!H8</f>
        <v>6</v>
      </c>
      <c r="I8" s="130">
        <f t="shared" ref="I8:I13" si="1">D8*H8</f>
        <v>2421.12</v>
      </c>
      <c r="J8" s="214">
        <f t="shared" ref="J8:J13" si="2">E8*H8</f>
        <v>2173.8000000000002</v>
      </c>
      <c r="K8" s="214"/>
      <c r="L8" s="368">
        <f>K8+J8</f>
        <v>2173.8000000000002</v>
      </c>
    </row>
    <row r="9" spans="1:21" ht="18" x14ac:dyDescent="0.2">
      <c r="A9" s="369">
        <v>1.02</v>
      </c>
      <c r="B9" s="370" t="s">
        <v>100</v>
      </c>
      <c r="C9" s="202" t="s">
        <v>12</v>
      </c>
      <c r="D9" s="130">
        <v>432.03</v>
      </c>
      <c r="E9" s="202">
        <v>186.42</v>
      </c>
      <c r="F9" s="208"/>
      <c r="G9" s="127">
        <f t="shared" si="0"/>
        <v>186.42</v>
      </c>
      <c r="H9" s="130">
        <f>DIAGONSTIC!H9</f>
        <v>25</v>
      </c>
      <c r="I9" s="130">
        <f t="shared" si="1"/>
        <v>10800.75</v>
      </c>
      <c r="J9" s="214">
        <f t="shared" si="2"/>
        <v>4660.5</v>
      </c>
      <c r="K9" s="214"/>
      <c r="L9" s="368">
        <f t="shared" ref="L9:L52" si="3">K9+J9</f>
        <v>4660.5</v>
      </c>
    </row>
    <row r="10" spans="1:21" ht="18" x14ac:dyDescent="0.2">
      <c r="A10" s="369">
        <v>1.04</v>
      </c>
      <c r="B10" s="370" t="s">
        <v>13</v>
      </c>
      <c r="C10" s="202" t="s">
        <v>12</v>
      </c>
      <c r="D10" s="130">
        <v>144.01</v>
      </c>
      <c r="E10" s="202">
        <v>0</v>
      </c>
      <c r="F10" s="208"/>
      <c r="G10" s="127">
        <f t="shared" si="0"/>
        <v>0</v>
      </c>
      <c r="H10" s="130">
        <f>DIAGONSTIC!H10</f>
        <v>35</v>
      </c>
      <c r="I10" s="130">
        <f t="shared" si="1"/>
        <v>5040.3499999999995</v>
      </c>
      <c r="J10" s="214">
        <f t="shared" si="2"/>
        <v>0</v>
      </c>
      <c r="K10" s="214"/>
      <c r="L10" s="368">
        <f t="shared" si="3"/>
        <v>0</v>
      </c>
    </row>
    <row r="11" spans="1:21" ht="18" x14ac:dyDescent="0.2">
      <c r="A11" s="369">
        <v>1.05</v>
      </c>
      <c r="B11" s="370" t="s">
        <v>101</v>
      </c>
      <c r="C11" s="202" t="s">
        <v>12</v>
      </c>
      <c r="D11" s="130">
        <v>806.1</v>
      </c>
      <c r="E11" s="202">
        <v>114.83</v>
      </c>
      <c r="F11" s="208"/>
      <c r="G11" s="127">
        <f t="shared" si="0"/>
        <v>114.83</v>
      </c>
      <c r="H11" s="130">
        <f>DIAGONSTIC!H11</f>
        <v>40</v>
      </c>
      <c r="I11" s="130">
        <f t="shared" si="1"/>
        <v>32244</v>
      </c>
      <c r="J11" s="214">
        <f t="shared" si="2"/>
        <v>4593.2</v>
      </c>
      <c r="K11" s="214"/>
      <c r="L11" s="368">
        <f t="shared" si="3"/>
        <v>4593.2</v>
      </c>
    </row>
    <row r="12" spans="1:21" ht="18" x14ac:dyDescent="0.2">
      <c r="A12" s="369">
        <v>1.06</v>
      </c>
      <c r="B12" s="369" t="s">
        <v>87</v>
      </c>
      <c r="C12" s="202" t="s">
        <v>12</v>
      </c>
      <c r="D12" s="130">
        <v>697.1</v>
      </c>
      <c r="E12" s="202">
        <v>295.11</v>
      </c>
      <c r="F12" s="208"/>
      <c r="G12" s="127">
        <f t="shared" si="0"/>
        <v>295.11</v>
      </c>
      <c r="H12" s="130">
        <f>DIAGONSTIC!H12</f>
        <v>25</v>
      </c>
      <c r="I12" s="130">
        <f t="shared" si="1"/>
        <v>17427.5</v>
      </c>
      <c r="J12" s="214">
        <f t="shared" si="2"/>
        <v>7377.75</v>
      </c>
      <c r="K12" s="214"/>
      <c r="L12" s="368">
        <f t="shared" si="3"/>
        <v>7377.75</v>
      </c>
    </row>
    <row r="13" spans="1:21" ht="18" x14ac:dyDescent="0.2">
      <c r="A13" s="371">
        <v>1.07</v>
      </c>
      <c r="B13" s="371" t="s">
        <v>94</v>
      </c>
      <c r="C13" s="205" t="s">
        <v>11</v>
      </c>
      <c r="D13" s="140">
        <v>279.20999999999998</v>
      </c>
      <c r="E13" s="205">
        <v>244.65</v>
      </c>
      <c r="F13" s="212"/>
      <c r="G13" s="127">
        <f t="shared" si="0"/>
        <v>244.65</v>
      </c>
      <c r="H13" s="130">
        <f>DIAGONSTIC!H13</f>
        <v>105</v>
      </c>
      <c r="I13" s="130">
        <f t="shared" si="1"/>
        <v>29317.05</v>
      </c>
      <c r="J13" s="214">
        <f t="shared" si="2"/>
        <v>25688.25</v>
      </c>
      <c r="K13" s="214">
        <f>H13*F13</f>
        <v>0</v>
      </c>
      <c r="L13" s="368">
        <f t="shared" si="3"/>
        <v>25688.25</v>
      </c>
    </row>
    <row r="14" spans="1:21" s="587" customFormat="1" ht="18.75" thickBot="1" x14ac:dyDescent="0.25">
      <c r="A14" s="585"/>
      <c r="B14" s="1174" t="s">
        <v>64</v>
      </c>
      <c r="C14" s="1175"/>
      <c r="D14" s="1175"/>
      <c r="E14" s="1175"/>
      <c r="F14" s="1175"/>
      <c r="G14" s="1175"/>
      <c r="H14" s="1176"/>
      <c r="I14" s="586">
        <f>SUM(I8:I13)</f>
        <v>97250.77</v>
      </c>
      <c r="J14" s="586">
        <f>SUM(J8:J13)</f>
        <v>44493.5</v>
      </c>
      <c r="K14" s="586">
        <f>SUM(K8:K13)</f>
        <v>0</v>
      </c>
      <c r="L14" s="586">
        <f>SUM(L8:L13)</f>
        <v>44493.5</v>
      </c>
      <c r="M14" s="644"/>
      <c r="N14" s="638"/>
      <c r="O14" s="638"/>
      <c r="P14" s="638"/>
      <c r="Q14" s="638"/>
      <c r="R14" s="638"/>
      <c r="S14" s="638"/>
      <c r="T14" s="638"/>
      <c r="U14" s="638"/>
    </row>
    <row r="15" spans="1:21" ht="18" x14ac:dyDescent="0.2">
      <c r="A15" s="376"/>
      <c r="B15" s="377" t="s">
        <v>193</v>
      </c>
      <c r="C15" s="165"/>
      <c r="D15" s="166"/>
      <c r="E15" s="165"/>
      <c r="F15" s="165"/>
      <c r="G15" s="57"/>
      <c r="H15" s="166"/>
      <c r="I15" s="166"/>
      <c r="J15" s="166"/>
      <c r="K15" s="206"/>
      <c r="L15" s="368">
        <f t="shared" si="3"/>
        <v>0</v>
      </c>
    </row>
    <row r="16" spans="1:21" ht="18" x14ac:dyDescent="0.2">
      <c r="A16" s="369">
        <v>2.1</v>
      </c>
      <c r="B16" s="370" t="s">
        <v>20</v>
      </c>
      <c r="C16" s="202"/>
      <c r="D16" s="207"/>
      <c r="E16" s="208"/>
      <c r="F16" s="208"/>
      <c r="G16" s="40"/>
      <c r="H16" s="130"/>
      <c r="I16" s="207"/>
      <c r="J16" s="207"/>
      <c r="K16" s="209"/>
      <c r="L16" s="368">
        <f t="shared" si="3"/>
        <v>0</v>
      </c>
    </row>
    <row r="17" spans="1:12" ht="18" x14ac:dyDescent="0.2">
      <c r="A17" s="457"/>
      <c r="B17" s="370" t="s">
        <v>21</v>
      </c>
      <c r="C17" s="202" t="s">
        <v>11</v>
      </c>
      <c r="D17" s="130">
        <v>35.5</v>
      </c>
      <c r="E17" s="202">
        <v>85.55</v>
      </c>
      <c r="F17" s="208"/>
      <c r="G17" s="35">
        <f>F17+E17</f>
        <v>85.55</v>
      </c>
      <c r="H17" s="130">
        <f>DIAGONSTIC!H17</f>
        <v>65</v>
      </c>
      <c r="I17" s="130">
        <f>D17*H17</f>
        <v>2307.5</v>
      </c>
      <c r="J17" s="203">
        <f t="shared" ref="J17:J32" si="4">H17*E17</f>
        <v>5560.75</v>
      </c>
      <c r="K17" s="209">
        <f>H17*F17</f>
        <v>0</v>
      </c>
      <c r="L17" s="368">
        <f t="shared" si="3"/>
        <v>5560.75</v>
      </c>
    </row>
    <row r="18" spans="1:12" ht="18" x14ac:dyDescent="0.2">
      <c r="A18" s="457"/>
      <c r="B18" s="370" t="s">
        <v>73</v>
      </c>
      <c r="C18" s="202" t="s">
        <v>11</v>
      </c>
      <c r="D18" s="130">
        <v>47.06</v>
      </c>
      <c r="E18" s="202">
        <v>0</v>
      </c>
      <c r="F18" s="208"/>
      <c r="G18" s="35">
        <f t="shared" ref="G18:G32" si="5">F18+E18</f>
        <v>0</v>
      </c>
      <c r="H18" s="130">
        <f>DIAGONSTIC!H18</f>
        <v>65</v>
      </c>
      <c r="I18" s="130">
        <f t="shared" ref="I18:I32" si="6">D18*H18</f>
        <v>3058.9</v>
      </c>
      <c r="J18" s="203">
        <f t="shared" si="4"/>
        <v>0</v>
      </c>
      <c r="K18" s="209">
        <f t="shared" ref="K18:K32" si="7">H18*F18</f>
        <v>0</v>
      </c>
      <c r="L18" s="368">
        <f t="shared" si="3"/>
        <v>0</v>
      </c>
    </row>
    <row r="19" spans="1:12" ht="18" x14ac:dyDescent="0.2">
      <c r="A19" s="369"/>
      <c r="B19" s="370" t="s">
        <v>22</v>
      </c>
      <c r="C19" s="202" t="s">
        <v>11</v>
      </c>
      <c r="D19" s="130">
        <v>30</v>
      </c>
      <c r="E19" s="202">
        <v>30</v>
      </c>
      <c r="F19" s="208"/>
      <c r="G19" s="35">
        <f t="shared" si="5"/>
        <v>30</v>
      </c>
      <c r="H19" s="130">
        <f>DIAGONSTIC!H19</f>
        <v>65</v>
      </c>
      <c r="I19" s="130">
        <f t="shared" si="6"/>
        <v>1950</v>
      </c>
      <c r="J19" s="203">
        <f t="shared" si="4"/>
        <v>1950</v>
      </c>
      <c r="K19" s="209">
        <f t="shared" si="7"/>
        <v>0</v>
      </c>
      <c r="L19" s="368">
        <f t="shared" si="3"/>
        <v>1950</v>
      </c>
    </row>
    <row r="20" spans="1:12" ht="18" x14ac:dyDescent="0.2">
      <c r="A20" s="383">
        <v>2.2000000000000002</v>
      </c>
      <c r="B20" s="370" t="s">
        <v>165</v>
      </c>
      <c r="C20" s="202" t="s">
        <v>11</v>
      </c>
      <c r="D20" s="130">
        <v>279.20999999999998</v>
      </c>
      <c r="E20" s="202">
        <v>0</v>
      </c>
      <c r="F20" s="208"/>
      <c r="G20" s="35">
        <f t="shared" si="5"/>
        <v>0</v>
      </c>
      <c r="H20" s="130">
        <f>DIAGONSTIC!H20</f>
        <v>260</v>
      </c>
      <c r="I20" s="130">
        <f t="shared" si="6"/>
        <v>72594.599999999991</v>
      </c>
      <c r="J20" s="203">
        <f t="shared" si="4"/>
        <v>0</v>
      </c>
      <c r="K20" s="209">
        <f t="shared" si="7"/>
        <v>0</v>
      </c>
      <c r="L20" s="368">
        <f t="shared" si="3"/>
        <v>0</v>
      </c>
    </row>
    <row r="21" spans="1:12" ht="18" x14ac:dyDescent="0.2">
      <c r="A21" s="369">
        <v>2.2999999999999998</v>
      </c>
      <c r="B21" s="366" t="s">
        <v>120</v>
      </c>
      <c r="C21" s="202"/>
      <c r="D21" s="130"/>
      <c r="E21" s="202"/>
      <c r="F21" s="208"/>
      <c r="G21" s="35">
        <f t="shared" si="5"/>
        <v>0</v>
      </c>
      <c r="H21" s="130"/>
      <c r="I21" s="130">
        <f t="shared" si="6"/>
        <v>0</v>
      </c>
      <c r="J21" s="203">
        <f t="shared" si="4"/>
        <v>0</v>
      </c>
      <c r="K21" s="209">
        <f t="shared" si="7"/>
        <v>0</v>
      </c>
      <c r="L21" s="368">
        <f t="shared" si="3"/>
        <v>0</v>
      </c>
    </row>
    <row r="22" spans="1:12" ht="18" x14ac:dyDescent="0.2">
      <c r="A22" s="369"/>
      <c r="B22" s="370" t="s">
        <v>84</v>
      </c>
      <c r="C22" s="202" t="s">
        <v>12</v>
      </c>
      <c r="D22" s="130">
        <v>20.59</v>
      </c>
      <c r="E22" s="202">
        <v>17.23</v>
      </c>
      <c r="F22" s="208"/>
      <c r="G22" s="35">
        <f t="shared" si="5"/>
        <v>17.23</v>
      </c>
      <c r="H22" s="130">
        <f>DIAGONSTIC!H22</f>
        <v>2600</v>
      </c>
      <c r="I22" s="130">
        <f t="shared" si="6"/>
        <v>53534</v>
      </c>
      <c r="J22" s="203">
        <f t="shared" si="4"/>
        <v>44798</v>
      </c>
      <c r="K22" s="209">
        <f t="shared" si="7"/>
        <v>0</v>
      </c>
      <c r="L22" s="368">
        <f t="shared" si="3"/>
        <v>44798</v>
      </c>
    </row>
    <row r="23" spans="1:12" ht="18" x14ac:dyDescent="0.2">
      <c r="A23" s="369"/>
      <c r="B23" s="370" t="s">
        <v>23</v>
      </c>
      <c r="C23" s="202" t="s">
        <v>12</v>
      </c>
      <c r="D23" s="130">
        <v>6</v>
      </c>
      <c r="E23" s="202">
        <v>6</v>
      </c>
      <c r="F23" s="208"/>
      <c r="G23" s="35">
        <f t="shared" si="5"/>
        <v>6</v>
      </c>
      <c r="H23" s="130">
        <f>DIAGONSTIC!H23</f>
        <v>2600</v>
      </c>
      <c r="I23" s="130">
        <f t="shared" si="6"/>
        <v>15600</v>
      </c>
      <c r="J23" s="203">
        <f t="shared" si="4"/>
        <v>15600</v>
      </c>
      <c r="K23" s="209">
        <f t="shared" si="7"/>
        <v>0</v>
      </c>
      <c r="L23" s="368">
        <f t="shared" si="3"/>
        <v>15600</v>
      </c>
    </row>
    <row r="24" spans="1:12" ht="18" x14ac:dyDescent="0.2">
      <c r="A24" s="369"/>
      <c r="B24" s="370" t="s">
        <v>24</v>
      </c>
      <c r="C24" s="202" t="s">
        <v>12</v>
      </c>
      <c r="D24" s="130">
        <v>3</v>
      </c>
      <c r="E24" s="202">
        <v>3</v>
      </c>
      <c r="F24" s="208"/>
      <c r="G24" s="35">
        <f t="shared" si="5"/>
        <v>3</v>
      </c>
      <c r="H24" s="130">
        <f>DIAGONSTIC!H24</f>
        <v>2600</v>
      </c>
      <c r="I24" s="130">
        <f t="shared" si="6"/>
        <v>7800</v>
      </c>
      <c r="J24" s="203">
        <f t="shared" si="4"/>
        <v>7800</v>
      </c>
      <c r="K24" s="209">
        <f t="shared" si="7"/>
        <v>0</v>
      </c>
      <c r="L24" s="368">
        <f t="shared" si="3"/>
        <v>7800</v>
      </c>
    </row>
    <row r="25" spans="1:12" ht="18" x14ac:dyDescent="0.2">
      <c r="A25" s="369">
        <v>2.4</v>
      </c>
      <c r="B25" s="366" t="s">
        <v>109</v>
      </c>
      <c r="C25" s="202"/>
      <c r="D25" s="130"/>
      <c r="E25" s="202"/>
      <c r="F25" s="208"/>
      <c r="G25" s="35">
        <f t="shared" si="5"/>
        <v>0</v>
      </c>
      <c r="H25" s="130">
        <f>DIAGONSTIC!H25</f>
        <v>0</v>
      </c>
      <c r="I25" s="130">
        <f t="shared" si="6"/>
        <v>0</v>
      </c>
      <c r="J25" s="203">
        <f t="shared" si="4"/>
        <v>0</v>
      </c>
      <c r="K25" s="209">
        <f t="shared" si="7"/>
        <v>0</v>
      </c>
      <c r="L25" s="368">
        <f t="shared" si="3"/>
        <v>0</v>
      </c>
    </row>
    <row r="26" spans="1:12" ht="18" x14ac:dyDescent="0.2">
      <c r="A26" s="369"/>
      <c r="B26" s="370" t="s">
        <v>84</v>
      </c>
      <c r="C26" s="202" t="s">
        <v>11</v>
      </c>
      <c r="D26" s="130">
        <v>148.74</v>
      </c>
      <c r="E26" s="202">
        <v>139.91999999999999</v>
      </c>
      <c r="F26" s="208"/>
      <c r="G26" s="35">
        <f t="shared" si="5"/>
        <v>139.91999999999999</v>
      </c>
      <c r="H26" s="130">
        <f>DIAGONSTIC!H26</f>
        <v>85</v>
      </c>
      <c r="I26" s="130">
        <f t="shared" si="6"/>
        <v>12642.900000000001</v>
      </c>
      <c r="J26" s="203">
        <f t="shared" si="4"/>
        <v>11893.199999999999</v>
      </c>
      <c r="K26" s="209">
        <f t="shared" si="7"/>
        <v>0</v>
      </c>
      <c r="L26" s="368">
        <f t="shared" si="3"/>
        <v>11893.199999999999</v>
      </c>
    </row>
    <row r="27" spans="1:12" ht="18" x14ac:dyDescent="0.2">
      <c r="A27" s="369"/>
      <c r="B27" s="370" t="s">
        <v>23</v>
      </c>
      <c r="C27" s="202" t="s">
        <v>11</v>
      </c>
      <c r="D27" s="130">
        <v>24</v>
      </c>
      <c r="E27" s="202">
        <v>24</v>
      </c>
      <c r="F27" s="208"/>
      <c r="G27" s="35">
        <f t="shared" si="5"/>
        <v>24</v>
      </c>
      <c r="H27" s="130">
        <f>DIAGONSTIC!H27</f>
        <v>85</v>
      </c>
      <c r="I27" s="130">
        <f t="shared" si="6"/>
        <v>2040</v>
      </c>
      <c r="J27" s="203">
        <f t="shared" si="4"/>
        <v>2040</v>
      </c>
      <c r="K27" s="209">
        <f t="shared" si="7"/>
        <v>0</v>
      </c>
      <c r="L27" s="368">
        <f t="shared" si="3"/>
        <v>2040</v>
      </c>
    </row>
    <row r="28" spans="1:12" ht="18" x14ac:dyDescent="0.2">
      <c r="A28" s="369"/>
      <c r="B28" s="370" t="s">
        <v>24</v>
      </c>
      <c r="C28" s="202" t="s">
        <v>11</v>
      </c>
      <c r="D28" s="130">
        <v>60</v>
      </c>
      <c r="E28" s="202">
        <v>60</v>
      </c>
      <c r="F28" s="208"/>
      <c r="G28" s="35">
        <f t="shared" si="5"/>
        <v>60</v>
      </c>
      <c r="H28" s="130">
        <f>DIAGONSTIC!H28</f>
        <v>85</v>
      </c>
      <c r="I28" s="130">
        <f t="shared" si="6"/>
        <v>5100</v>
      </c>
      <c r="J28" s="203">
        <f t="shared" si="4"/>
        <v>5100</v>
      </c>
      <c r="K28" s="209">
        <f t="shared" si="7"/>
        <v>0</v>
      </c>
      <c r="L28" s="368">
        <f t="shared" si="3"/>
        <v>5100</v>
      </c>
    </row>
    <row r="29" spans="1:12" ht="18" x14ac:dyDescent="0.2">
      <c r="A29" s="369">
        <v>2.5</v>
      </c>
      <c r="B29" s="366" t="s">
        <v>15</v>
      </c>
      <c r="C29" s="202"/>
      <c r="D29" s="130"/>
      <c r="E29" s="202"/>
      <c r="F29" s="208"/>
      <c r="G29" s="35">
        <f t="shared" si="5"/>
        <v>0</v>
      </c>
      <c r="H29" s="130">
        <f>DIAGONSTIC!H29</f>
        <v>0</v>
      </c>
      <c r="I29" s="130">
        <f t="shared" si="6"/>
        <v>0</v>
      </c>
      <c r="J29" s="203">
        <f t="shared" si="4"/>
        <v>0</v>
      </c>
      <c r="K29" s="209">
        <f t="shared" si="7"/>
        <v>0</v>
      </c>
      <c r="L29" s="368">
        <f t="shared" si="3"/>
        <v>0</v>
      </c>
    </row>
    <row r="30" spans="1:12" ht="18" x14ac:dyDescent="0.2">
      <c r="A30" s="369"/>
      <c r="B30" s="370" t="s">
        <v>92</v>
      </c>
      <c r="C30" s="202" t="s">
        <v>16</v>
      </c>
      <c r="D30" s="130">
        <v>1415.66</v>
      </c>
      <c r="E30" s="202">
        <v>1395.81</v>
      </c>
      <c r="F30" s="208"/>
      <c r="G30" s="35">
        <f t="shared" si="5"/>
        <v>1395.81</v>
      </c>
      <c r="H30" s="130">
        <f>DIAGONSTIC!H30</f>
        <v>34</v>
      </c>
      <c r="I30" s="130">
        <f t="shared" si="6"/>
        <v>48132.44</v>
      </c>
      <c r="J30" s="203">
        <f t="shared" si="4"/>
        <v>47457.54</v>
      </c>
      <c r="K30" s="209">
        <f t="shared" si="7"/>
        <v>0</v>
      </c>
      <c r="L30" s="368">
        <f t="shared" si="3"/>
        <v>47457.54</v>
      </c>
    </row>
    <row r="31" spans="1:12" ht="18" x14ac:dyDescent="0.2">
      <c r="A31" s="369"/>
      <c r="B31" s="370" t="s">
        <v>25</v>
      </c>
      <c r="C31" s="202" t="s">
        <v>16</v>
      </c>
      <c r="D31" s="130">
        <v>340.99</v>
      </c>
      <c r="E31" s="202">
        <v>764.04</v>
      </c>
      <c r="F31" s="208"/>
      <c r="G31" s="35">
        <f t="shared" si="5"/>
        <v>764.04</v>
      </c>
      <c r="H31" s="130">
        <f>DIAGONSTIC!H31</f>
        <v>34</v>
      </c>
      <c r="I31" s="130">
        <f t="shared" si="6"/>
        <v>11593.66</v>
      </c>
      <c r="J31" s="203">
        <f t="shared" si="4"/>
        <v>25977.360000000001</v>
      </c>
      <c r="K31" s="209">
        <f t="shared" si="7"/>
        <v>0</v>
      </c>
      <c r="L31" s="368">
        <f t="shared" si="3"/>
        <v>25977.360000000001</v>
      </c>
    </row>
    <row r="32" spans="1:12" ht="18" x14ac:dyDescent="0.2">
      <c r="A32" s="371"/>
      <c r="B32" s="372" t="s">
        <v>26</v>
      </c>
      <c r="C32" s="205" t="s">
        <v>16</v>
      </c>
      <c r="D32" s="140">
        <v>1264.81</v>
      </c>
      <c r="E32" s="205">
        <v>521.4</v>
      </c>
      <c r="F32" s="208"/>
      <c r="G32" s="35">
        <f t="shared" si="5"/>
        <v>521.4</v>
      </c>
      <c r="H32" s="130">
        <v>34</v>
      </c>
      <c r="I32" s="130">
        <f t="shared" si="6"/>
        <v>43003.54</v>
      </c>
      <c r="J32" s="203">
        <f t="shared" si="4"/>
        <v>17727.599999999999</v>
      </c>
      <c r="K32" s="209">
        <f t="shared" si="7"/>
        <v>0</v>
      </c>
      <c r="L32" s="373">
        <f t="shared" si="3"/>
        <v>17727.599999999999</v>
      </c>
    </row>
    <row r="33" spans="1:21" s="587" customFormat="1" ht="18.75" thickBot="1" x14ac:dyDescent="0.25">
      <c r="A33" s="585"/>
      <c r="B33" s="1174" t="s">
        <v>64</v>
      </c>
      <c r="C33" s="1175"/>
      <c r="D33" s="1175"/>
      <c r="E33" s="1175"/>
      <c r="F33" s="1175"/>
      <c r="G33" s="1175"/>
      <c r="H33" s="1176"/>
      <c r="I33" s="586">
        <f>SUM(I17:I32)</f>
        <v>279357.53999999998</v>
      </c>
      <c r="J33" s="586">
        <f>SUM(J17:J32)</f>
        <v>185904.44999999998</v>
      </c>
      <c r="K33" s="586">
        <f>SUM(K17:K32)</f>
        <v>0</v>
      </c>
      <c r="L33" s="690">
        <f t="shared" si="3"/>
        <v>185904.44999999998</v>
      </c>
      <c r="M33" s="644"/>
      <c r="N33" s="638"/>
      <c r="O33" s="638"/>
      <c r="P33" s="638"/>
      <c r="Q33" s="638"/>
      <c r="R33" s="638"/>
      <c r="S33" s="638"/>
      <c r="T33" s="638"/>
      <c r="U33" s="638"/>
    </row>
    <row r="34" spans="1:21" ht="18" x14ac:dyDescent="0.2">
      <c r="A34" s="365"/>
      <c r="B34" s="366" t="s">
        <v>194</v>
      </c>
      <c r="C34" s="208"/>
      <c r="D34" s="207"/>
      <c r="E34" s="208"/>
      <c r="F34" s="208"/>
      <c r="G34" s="40"/>
      <c r="H34" s="207"/>
      <c r="I34" s="207"/>
      <c r="J34" s="207"/>
      <c r="K34" s="209"/>
      <c r="L34" s="379">
        <f t="shared" si="3"/>
        <v>0</v>
      </c>
    </row>
    <row r="35" spans="1:21" ht="18" x14ac:dyDescent="0.2">
      <c r="A35" s="369">
        <v>3.1</v>
      </c>
      <c r="B35" s="370" t="s">
        <v>124</v>
      </c>
      <c r="C35" s="202" t="s">
        <v>12</v>
      </c>
      <c r="D35" s="130">
        <v>28.4</v>
      </c>
      <c r="E35" s="202">
        <v>47.46</v>
      </c>
      <c r="F35" s="208"/>
      <c r="G35" s="71">
        <f>F35+E35</f>
        <v>47.46</v>
      </c>
      <c r="H35" s="130">
        <v>800</v>
      </c>
      <c r="I35" s="130">
        <f>D35*H35</f>
        <v>22720</v>
      </c>
      <c r="J35" s="203">
        <f>H35*E35</f>
        <v>37968</v>
      </c>
      <c r="K35" s="209"/>
      <c r="L35" s="368">
        <f t="shared" si="3"/>
        <v>37968</v>
      </c>
    </row>
    <row r="36" spans="1:21" ht="18" x14ac:dyDescent="0.2">
      <c r="A36" s="371">
        <v>3.2</v>
      </c>
      <c r="B36" s="372" t="s">
        <v>119</v>
      </c>
      <c r="C36" s="205" t="s">
        <v>12</v>
      </c>
      <c r="D36" s="140">
        <v>35.5</v>
      </c>
      <c r="E36" s="205">
        <v>63.76</v>
      </c>
      <c r="F36" s="208"/>
      <c r="G36" s="71">
        <f>F36+E36</f>
        <v>63.76</v>
      </c>
      <c r="H36" s="140">
        <v>880</v>
      </c>
      <c r="I36" s="130">
        <f>D36*H36</f>
        <v>31240</v>
      </c>
      <c r="J36" s="203">
        <f>H36*E36</f>
        <v>56108.799999999996</v>
      </c>
      <c r="K36" s="209"/>
      <c r="L36" s="373">
        <f t="shared" si="3"/>
        <v>56108.799999999996</v>
      </c>
    </row>
    <row r="37" spans="1:21" s="587" customFormat="1" ht="18.75" thickBot="1" x14ac:dyDescent="0.25">
      <c r="A37" s="585"/>
      <c r="B37" s="1174" t="s">
        <v>64</v>
      </c>
      <c r="C37" s="1175"/>
      <c r="D37" s="1175"/>
      <c r="E37" s="1175"/>
      <c r="F37" s="1175"/>
      <c r="G37" s="1175"/>
      <c r="H37" s="1176"/>
      <c r="I37" s="586">
        <f>SUM(I35:I36)</f>
        <v>53960</v>
      </c>
      <c r="J37" s="605">
        <f>SUM(J35:J36)</f>
        <v>94076.799999999988</v>
      </c>
      <c r="K37" s="605">
        <f>SUM(K35:K36)</f>
        <v>0</v>
      </c>
      <c r="L37" s="690">
        <f t="shared" si="3"/>
        <v>94076.799999999988</v>
      </c>
      <c r="M37" s="644"/>
      <c r="N37" s="638"/>
      <c r="O37" s="638"/>
      <c r="P37" s="638"/>
      <c r="Q37" s="638"/>
      <c r="R37" s="638"/>
      <c r="S37" s="638"/>
      <c r="T37" s="638"/>
      <c r="U37" s="638"/>
    </row>
    <row r="38" spans="1:21" ht="18.75" thickBot="1" x14ac:dyDescent="0.25">
      <c r="A38" s="550"/>
      <c r="B38" s="216" t="s">
        <v>234</v>
      </c>
      <c r="C38" s="216"/>
      <c r="D38" s="216"/>
      <c r="E38" s="216"/>
      <c r="F38" s="216"/>
      <c r="G38" s="551"/>
      <c r="H38" s="216"/>
      <c r="I38" s="216"/>
      <c r="J38" s="216"/>
      <c r="K38" s="216" t="s">
        <v>237</v>
      </c>
      <c r="L38" s="379"/>
    </row>
    <row r="39" spans="1:21" ht="18" x14ac:dyDescent="0.2">
      <c r="A39" s="464"/>
      <c r="B39" s="359" t="s">
        <v>75</v>
      </c>
      <c r="C39" s="360"/>
      <c r="D39" s="361"/>
      <c r="E39" s="360"/>
      <c r="F39" s="360"/>
      <c r="G39" s="162"/>
      <c r="H39" s="361"/>
      <c r="I39" s="361"/>
      <c r="J39" s="362"/>
      <c r="K39" s="362"/>
      <c r="L39" s="368">
        <f t="shared" si="3"/>
        <v>0</v>
      </c>
    </row>
    <row r="40" spans="1:21" ht="18" x14ac:dyDescent="0.2">
      <c r="A40" s="465"/>
      <c r="B40" s="366" t="s">
        <v>76</v>
      </c>
      <c r="C40" s="208"/>
      <c r="D40" s="207"/>
      <c r="E40" s="208"/>
      <c r="F40" s="208"/>
      <c r="G40" s="40"/>
      <c r="H40" s="207"/>
      <c r="I40" s="207"/>
      <c r="J40" s="244"/>
      <c r="K40" s="244"/>
      <c r="L40" s="368">
        <f t="shared" si="3"/>
        <v>0</v>
      </c>
    </row>
    <row r="41" spans="1:21" ht="18" x14ac:dyDescent="0.2">
      <c r="A41" s="434">
        <v>1.01</v>
      </c>
      <c r="B41" s="366" t="s">
        <v>110</v>
      </c>
      <c r="C41" s="202"/>
      <c r="D41" s="130"/>
      <c r="E41" s="202"/>
      <c r="F41" s="202"/>
      <c r="G41" s="35"/>
      <c r="H41" s="130"/>
      <c r="I41" s="130"/>
      <c r="J41" s="130"/>
      <c r="K41" s="130"/>
      <c r="L41" s="368">
        <f t="shared" si="3"/>
        <v>0</v>
      </c>
    </row>
    <row r="42" spans="1:21" ht="18" x14ac:dyDescent="0.2">
      <c r="A42" s="434"/>
      <c r="B42" s="370" t="s">
        <v>77</v>
      </c>
      <c r="C42" s="202" t="s">
        <v>12</v>
      </c>
      <c r="D42" s="130">
        <v>3.6</v>
      </c>
      <c r="E42" s="202">
        <v>4.2</v>
      </c>
      <c r="F42" s="202"/>
      <c r="G42" s="35">
        <f>F42+E42</f>
        <v>4.2</v>
      </c>
      <c r="H42" s="130">
        <f>DIAGONSTIC!H48</f>
        <v>2600</v>
      </c>
      <c r="I42" s="130">
        <f t="shared" ref="I42:I52" si="8">D42*H42</f>
        <v>9360</v>
      </c>
      <c r="J42" s="130">
        <f t="shared" ref="J42:J52" si="9">E42*H42</f>
        <v>10920</v>
      </c>
      <c r="K42" s="130">
        <f t="shared" ref="K42:K52" si="10">H42*F42</f>
        <v>0</v>
      </c>
      <c r="L42" s="368">
        <f t="shared" si="3"/>
        <v>10920</v>
      </c>
    </row>
    <row r="43" spans="1:21" ht="18" x14ac:dyDescent="0.2">
      <c r="A43" s="434"/>
      <c r="B43" s="370" t="s">
        <v>74</v>
      </c>
      <c r="C43" s="202" t="s">
        <v>12</v>
      </c>
      <c r="D43" s="130">
        <v>11.16</v>
      </c>
      <c r="E43" s="202">
        <v>10.63</v>
      </c>
      <c r="F43" s="202"/>
      <c r="G43" s="35">
        <f t="shared" ref="G43:G52" si="11">F43+E43</f>
        <v>10.63</v>
      </c>
      <c r="H43" s="130">
        <f>DIAGONSTIC!H49</f>
        <v>2600</v>
      </c>
      <c r="I43" s="130">
        <f t="shared" si="8"/>
        <v>29016</v>
      </c>
      <c r="J43" s="130">
        <f t="shared" si="9"/>
        <v>27638.000000000004</v>
      </c>
      <c r="K43" s="130">
        <f t="shared" si="10"/>
        <v>0</v>
      </c>
      <c r="L43" s="368">
        <f t="shared" si="3"/>
        <v>27638.000000000004</v>
      </c>
    </row>
    <row r="44" spans="1:21" ht="18" x14ac:dyDescent="0.2">
      <c r="A44" s="434"/>
      <c r="B44" s="370" t="s">
        <v>78</v>
      </c>
      <c r="C44" s="202" t="s">
        <v>12</v>
      </c>
      <c r="D44" s="130">
        <v>0.9</v>
      </c>
      <c r="E44" s="202"/>
      <c r="F44" s="868"/>
      <c r="G44" s="35">
        <f t="shared" si="11"/>
        <v>0</v>
      </c>
      <c r="H44" s="130">
        <f>DIAGONSTIC!H50</f>
        <v>2600</v>
      </c>
      <c r="I44" s="130">
        <f t="shared" si="8"/>
        <v>2340</v>
      </c>
      <c r="J44" s="130">
        <f t="shared" si="9"/>
        <v>0</v>
      </c>
      <c r="K44" s="130">
        <f t="shared" si="10"/>
        <v>0</v>
      </c>
      <c r="L44" s="368">
        <f t="shared" si="3"/>
        <v>0</v>
      </c>
    </row>
    <row r="45" spans="1:21" ht="18" x14ac:dyDescent="0.2">
      <c r="A45" s="465">
        <v>1.2</v>
      </c>
      <c r="B45" s="366" t="s">
        <v>121</v>
      </c>
      <c r="C45" s="208"/>
      <c r="D45" s="207"/>
      <c r="E45" s="208"/>
      <c r="F45" s="208"/>
      <c r="G45" s="35">
        <f t="shared" si="11"/>
        <v>0</v>
      </c>
      <c r="H45" s="130"/>
      <c r="I45" s="130">
        <f t="shared" si="8"/>
        <v>0</v>
      </c>
      <c r="J45" s="130">
        <f t="shared" si="9"/>
        <v>0</v>
      </c>
      <c r="K45" s="130">
        <f t="shared" si="10"/>
        <v>0</v>
      </c>
      <c r="L45" s="368">
        <f t="shared" si="3"/>
        <v>0</v>
      </c>
    </row>
    <row r="46" spans="1:21" ht="18" x14ac:dyDescent="0.2">
      <c r="A46" s="434"/>
      <c r="B46" s="370" t="s">
        <v>77</v>
      </c>
      <c r="C46" s="202" t="s">
        <v>11</v>
      </c>
      <c r="D46" s="130">
        <v>84.48</v>
      </c>
      <c r="E46" s="202">
        <v>84</v>
      </c>
      <c r="F46" s="202"/>
      <c r="G46" s="35">
        <f t="shared" si="11"/>
        <v>84</v>
      </c>
      <c r="H46" s="130">
        <f>DIAGONSTIC!H52</f>
        <v>85</v>
      </c>
      <c r="I46" s="130">
        <f t="shared" si="8"/>
        <v>7180.8</v>
      </c>
      <c r="J46" s="130">
        <f t="shared" si="9"/>
        <v>7140</v>
      </c>
      <c r="K46" s="130">
        <f t="shared" si="10"/>
        <v>0</v>
      </c>
      <c r="L46" s="368">
        <f t="shared" si="3"/>
        <v>7140</v>
      </c>
    </row>
    <row r="47" spans="1:21" ht="18" x14ac:dyDescent="0.2">
      <c r="A47" s="435"/>
      <c r="B47" s="370" t="s">
        <v>74</v>
      </c>
      <c r="C47" s="202" t="s">
        <v>11</v>
      </c>
      <c r="D47" s="130">
        <v>148.74</v>
      </c>
      <c r="E47" s="202">
        <v>138.44</v>
      </c>
      <c r="F47" s="202"/>
      <c r="G47" s="35">
        <f t="shared" si="11"/>
        <v>138.44</v>
      </c>
      <c r="H47" s="130">
        <f>DIAGONSTIC!H53</f>
        <v>85</v>
      </c>
      <c r="I47" s="130">
        <f t="shared" si="8"/>
        <v>12642.900000000001</v>
      </c>
      <c r="J47" s="130">
        <f t="shared" si="9"/>
        <v>11767.4</v>
      </c>
      <c r="K47" s="130">
        <f t="shared" si="10"/>
        <v>0</v>
      </c>
      <c r="L47" s="368">
        <f t="shared" si="3"/>
        <v>11767.4</v>
      </c>
    </row>
    <row r="48" spans="1:21" ht="18" x14ac:dyDescent="0.2">
      <c r="A48" s="434"/>
      <c r="B48" s="370" t="s">
        <v>78</v>
      </c>
      <c r="C48" s="202" t="s">
        <v>11</v>
      </c>
      <c r="D48" s="130">
        <v>9.3000000000000007</v>
      </c>
      <c r="E48" s="202"/>
      <c r="F48" s="868"/>
      <c r="G48" s="35">
        <f t="shared" si="11"/>
        <v>0</v>
      </c>
      <c r="H48" s="130">
        <f>DIAGONSTIC!H54</f>
        <v>85</v>
      </c>
      <c r="I48" s="130">
        <f t="shared" si="8"/>
        <v>790.50000000000011</v>
      </c>
      <c r="J48" s="130">
        <f t="shared" si="9"/>
        <v>0</v>
      </c>
      <c r="K48" s="130">
        <f t="shared" si="10"/>
        <v>0</v>
      </c>
      <c r="L48" s="368">
        <f t="shared" si="3"/>
        <v>0</v>
      </c>
    </row>
    <row r="49" spans="1:21" ht="18" x14ac:dyDescent="0.2">
      <c r="A49" s="434">
        <v>1.3</v>
      </c>
      <c r="B49" s="366" t="s">
        <v>15</v>
      </c>
      <c r="C49" s="202"/>
      <c r="D49" s="130"/>
      <c r="E49" s="202"/>
      <c r="F49" s="202"/>
      <c r="G49" s="35">
        <f t="shared" si="11"/>
        <v>0</v>
      </c>
      <c r="H49" s="130"/>
      <c r="I49" s="130">
        <f t="shared" si="8"/>
        <v>0</v>
      </c>
      <c r="J49" s="130">
        <f t="shared" si="9"/>
        <v>0</v>
      </c>
      <c r="K49" s="130">
        <f t="shared" si="10"/>
        <v>0</v>
      </c>
      <c r="L49" s="368">
        <f t="shared" si="3"/>
        <v>0</v>
      </c>
    </row>
    <row r="50" spans="1:21" ht="18" x14ac:dyDescent="0.2">
      <c r="A50" s="434"/>
      <c r="B50" s="370" t="s">
        <v>85</v>
      </c>
      <c r="C50" s="202" t="s">
        <v>16</v>
      </c>
      <c r="D50" s="130"/>
      <c r="E50" s="202"/>
      <c r="F50" s="202"/>
      <c r="G50" s="35">
        <f t="shared" si="11"/>
        <v>0</v>
      </c>
      <c r="H50" s="130"/>
      <c r="I50" s="130">
        <f t="shared" si="8"/>
        <v>0</v>
      </c>
      <c r="J50" s="130">
        <f t="shared" si="9"/>
        <v>0</v>
      </c>
      <c r="K50" s="130">
        <f t="shared" si="10"/>
        <v>0</v>
      </c>
      <c r="L50" s="368">
        <f t="shared" si="3"/>
        <v>0</v>
      </c>
    </row>
    <row r="51" spans="1:21" ht="18" x14ac:dyDescent="0.2">
      <c r="A51" s="434"/>
      <c r="B51" s="370" t="s">
        <v>25</v>
      </c>
      <c r="C51" s="202" t="s">
        <v>16</v>
      </c>
      <c r="D51" s="130">
        <v>1381.07</v>
      </c>
      <c r="E51" s="202">
        <v>1110.2</v>
      </c>
      <c r="F51" s="202">
        <v>269.86</v>
      </c>
      <c r="G51" s="35">
        <f t="shared" si="11"/>
        <v>1380.06</v>
      </c>
      <c r="H51" s="130">
        <f>DIAGONSTIC!H57</f>
        <v>34</v>
      </c>
      <c r="I51" s="130">
        <f t="shared" si="8"/>
        <v>46956.38</v>
      </c>
      <c r="J51" s="130">
        <f t="shared" si="9"/>
        <v>37746.800000000003</v>
      </c>
      <c r="K51" s="130">
        <f t="shared" si="10"/>
        <v>9175.24</v>
      </c>
      <c r="L51" s="368">
        <f t="shared" si="3"/>
        <v>46922.04</v>
      </c>
    </row>
    <row r="52" spans="1:21" ht="18" x14ac:dyDescent="0.2">
      <c r="A52" s="436"/>
      <c r="B52" s="372" t="s">
        <v>26</v>
      </c>
      <c r="C52" s="205" t="s">
        <v>16</v>
      </c>
      <c r="D52" s="140">
        <v>441.16</v>
      </c>
      <c r="E52" s="205">
        <v>306.08999999999997</v>
      </c>
      <c r="F52" s="205">
        <v>123</v>
      </c>
      <c r="G52" s="35">
        <f t="shared" si="11"/>
        <v>429.09</v>
      </c>
      <c r="H52" s="130">
        <v>34</v>
      </c>
      <c r="I52" s="130">
        <f t="shared" si="8"/>
        <v>14999.44</v>
      </c>
      <c r="J52" s="130">
        <f t="shared" si="9"/>
        <v>10407.06</v>
      </c>
      <c r="K52" s="130">
        <f t="shared" si="10"/>
        <v>4182</v>
      </c>
      <c r="L52" s="368">
        <f t="shared" si="3"/>
        <v>14589.06</v>
      </c>
    </row>
    <row r="53" spans="1:21" s="587" customFormat="1" ht="18.75" thickBot="1" x14ac:dyDescent="0.25">
      <c r="A53" s="585"/>
      <c r="B53" s="1174" t="s">
        <v>64</v>
      </c>
      <c r="C53" s="1175"/>
      <c r="D53" s="1175"/>
      <c r="E53" s="1175"/>
      <c r="F53" s="1175"/>
      <c r="G53" s="1175"/>
      <c r="H53" s="1176"/>
      <c r="I53" s="586">
        <f>SUM(I40:I52)</f>
        <v>123286.02</v>
      </c>
      <c r="J53" s="586">
        <f>SUM(J40:J52)</f>
        <v>105619.26000000001</v>
      </c>
      <c r="K53" s="586">
        <f>SUM(K40:K52)</f>
        <v>13357.24</v>
      </c>
      <c r="L53" s="586">
        <f>SUM(L40:L52)</f>
        <v>118976.5</v>
      </c>
      <c r="M53" s="644"/>
      <c r="N53" s="638"/>
      <c r="O53" s="638"/>
      <c r="P53" s="638"/>
      <c r="Q53" s="638"/>
      <c r="R53" s="638"/>
      <c r="S53" s="638"/>
      <c r="T53" s="638"/>
      <c r="U53" s="638"/>
    </row>
    <row r="54" spans="1:21" ht="21" hidden="1" thickBot="1" x14ac:dyDescent="0.25">
      <c r="A54" s="552"/>
      <c r="B54" s="217" t="s">
        <v>207</v>
      </c>
      <c r="C54" s="217"/>
      <c r="D54" s="217"/>
      <c r="E54" s="217"/>
      <c r="F54" s="217"/>
      <c r="G54" s="57"/>
      <c r="H54" s="217"/>
      <c r="I54" s="217"/>
      <c r="J54" s="217"/>
      <c r="K54" s="217"/>
      <c r="L54" s="553"/>
    </row>
    <row r="55" spans="1:21" ht="21" hidden="1" thickBot="1" x14ac:dyDescent="0.25">
      <c r="A55" s="554">
        <v>2.1</v>
      </c>
      <c r="B55" s="555" t="s">
        <v>208</v>
      </c>
      <c r="C55" s="218"/>
      <c r="D55" s="218"/>
      <c r="E55" s="218"/>
      <c r="F55" s="218"/>
      <c r="G55" s="35"/>
      <c r="H55" s="218"/>
      <c r="I55" s="218"/>
      <c r="J55" s="218"/>
      <c r="K55" s="218"/>
      <c r="L55" s="556"/>
    </row>
    <row r="56" spans="1:21" ht="18.75" hidden="1" thickBot="1" x14ac:dyDescent="0.25">
      <c r="A56" s="554"/>
      <c r="B56" s="555" t="s">
        <v>209</v>
      </c>
      <c r="C56" s="218" t="s">
        <v>11</v>
      </c>
      <c r="D56" s="218">
        <v>349.63</v>
      </c>
      <c r="E56" s="218">
        <v>277.41000000000003</v>
      </c>
      <c r="F56" s="218"/>
      <c r="G56" s="35"/>
      <c r="H56" s="218">
        <v>340</v>
      </c>
      <c r="I56" s="130">
        <f>D56*H56</f>
        <v>118874.2</v>
      </c>
      <c r="J56" s="130">
        <f>E56*H56</f>
        <v>94319.400000000009</v>
      </c>
      <c r="K56" s="130">
        <f>H56*F56</f>
        <v>0</v>
      </c>
      <c r="L56" s="130"/>
    </row>
    <row r="57" spans="1:21" ht="18.75" hidden="1" thickBot="1" x14ac:dyDescent="0.25">
      <c r="A57" s="557"/>
      <c r="B57" s="558" t="s">
        <v>210</v>
      </c>
      <c r="C57" s="236" t="s">
        <v>11</v>
      </c>
      <c r="D57" s="236">
        <v>83.03</v>
      </c>
      <c r="E57" s="236">
        <v>89.91</v>
      </c>
      <c r="F57" s="236"/>
      <c r="G57" s="51"/>
      <c r="H57" s="236">
        <v>325</v>
      </c>
      <c r="I57" s="130">
        <f>D57*H57</f>
        <v>26984.75</v>
      </c>
      <c r="J57" s="130">
        <f>E57*H57</f>
        <v>29220.75</v>
      </c>
      <c r="K57" s="140">
        <f>H57*F57</f>
        <v>0</v>
      </c>
      <c r="L57" s="140"/>
    </row>
    <row r="58" spans="1:21" s="375" customFormat="1" ht="21" hidden="1" thickBot="1" x14ac:dyDescent="0.25">
      <c r="A58" s="374"/>
      <c r="B58" s="1203" t="s">
        <v>64</v>
      </c>
      <c r="C58" s="1204"/>
      <c r="D58" s="1204"/>
      <c r="E58" s="1204"/>
      <c r="F58" s="1204"/>
      <c r="G58" s="1204"/>
      <c r="H58" s="1205"/>
      <c r="I58" s="215">
        <f>SUM(I56:I57)</f>
        <v>145858.95000000001</v>
      </c>
      <c r="J58" s="215">
        <f>SUM(J56:J57)</f>
        <v>123540.15000000001</v>
      </c>
      <c r="K58" s="215">
        <f>SUM(K56:K57)</f>
        <v>0</v>
      </c>
      <c r="L58" s="241">
        <f>J58+K58</f>
        <v>123540.15000000001</v>
      </c>
      <c r="M58" s="644"/>
      <c r="N58" s="638"/>
      <c r="O58" s="638"/>
      <c r="P58" s="638"/>
      <c r="Q58" s="638"/>
      <c r="R58" s="638"/>
      <c r="S58" s="638"/>
      <c r="T58" s="638"/>
      <c r="U58" s="638"/>
    </row>
    <row r="59" spans="1:21" ht="18.75" hidden="1" thickBot="1" x14ac:dyDescent="0.25">
      <c r="A59" s="559"/>
      <c r="B59" s="166" t="s">
        <v>167</v>
      </c>
      <c r="C59" s="210"/>
      <c r="D59" s="131"/>
      <c r="E59" s="210"/>
      <c r="F59" s="210"/>
      <c r="G59" s="49"/>
      <c r="H59" s="131"/>
      <c r="I59" s="131"/>
      <c r="J59" s="131"/>
      <c r="K59" s="131"/>
      <c r="L59" s="473"/>
    </row>
    <row r="60" spans="1:21" ht="18.75" hidden="1" thickBot="1" x14ac:dyDescent="0.25">
      <c r="A60" s="560">
        <v>3.1</v>
      </c>
      <c r="B60" s="140" t="s">
        <v>166</v>
      </c>
      <c r="C60" s="205" t="s">
        <v>11</v>
      </c>
      <c r="D60" s="140">
        <v>337.77</v>
      </c>
      <c r="E60" s="205">
        <v>337.77</v>
      </c>
      <c r="F60" s="205"/>
      <c r="G60" s="51"/>
      <c r="H60" s="140">
        <v>230</v>
      </c>
      <c r="I60" s="140">
        <f>D60*H60</f>
        <v>77687.099999999991</v>
      </c>
      <c r="J60" s="130">
        <f>H60*E60</f>
        <v>77687.099999999991</v>
      </c>
      <c r="K60" s="140">
        <f>H60*F60</f>
        <v>0</v>
      </c>
      <c r="L60" s="373"/>
    </row>
    <row r="61" spans="1:21" s="375" customFormat="1" ht="21" hidden="1" thickBot="1" x14ac:dyDescent="0.25">
      <c r="A61" s="374"/>
      <c r="B61" s="1203" t="s">
        <v>64</v>
      </c>
      <c r="C61" s="1204"/>
      <c r="D61" s="1204"/>
      <c r="E61" s="1204"/>
      <c r="F61" s="1204"/>
      <c r="G61" s="1204"/>
      <c r="H61" s="1205"/>
      <c r="I61" s="215">
        <f>I60</f>
        <v>77687.099999999991</v>
      </c>
      <c r="J61" s="215">
        <f>J60</f>
        <v>77687.099999999991</v>
      </c>
      <c r="K61" s="215">
        <f>K60</f>
        <v>0</v>
      </c>
      <c r="L61" s="241">
        <f>J61+K61</f>
        <v>77687.099999999991</v>
      </c>
      <c r="M61" s="644"/>
      <c r="N61" s="638"/>
      <c r="O61" s="638"/>
      <c r="P61" s="638"/>
      <c r="Q61" s="638"/>
      <c r="R61" s="638"/>
      <c r="S61" s="638"/>
      <c r="T61" s="638"/>
      <c r="U61" s="638"/>
    </row>
    <row r="62" spans="1:21" ht="18.75" hidden="1" thickBot="1" x14ac:dyDescent="0.25">
      <c r="A62" s="471"/>
      <c r="B62" s="376" t="s">
        <v>168</v>
      </c>
      <c r="C62" s="210"/>
      <c r="D62" s="131"/>
      <c r="E62" s="210"/>
      <c r="F62" s="210"/>
      <c r="G62" s="49"/>
      <c r="H62" s="131"/>
      <c r="I62" s="131"/>
      <c r="J62" s="131"/>
      <c r="K62" s="131"/>
      <c r="L62" s="473"/>
    </row>
    <row r="63" spans="1:21" ht="18.75" hidden="1" thickBot="1" x14ac:dyDescent="0.25">
      <c r="A63" s="436">
        <v>4.0999999999999996</v>
      </c>
      <c r="B63" s="371" t="s">
        <v>169</v>
      </c>
      <c r="C63" s="205"/>
      <c r="D63" s="140"/>
      <c r="E63" s="205"/>
      <c r="F63" s="205"/>
      <c r="G63" s="51"/>
      <c r="H63" s="140"/>
      <c r="I63" s="140"/>
      <c r="J63" s="140"/>
      <c r="K63" s="140"/>
      <c r="L63" s="373"/>
    </row>
    <row r="64" spans="1:21" ht="18.75" hidden="1" thickBot="1" x14ac:dyDescent="0.25">
      <c r="A64" s="436"/>
      <c r="B64" s="371" t="s">
        <v>170</v>
      </c>
      <c r="C64" s="205"/>
      <c r="D64" s="140"/>
      <c r="E64" s="205"/>
      <c r="F64" s="205"/>
      <c r="G64" s="51"/>
      <c r="H64" s="140"/>
      <c r="I64" s="140"/>
      <c r="J64" s="140"/>
      <c r="K64" s="140"/>
      <c r="L64" s="373"/>
    </row>
    <row r="65" spans="1:32" ht="18.75" hidden="1" thickBot="1" x14ac:dyDescent="0.25">
      <c r="A65" s="436"/>
      <c r="B65" s="371" t="s">
        <v>172</v>
      </c>
      <c r="C65" s="205" t="s">
        <v>174</v>
      </c>
      <c r="D65" s="140">
        <v>503.5</v>
      </c>
      <c r="E65" s="205">
        <v>550.57000000000005</v>
      </c>
      <c r="F65" s="205"/>
      <c r="G65" s="51"/>
      <c r="H65" s="140">
        <v>22</v>
      </c>
      <c r="I65" s="140">
        <f>H65*D65</f>
        <v>11077</v>
      </c>
      <c r="J65" s="130">
        <f>E65*H65</f>
        <v>12112.54</v>
      </c>
      <c r="K65" s="140">
        <f>H65*F65</f>
        <v>0</v>
      </c>
      <c r="L65" s="373"/>
    </row>
    <row r="66" spans="1:32" ht="18.75" hidden="1" thickBot="1" x14ac:dyDescent="0.25">
      <c r="A66" s="436"/>
      <c r="B66" s="371" t="s">
        <v>173</v>
      </c>
      <c r="C66" s="205" t="s">
        <v>174</v>
      </c>
      <c r="D66" s="140">
        <v>506</v>
      </c>
      <c r="E66" s="205">
        <v>591.1</v>
      </c>
      <c r="F66" s="205"/>
      <c r="G66" s="51"/>
      <c r="H66" s="140">
        <v>20</v>
      </c>
      <c r="I66" s="140">
        <f>H66*D66</f>
        <v>10120</v>
      </c>
      <c r="J66" s="130">
        <f>E66*H66</f>
        <v>11822</v>
      </c>
      <c r="K66" s="140">
        <f>H66*F66</f>
        <v>0</v>
      </c>
      <c r="L66" s="373"/>
    </row>
    <row r="67" spans="1:32" ht="18.75" hidden="1" thickBot="1" x14ac:dyDescent="0.25">
      <c r="A67" s="436"/>
      <c r="B67" s="371" t="s">
        <v>171</v>
      </c>
      <c r="C67" s="205" t="s">
        <v>174</v>
      </c>
      <c r="D67" s="140">
        <v>414</v>
      </c>
      <c r="E67" s="205">
        <v>388.8</v>
      </c>
      <c r="F67" s="205"/>
      <c r="G67" s="51"/>
      <c r="H67" s="140">
        <v>48</v>
      </c>
      <c r="I67" s="140">
        <f>H67*D67</f>
        <v>19872</v>
      </c>
      <c r="J67" s="130">
        <f>E67*H67</f>
        <v>18662.400000000001</v>
      </c>
      <c r="K67" s="140">
        <f>H67*F67</f>
        <v>0</v>
      </c>
      <c r="L67" s="373"/>
    </row>
    <row r="68" spans="1:32" s="375" customFormat="1" ht="21" hidden="1" thickBot="1" x14ac:dyDescent="0.25">
      <c r="A68" s="374"/>
      <c r="B68" s="1203" t="s">
        <v>64</v>
      </c>
      <c r="C68" s="1204"/>
      <c r="D68" s="1204"/>
      <c r="E68" s="1204"/>
      <c r="F68" s="1204"/>
      <c r="G68" s="1204"/>
      <c r="H68" s="1205"/>
      <c r="I68" s="215">
        <f>SUM(I65:I67)</f>
        <v>41069</v>
      </c>
      <c r="J68" s="215">
        <f>SUM(J65:J67)</f>
        <v>42596.94</v>
      </c>
      <c r="K68" s="215">
        <f>SUM(K65:K67)</f>
        <v>0</v>
      </c>
      <c r="L68" s="241">
        <f>J68+K68</f>
        <v>42596.94</v>
      </c>
      <c r="M68" s="644"/>
      <c r="N68" s="638"/>
      <c r="O68" s="638"/>
      <c r="P68" s="638"/>
      <c r="Q68" s="638"/>
      <c r="R68" s="638"/>
      <c r="S68" s="638"/>
      <c r="T68" s="638"/>
      <c r="U68" s="638"/>
    </row>
    <row r="69" spans="1:32" s="332" customFormat="1" ht="26.25" customHeight="1" x14ac:dyDescent="0.2">
      <c r="A69" s="710"/>
      <c r="B69" s="711" t="s">
        <v>292</v>
      </c>
      <c r="C69" s="712"/>
      <c r="D69" s="712"/>
      <c r="E69" s="712"/>
      <c r="F69" s="712"/>
      <c r="G69" s="712"/>
      <c r="H69" s="713"/>
      <c r="I69" s="713"/>
      <c r="J69" s="713"/>
      <c r="K69" s="713"/>
      <c r="L69" s="713"/>
      <c r="M69" s="629"/>
      <c r="N69" s="629"/>
      <c r="O69" s="629"/>
      <c r="P69" s="629"/>
      <c r="Q69" s="629"/>
      <c r="R69" s="629"/>
      <c r="S69" s="629"/>
      <c r="T69" s="629"/>
      <c r="U69" s="629"/>
      <c r="V69" s="629"/>
      <c r="W69" s="629"/>
      <c r="X69" s="629"/>
    </row>
    <row r="70" spans="1:32" s="332" customFormat="1" ht="21" customHeight="1" x14ac:dyDescent="0.2">
      <c r="A70" s="714"/>
      <c r="B70" s="715" t="s">
        <v>293</v>
      </c>
      <c r="C70" s="716"/>
      <c r="D70" s="716"/>
      <c r="E70" s="716"/>
      <c r="F70" s="716"/>
      <c r="G70" s="716"/>
      <c r="H70" s="422"/>
      <c r="I70" s="422"/>
      <c r="J70" s="422"/>
      <c r="K70" s="422"/>
      <c r="L70" s="717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</row>
    <row r="71" spans="1:32" s="332" customFormat="1" ht="21" customHeight="1" x14ac:dyDescent="0.2">
      <c r="A71" s="714"/>
      <c r="B71" s="715" t="s">
        <v>294</v>
      </c>
      <c r="C71" s="716" t="s">
        <v>11</v>
      </c>
      <c r="D71" s="716">
        <v>349.63</v>
      </c>
      <c r="E71" s="422">
        <v>353.62</v>
      </c>
      <c r="F71" s="716"/>
      <c r="G71" s="716">
        <f>F71+E71</f>
        <v>353.62</v>
      </c>
      <c r="H71" s="716">
        <v>310</v>
      </c>
      <c r="I71" s="130">
        <f>D71*H71</f>
        <v>108385.3</v>
      </c>
      <c r="J71" s="422">
        <f>H71*E71</f>
        <v>109622.2</v>
      </c>
      <c r="K71" s="422">
        <f>H71*F71</f>
        <v>0</v>
      </c>
      <c r="L71" s="717">
        <f>K71+J71</f>
        <v>109622.2</v>
      </c>
      <c r="M71" s="630"/>
      <c r="N71" s="629"/>
      <c r="O71" s="629"/>
      <c r="P71" s="629"/>
      <c r="Q71" s="629"/>
      <c r="R71" s="629"/>
      <c r="S71" s="629"/>
      <c r="T71" s="629"/>
      <c r="U71" s="629"/>
      <c r="V71" s="629"/>
      <c r="W71" s="629"/>
      <c r="X71" s="629"/>
    </row>
    <row r="72" spans="1:32" s="332" customFormat="1" ht="21" customHeight="1" x14ac:dyDescent="0.2">
      <c r="A72" s="714"/>
      <c r="B72" s="718" t="s">
        <v>295</v>
      </c>
      <c r="C72" s="716" t="s">
        <v>11</v>
      </c>
      <c r="D72" s="716">
        <v>83.03</v>
      </c>
      <c r="E72" s="422"/>
      <c r="F72" s="719">
        <v>109.2</v>
      </c>
      <c r="G72" s="719"/>
      <c r="H72" s="716">
        <v>295</v>
      </c>
      <c r="I72" s="130">
        <f>D72*H72</f>
        <v>24493.85</v>
      </c>
      <c r="J72" s="422">
        <f>H72*E72</f>
        <v>0</v>
      </c>
      <c r="K72" s="422">
        <f>H72*F72</f>
        <v>32214</v>
      </c>
      <c r="L72" s="717">
        <f>K72+J72</f>
        <v>32214</v>
      </c>
      <c r="M72" s="629"/>
      <c r="N72" s="629"/>
      <c r="O72" s="629"/>
      <c r="P72" s="629"/>
      <c r="Q72" s="629"/>
      <c r="R72" s="629"/>
      <c r="S72" s="629"/>
      <c r="T72" s="629"/>
      <c r="U72" s="629"/>
      <c r="V72" s="629"/>
      <c r="W72" s="629"/>
      <c r="X72" s="629"/>
    </row>
    <row r="73" spans="1:32" s="581" customFormat="1" ht="26.25" customHeight="1" thickBot="1" x14ac:dyDescent="0.2">
      <c r="A73" s="579"/>
      <c r="B73" s="1101" t="s">
        <v>64</v>
      </c>
      <c r="C73" s="1102"/>
      <c r="D73" s="1102"/>
      <c r="E73" s="1102"/>
      <c r="F73" s="1102"/>
      <c r="G73" s="1102"/>
      <c r="H73" s="1103"/>
      <c r="I73" s="568">
        <f>SUM(I71:I72)</f>
        <v>132879.15</v>
      </c>
      <c r="J73" s="568">
        <f>SUM(J71:J72)</f>
        <v>109622.2</v>
      </c>
      <c r="K73" s="568">
        <f>SUM(K71:K72)</f>
        <v>32214</v>
      </c>
      <c r="L73" s="568">
        <f>SUM(L71:L72)</f>
        <v>141836.20000000001</v>
      </c>
      <c r="M73" s="626"/>
      <c r="N73" s="626"/>
      <c r="O73" s="626"/>
      <c r="P73" s="626"/>
      <c r="Q73" s="626"/>
      <c r="R73" s="626"/>
      <c r="S73" s="626"/>
      <c r="T73" s="626"/>
      <c r="U73" s="626"/>
      <c r="V73" s="626"/>
      <c r="W73" s="626"/>
      <c r="X73" s="626"/>
    </row>
    <row r="74" spans="1:32" s="278" customFormat="1" ht="18" x14ac:dyDescent="0.2">
      <c r="A74" s="491"/>
      <c r="B74" s="492" t="s">
        <v>167</v>
      </c>
      <c r="C74" s="234"/>
      <c r="D74" s="233"/>
      <c r="E74" s="234"/>
      <c r="F74" s="234"/>
      <c r="G74" s="234"/>
      <c r="H74" s="233"/>
      <c r="I74" s="233"/>
      <c r="J74" s="233"/>
      <c r="K74" s="233"/>
      <c r="L74" s="493"/>
      <c r="M74" s="622"/>
      <c r="N74" s="622"/>
      <c r="O74" s="622"/>
      <c r="P74" s="622"/>
      <c r="Q74" s="622"/>
      <c r="R74" s="622"/>
      <c r="S74" s="622"/>
      <c r="T74" s="622"/>
      <c r="U74" s="622"/>
      <c r="V74" s="622"/>
      <c r="W74" s="622"/>
      <c r="X74" s="622"/>
      <c r="Y74" s="622"/>
      <c r="Z74" s="622"/>
      <c r="AA74" s="622"/>
      <c r="AB74" s="622"/>
      <c r="AC74" s="622"/>
      <c r="AD74" s="622"/>
      <c r="AE74" s="622"/>
      <c r="AF74" s="622"/>
    </row>
    <row r="75" spans="1:32" s="278" customFormat="1" ht="18" x14ac:dyDescent="0.2">
      <c r="A75" s="494">
        <v>3.1</v>
      </c>
      <c r="B75" s="495" t="s">
        <v>166</v>
      </c>
      <c r="C75" s="236" t="s">
        <v>11</v>
      </c>
      <c r="D75" s="235">
        <v>337.77</v>
      </c>
      <c r="E75" s="236">
        <v>337.77</v>
      </c>
      <c r="F75" s="966"/>
      <c r="G75" s="236">
        <v>354.34</v>
      </c>
      <c r="H75" s="235">
        <v>245</v>
      </c>
      <c r="I75" s="235">
        <f>D75*H75</f>
        <v>82753.649999999994</v>
      </c>
      <c r="J75" s="233">
        <f>E75*H75</f>
        <v>82753.649999999994</v>
      </c>
      <c r="K75" s="235">
        <f>H75*F75</f>
        <v>0</v>
      </c>
      <c r="L75" s="496">
        <f>K75+J75</f>
        <v>82753.649999999994</v>
      </c>
      <c r="M75" s="622"/>
      <c r="N75" s="622"/>
      <c r="O75" s="622"/>
      <c r="P75" s="622"/>
      <c r="Q75" s="622"/>
      <c r="R75" s="622"/>
      <c r="S75" s="622"/>
      <c r="T75" s="622"/>
      <c r="U75" s="622"/>
      <c r="V75" s="622"/>
      <c r="W75" s="622"/>
      <c r="X75" s="622"/>
      <c r="Y75" s="622"/>
      <c r="Z75" s="622"/>
      <c r="AA75" s="622"/>
      <c r="AB75" s="622"/>
      <c r="AC75" s="622"/>
      <c r="AD75" s="622"/>
      <c r="AE75" s="622"/>
      <c r="AF75" s="622"/>
    </row>
    <row r="76" spans="1:32" s="278" customFormat="1" ht="18" x14ac:dyDescent="0.2">
      <c r="A76" s="967">
        <v>3.2</v>
      </c>
      <c r="B76" s="960" t="s">
        <v>547</v>
      </c>
      <c r="C76" s="236" t="s">
        <v>11</v>
      </c>
      <c r="D76" s="960">
        <v>45.84</v>
      </c>
      <c r="E76" s="968"/>
      <c r="F76" s="969"/>
      <c r="G76" s="968"/>
      <c r="H76" s="960">
        <v>220</v>
      </c>
      <c r="I76" s="235">
        <f>D76*H76</f>
        <v>10084.800000000001</v>
      </c>
      <c r="J76" s="233">
        <f>E76*H76</f>
        <v>0</v>
      </c>
      <c r="K76" s="235">
        <f>H76*F76</f>
        <v>0</v>
      </c>
      <c r="L76" s="496">
        <f>K76+J76</f>
        <v>0</v>
      </c>
      <c r="M76" s="622"/>
      <c r="N76" s="622"/>
      <c r="O76" s="622"/>
      <c r="P76" s="622"/>
      <c r="Q76" s="622"/>
      <c r="R76" s="622"/>
      <c r="S76" s="622"/>
      <c r="T76" s="622"/>
      <c r="U76" s="622"/>
      <c r="V76" s="622"/>
      <c r="W76" s="622"/>
      <c r="X76" s="622"/>
      <c r="Y76" s="622"/>
      <c r="Z76" s="622"/>
      <c r="AA76" s="622"/>
      <c r="AB76" s="622"/>
      <c r="AC76" s="622"/>
      <c r="AD76" s="622"/>
      <c r="AE76" s="622"/>
      <c r="AF76" s="622"/>
    </row>
    <row r="77" spans="1:32" s="574" customFormat="1" ht="21.75" customHeight="1" thickBot="1" x14ac:dyDescent="0.25">
      <c r="A77" s="585"/>
      <c r="B77" s="1174" t="s">
        <v>64</v>
      </c>
      <c r="C77" s="1175"/>
      <c r="D77" s="1175"/>
      <c r="E77" s="1175"/>
      <c r="F77" s="1175"/>
      <c r="G77" s="1175"/>
      <c r="H77" s="1176"/>
      <c r="I77" s="586">
        <f>SUM(I75:I76)</f>
        <v>92838.45</v>
      </c>
      <c r="J77" s="586">
        <f>SUM(J75:J76)</f>
        <v>82753.649999999994</v>
      </c>
      <c r="K77" s="586">
        <f>SUM(K75:K76)</f>
        <v>0</v>
      </c>
      <c r="L77" s="586">
        <f>SUM(L75:L76)</f>
        <v>82753.649999999994</v>
      </c>
      <c r="M77" s="622"/>
      <c r="N77" s="622"/>
      <c r="O77" s="622"/>
      <c r="P77" s="622"/>
      <c r="Q77" s="622"/>
      <c r="R77" s="622"/>
      <c r="S77" s="622"/>
      <c r="T77" s="622"/>
      <c r="U77" s="622"/>
      <c r="V77" s="622"/>
      <c r="W77" s="622"/>
      <c r="X77" s="622"/>
      <c r="Y77" s="622"/>
      <c r="Z77" s="622"/>
      <c r="AA77" s="622"/>
      <c r="AB77" s="622"/>
      <c r="AC77" s="622"/>
      <c r="AD77" s="622"/>
      <c r="AE77" s="622"/>
      <c r="AF77" s="622"/>
    </row>
    <row r="78" spans="1:32" s="278" customFormat="1" ht="18" x14ac:dyDescent="0.2">
      <c r="A78" s="491"/>
      <c r="B78" s="492" t="s">
        <v>168</v>
      </c>
      <c r="C78" s="234"/>
      <c r="D78" s="233"/>
      <c r="E78" s="234"/>
      <c r="F78" s="234"/>
      <c r="G78" s="234"/>
      <c r="H78" s="233"/>
      <c r="I78" s="233"/>
      <c r="J78" s="233"/>
      <c r="K78" s="233"/>
      <c r="L78" s="493"/>
      <c r="M78" s="622"/>
      <c r="N78" s="622"/>
      <c r="O78" s="622"/>
      <c r="P78" s="622"/>
      <c r="Q78" s="622"/>
      <c r="R78" s="622"/>
      <c r="S78" s="622"/>
      <c r="T78" s="622"/>
      <c r="U78" s="622"/>
      <c r="V78" s="622"/>
      <c r="W78" s="622"/>
      <c r="X78" s="622"/>
      <c r="Y78" s="622"/>
      <c r="Z78" s="622"/>
      <c r="AA78" s="622"/>
      <c r="AB78" s="622"/>
      <c r="AC78" s="622"/>
      <c r="AD78" s="622"/>
      <c r="AE78" s="622"/>
      <c r="AF78" s="622"/>
    </row>
    <row r="79" spans="1:32" s="278" customFormat="1" ht="18" x14ac:dyDescent="0.2">
      <c r="A79" s="497">
        <v>4.0999999999999996</v>
      </c>
      <c r="B79" s="498" t="s">
        <v>169</v>
      </c>
      <c r="C79" s="218"/>
      <c r="D79" s="232"/>
      <c r="E79" s="218"/>
      <c r="F79" s="218"/>
      <c r="G79" s="218"/>
      <c r="H79" s="232"/>
      <c r="I79" s="232"/>
      <c r="J79" s="232"/>
      <c r="K79" s="232"/>
      <c r="L79" s="499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22"/>
      <c r="AB79" s="622"/>
      <c r="AC79" s="622"/>
      <c r="AD79" s="622"/>
      <c r="AE79" s="622"/>
      <c r="AF79" s="622"/>
    </row>
    <row r="80" spans="1:32" s="278" customFormat="1" ht="18" x14ac:dyDescent="0.2">
      <c r="A80" s="497"/>
      <c r="B80" s="498" t="s">
        <v>170</v>
      </c>
      <c r="C80" s="218"/>
      <c r="D80" s="232"/>
      <c r="E80" s="218"/>
      <c r="F80" s="218"/>
      <c r="G80" s="218"/>
      <c r="H80" s="232"/>
      <c r="I80" s="232"/>
      <c r="J80" s="232"/>
      <c r="K80" s="232"/>
      <c r="L80" s="499"/>
      <c r="M80" s="622"/>
      <c r="N80" s="622"/>
      <c r="O80" s="622"/>
      <c r="P80" s="622"/>
      <c r="Q80" s="622"/>
      <c r="R80" s="622"/>
      <c r="S80" s="622"/>
      <c r="T80" s="622"/>
      <c r="U80" s="622"/>
      <c r="V80" s="622"/>
      <c r="W80" s="622"/>
      <c r="X80" s="622"/>
      <c r="Y80" s="622"/>
      <c r="Z80" s="622"/>
      <c r="AA80" s="622"/>
      <c r="AB80" s="622"/>
      <c r="AC80" s="622"/>
      <c r="AD80" s="622"/>
      <c r="AE80" s="622"/>
      <c r="AF80" s="622"/>
    </row>
    <row r="81" spans="1:32" s="278" customFormat="1" ht="18" x14ac:dyDescent="0.2">
      <c r="A81" s="497"/>
      <c r="B81" s="498" t="s">
        <v>172</v>
      </c>
      <c r="C81" s="218" t="s">
        <v>174</v>
      </c>
      <c r="D81" s="232">
        <v>503.5</v>
      </c>
      <c r="E81" s="218">
        <v>550.57000000000005</v>
      </c>
      <c r="F81" s="218"/>
      <c r="G81" s="237">
        <f>F81+E81</f>
        <v>550.57000000000005</v>
      </c>
      <c r="H81" s="232">
        <v>20</v>
      </c>
      <c r="I81" s="232">
        <f>H81*D81</f>
        <v>10070</v>
      </c>
      <c r="J81" s="232">
        <f>H81*E81</f>
        <v>11011.400000000001</v>
      </c>
      <c r="K81" s="232">
        <f>H81*F81</f>
        <v>0</v>
      </c>
      <c r="L81" s="499">
        <f>K81+J81</f>
        <v>11011.400000000001</v>
      </c>
      <c r="M81" s="622"/>
      <c r="N81" s="622"/>
      <c r="O81" s="622"/>
      <c r="P81" s="622"/>
      <c r="Q81" s="622"/>
      <c r="R81" s="622"/>
      <c r="S81" s="622"/>
      <c r="T81" s="622"/>
      <c r="U81" s="622"/>
      <c r="V81" s="622"/>
      <c r="W81" s="622"/>
      <c r="X81" s="622"/>
      <c r="Y81" s="622"/>
      <c r="Z81" s="622"/>
      <c r="AA81" s="622"/>
      <c r="AB81" s="622"/>
      <c r="AC81" s="622"/>
      <c r="AD81" s="622"/>
      <c r="AE81" s="622"/>
      <c r="AF81" s="622"/>
    </row>
    <row r="82" spans="1:32" s="278" customFormat="1" ht="18" x14ac:dyDescent="0.2">
      <c r="A82" s="497"/>
      <c r="B82" s="498" t="s">
        <v>173</v>
      </c>
      <c r="C82" s="218" t="s">
        <v>174</v>
      </c>
      <c r="D82" s="232">
        <v>506</v>
      </c>
      <c r="E82" s="218">
        <v>591.1</v>
      </c>
      <c r="F82" s="218"/>
      <c r="G82" s="237">
        <f>F82+E82</f>
        <v>591.1</v>
      </c>
      <c r="H82" s="232">
        <v>19</v>
      </c>
      <c r="I82" s="232">
        <f>H82*D82</f>
        <v>9614</v>
      </c>
      <c r="J82" s="232">
        <f>H82*E82</f>
        <v>11230.9</v>
      </c>
      <c r="K82" s="232">
        <f>H82*F82</f>
        <v>0</v>
      </c>
      <c r="L82" s="499">
        <f>K82+J82</f>
        <v>11230.9</v>
      </c>
      <c r="M82" s="622"/>
      <c r="N82" s="622"/>
      <c r="O82" s="622"/>
      <c r="P82" s="622"/>
      <c r="Q82" s="622"/>
      <c r="R82" s="622"/>
      <c r="S82" s="622"/>
      <c r="T82" s="622"/>
      <c r="U82" s="622"/>
      <c r="V82" s="622"/>
      <c r="W82" s="622"/>
      <c r="X82" s="622"/>
      <c r="Y82" s="622"/>
      <c r="Z82" s="622"/>
      <c r="AA82" s="622"/>
      <c r="AB82" s="622"/>
      <c r="AC82" s="622"/>
      <c r="AD82" s="622"/>
      <c r="AE82" s="622"/>
      <c r="AF82" s="622"/>
    </row>
    <row r="83" spans="1:32" s="278" customFormat="1" ht="18" x14ac:dyDescent="0.2">
      <c r="A83" s="494"/>
      <c r="B83" s="495" t="s">
        <v>171</v>
      </c>
      <c r="C83" s="236" t="s">
        <v>174</v>
      </c>
      <c r="D83" s="235">
        <v>414</v>
      </c>
      <c r="E83" s="236">
        <v>388.8</v>
      </c>
      <c r="F83" s="236"/>
      <c r="G83" s="970">
        <f>F83+E83</f>
        <v>388.8</v>
      </c>
      <c r="H83" s="235">
        <v>45</v>
      </c>
      <c r="I83" s="235">
        <f>H83*D83</f>
        <v>18630</v>
      </c>
      <c r="J83" s="235">
        <f>H83*E83</f>
        <v>17496</v>
      </c>
      <c r="K83" s="235">
        <f>H83*F83</f>
        <v>0</v>
      </c>
      <c r="L83" s="496">
        <f>K83+J83</f>
        <v>17496</v>
      </c>
      <c r="M83" s="622"/>
      <c r="N83" s="622"/>
      <c r="O83" s="622"/>
      <c r="P83" s="622"/>
      <c r="Q83" s="622"/>
      <c r="R83" s="622"/>
      <c r="S83" s="622"/>
      <c r="T83" s="622"/>
      <c r="U83" s="622"/>
      <c r="V83" s="622"/>
      <c r="W83" s="622"/>
      <c r="X83" s="622"/>
      <c r="Y83" s="622"/>
      <c r="Z83" s="622"/>
      <c r="AA83" s="622"/>
      <c r="AB83" s="622"/>
      <c r="AC83" s="622"/>
      <c r="AD83" s="622"/>
      <c r="AE83" s="622"/>
      <c r="AF83" s="622"/>
    </row>
    <row r="84" spans="1:32" s="278" customFormat="1" ht="18" x14ac:dyDescent="0.2">
      <c r="A84" s="967">
        <v>4.2</v>
      </c>
      <c r="B84" s="960" t="s">
        <v>548</v>
      </c>
      <c r="C84" s="236" t="s">
        <v>174</v>
      </c>
      <c r="D84" s="960">
        <v>70.8</v>
      </c>
      <c r="E84" s="968"/>
      <c r="F84" s="971">
        <v>76</v>
      </c>
      <c r="G84" s="970">
        <f>F84+E84</f>
        <v>76</v>
      </c>
      <c r="H84" s="960">
        <v>105</v>
      </c>
      <c r="I84" s="235">
        <f>H84*D84</f>
        <v>7434</v>
      </c>
      <c r="J84" s="235">
        <f>H84*E84</f>
        <v>0</v>
      </c>
      <c r="K84" s="235">
        <f>H84*F84</f>
        <v>7980</v>
      </c>
      <c r="L84" s="496">
        <f>K84+J84</f>
        <v>7980</v>
      </c>
      <c r="M84" s="622"/>
      <c r="N84" s="622"/>
      <c r="O84" s="622"/>
      <c r="P84" s="622"/>
      <c r="Q84" s="622"/>
      <c r="R84" s="622"/>
      <c r="S84" s="622"/>
      <c r="T84" s="622"/>
      <c r="U84" s="622"/>
      <c r="V84" s="622"/>
      <c r="W84" s="622"/>
      <c r="X84" s="622"/>
      <c r="Y84" s="622"/>
      <c r="Z84" s="622"/>
      <c r="AA84" s="622"/>
      <c r="AB84" s="622"/>
      <c r="AC84" s="622"/>
      <c r="AD84" s="622"/>
      <c r="AE84" s="622"/>
      <c r="AF84" s="622"/>
    </row>
    <row r="85" spans="1:32" s="574" customFormat="1" ht="21.75" customHeight="1" thickBot="1" x14ac:dyDescent="0.25">
      <c r="A85" s="585"/>
      <c r="B85" s="1174" t="s">
        <v>64</v>
      </c>
      <c r="C85" s="1175"/>
      <c r="D85" s="1175"/>
      <c r="E85" s="1175"/>
      <c r="F85" s="1175"/>
      <c r="G85" s="1175"/>
      <c r="H85" s="1176"/>
      <c r="I85" s="586">
        <f>SUM(I81:I84)</f>
        <v>45748</v>
      </c>
      <c r="J85" s="586">
        <f>SUM(J81:J84)</f>
        <v>39738.300000000003</v>
      </c>
      <c r="K85" s="586">
        <f>SUM(K81:K84)</f>
        <v>7980</v>
      </c>
      <c r="L85" s="586">
        <f>SUM(L81:L84)</f>
        <v>47718.3</v>
      </c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22"/>
      <c r="AB85" s="622"/>
      <c r="AC85" s="622"/>
      <c r="AD85" s="622"/>
      <c r="AE85" s="622"/>
      <c r="AF85" s="622"/>
    </row>
    <row r="86" spans="1:32" s="312" customFormat="1" ht="18" x14ac:dyDescent="0.2">
      <c r="A86" s="474"/>
      <c r="B86" s="475" t="s">
        <v>549</v>
      </c>
      <c r="C86" s="476"/>
      <c r="D86" s="476"/>
      <c r="E86" s="720"/>
      <c r="F86" s="720"/>
      <c r="G86" s="720"/>
      <c r="H86" s="721"/>
      <c r="I86" s="721"/>
      <c r="J86" s="362"/>
      <c r="K86" s="362"/>
      <c r="L86" s="362"/>
      <c r="M86" s="628"/>
      <c r="N86" s="628"/>
      <c r="O86" s="628"/>
      <c r="P86" s="628"/>
      <c r="Q86" s="628"/>
      <c r="R86" s="628"/>
      <c r="S86" s="628"/>
      <c r="T86" s="628"/>
      <c r="U86" s="628"/>
      <c r="V86" s="628"/>
    </row>
    <row r="87" spans="1:32" s="312" customFormat="1" ht="18" x14ac:dyDescent="0.2">
      <c r="A87" s="451">
        <v>5.2</v>
      </c>
      <c r="B87" s="452" t="s">
        <v>550</v>
      </c>
      <c r="C87" s="476"/>
      <c r="D87" s="476"/>
      <c r="E87" s="244"/>
      <c r="F87" s="244"/>
      <c r="G87" s="244"/>
      <c r="H87" s="477"/>
      <c r="I87" s="477"/>
      <c r="J87" s="244"/>
      <c r="K87" s="244"/>
      <c r="L87" s="244"/>
      <c r="M87" s="628"/>
      <c r="N87" s="628"/>
      <c r="O87" s="628"/>
      <c r="P87" s="628"/>
      <c r="Q87" s="628"/>
      <c r="R87" s="628"/>
      <c r="S87" s="628"/>
      <c r="T87" s="628"/>
      <c r="U87" s="628"/>
      <c r="V87" s="628"/>
    </row>
    <row r="88" spans="1:32" s="312" customFormat="1" ht="18" x14ac:dyDescent="0.2">
      <c r="A88" s="451"/>
      <c r="B88" s="452" t="s">
        <v>551</v>
      </c>
      <c r="C88" s="218" t="s">
        <v>142</v>
      </c>
      <c r="D88" s="218">
        <v>5</v>
      </c>
      <c r="E88" s="244"/>
      <c r="F88" s="244">
        <v>5</v>
      </c>
      <c r="G88" s="244">
        <f>F88+E88</f>
        <v>5</v>
      </c>
      <c r="H88" s="232">
        <v>2400</v>
      </c>
      <c r="I88" s="232">
        <f>H88*D88</f>
        <v>12000</v>
      </c>
      <c r="J88" s="130">
        <f>H88*E88</f>
        <v>0</v>
      </c>
      <c r="K88" s="130">
        <f>H88*F88</f>
        <v>12000</v>
      </c>
      <c r="L88" s="244">
        <f>K88+J88</f>
        <v>12000</v>
      </c>
      <c r="M88" s="628"/>
      <c r="N88" s="628"/>
      <c r="O88" s="628"/>
      <c r="P88" s="628"/>
      <c r="Q88" s="628"/>
      <c r="R88" s="628"/>
      <c r="S88" s="628"/>
      <c r="T88" s="628"/>
      <c r="U88" s="628"/>
      <c r="V88" s="628"/>
    </row>
    <row r="89" spans="1:32" s="312" customFormat="1" ht="18" x14ac:dyDescent="0.2">
      <c r="A89" s="451"/>
      <c r="B89" s="452" t="s">
        <v>552</v>
      </c>
      <c r="C89" s="218" t="s">
        <v>142</v>
      </c>
      <c r="D89" s="218">
        <v>6</v>
      </c>
      <c r="E89" s="381"/>
      <c r="F89" s="381">
        <v>7</v>
      </c>
      <c r="G89" s="244">
        <f t="shared" ref="G89:G97" si="12">F89+E89</f>
        <v>7</v>
      </c>
      <c r="H89" s="232">
        <v>2800</v>
      </c>
      <c r="I89" s="232">
        <f>H89*D89</f>
        <v>16800</v>
      </c>
      <c r="J89" s="130">
        <f>H89*E89</f>
        <v>0</v>
      </c>
      <c r="K89" s="130">
        <f>H89*F89</f>
        <v>19600</v>
      </c>
      <c r="L89" s="244">
        <f>K89+J89</f>
        <v>19600</v>
      </c>
      <c r="M89" s="628"/>
      <c r="N89" s="628"/>
      <c r="O89" s="628"/>
      <c r="P89" s="628"/>
      <c r="Q89" s="628"/>
      <c r="R89" s="628"/>
      <c r="S89" s="628"/>
      <c r="T89" s="628"/>
      <c r="U89" s="628"/>
      <c r="V89" s="628"/>
    </row>
    <row r="90" spans="1:32" s="312" customFormat="1" ht="17.25" customHeight="1" x14ac:dyDescent="0.2">
      <c r="A90" s="451"/>
      <c r="B90" s="453" t="s">
        <v>553</v>
      </c>
      <c r="C90" s="218" t="s">
        <v>142</v>
      </c>
      <c r="D90" s="218">
        <v>2</v>
      </c>
      <c r="E90" s="244"/>
      <c r="F90" s="244">
        <v>1</v>
      </c>
      <c r="G90" s="244">
        <f t="shared" si="12"/>
        <v>1</v>
      </c>
      <c r="H90" s="232">
        <v>3000</v>
      </c>
      <c r="I90" s="232">
        <f>H90*D90</f>
        <v>6000</v>
      </c>
      <c r="J90" s="130">
        <f>H90*E90</f>
        <v>0</v>
      </c>
      <c r="K90" s="130">
        <f>H90*F90</f>
        <v>3000</v>
      </c>
      <c r="L90" s="244">
        <f>K90+J90</f>
        <v>3000</v>
      </c>
      <c r="M90" s="628"/>
      <c r="N90" s="628"/>
      <c r="O90" s="628"/>
      <c r="P90" s="628"/>
      <c r="Q90" s="628"/>
      <c r="R90" s="628"/>
      <c r="S90" s="628"/>
      <c r="T90" s="628"/>
      <c r="U90" s="628"/>
      <c r="V90" s="628"/>
    </row>
    <row r="91" spans="1:32" s="312" customFormat="1" ht="17.25" customHeight="1" x14ac:dyDescent="0.2">
      <c r="A91" s="451"/>
      <c r="B91" s="453" t="s">
        <v>554</v>
      </c>
      <c r="C91" s="218" t="s">
        <v>142</v>
      </c>
      <c r="D91" s="218">
        <v>4</v>
      </c>
      <c r="E91" s="381"/>
      <c r="F91" s="381">
        <v>4</v>
      </c>
      <c r="G91" s="244">
        <f t="shared" si="12"/>
        <v>4</v>
      </c>
      <c r="H91" s="232">
        <v>675</v>
      </c>
      <c r="I91" s="232">
        <f t="shared" ref="I91:I99" si="13">H91*D91</f>
        <v>2700</v>
      </c>
      <c r="J91" s="130">
        <f t="shared" ref="J91:J99" si="14">H91*E91</f>
        <v>0</v>
      </c>
      <c r="K91" s="130">
        <f t="shared" ref="K91:K99" si="15">H91*F91</f>
        <v>2700</v>
      </c>
      <c r="L91" s="244">
        <f t="shared" ref="L91:L99" si="16">K91+J91</f>
        <v>2700</v>
      </c>
      <c r="M91" s="628"/>
      <c r="N91" s="628"/>
      <c r="O91" s="628"/>
      <c r="P91" s="628"/>
      <c r="Q91" s="628"/>
      <c r="R91" s="628"/>
      <c r="S91" s="628"/>
      <c r="T91" s="628"/>
      <c r="U91" s="628"/>
      <c r="V91" s="628"/>
    </row>
    <row r="92" spans="1:32" s="312" customFormat="1" ht="17.25" customHeight="1" x14ac:dyDescent="0.2">
      <c r="A92" s="451">
        <v>5.3</v>
      </c>
      <c r="B92" s="453" t="s">
        <v>395</v>
      </c>
      <c r="C92" s="218"/>
      <c r="D92" s="218"/>
      <c r="E92" s="381"/>
      <c r="F92" s="381"/>
      <c r="G92" s="244">
        <f t="shared" si="12"/>
        <v>0</v>
      </c>
      <c r="H92" s="232"/>
      <c r="I92" s="232">
        <f t="shared" si="13"/>
        <v>0</v>
      </c>
      <c r="J92" s="130">
        <f t="shared" si="14"/>
        <v>0</v>
      </c>
      <c r="K92" s="130">
        <f t="shared" si="15"/>
        <v>0</v>
      </c>
      <c r="L92" s="244">
        <f t="shared" si="16"/>
        <v>0</v>
      </c>
      <c r="M92" s="628"/>
      <c r="N92" s="628"/>
      <c r="O92" s="628"/>
      <c r="P92" s="628"/>
      <c r="Q92" s="628"/>
      <c r="R92" s="628"/>
      <c r="S92" s="628"/>
      <c r="T92" s="628"/>
      <c r="U92" s="628"/>
      <c r="V92" s="628"/>
    </row>
    <row r="93" spans="1:32" s="312" customFormat="1" ht="17.25" customHeight="1" x14ac:dyDescent="0.2">
      <c r="A93" s="451"/>
      <c r="B93" s="453" t="s">
        <v>471</v>
      </c>
      <c r="C93" s="218" t="s">
        <v>142</v>
      </c>
      <c r="D93" s="218">
        <v>8</v>
      </c>
      <c r="E93" s="381"/>
      <c r="F93" s="381"/>
      <c r="G93" s="244">
        <f t="shared" si="12"/>
        <v>0</v>
      </c>
      <c r="H93" s="232">
        <v>2700</v>
      </c>
      <c r="I93" s="232">
        <f t="shared" si="13"/>
        <v>21600</v>
      </c>
      <c r="J93" s="130">
        <f t="shared" si="14"/>
        <v>0</v>
      </c>
      <c r="K93" s="130">
        <f t="shared" si="15"/>
        <v>0</v>
      </c>
      <c r="L93" s="244">
        <f t="shared" si="16"/>
        <v>0</v>
      </c>
      <c r="M93" s="628"/>
      <c r="N93" s="628"/>
      <c r="O93" s="628"/>
      <c r="P93" s="628"/>
      <c r="Q93" s="628"/>
      <c r="R93" s="628"/>
      <c r="S93" s="628"/>
      <c r="T93" s="628"/>
      <c r="U93" s="628"/>
      <c r="V93" s="628"/>
    </row>
    <row r="94" spans="1:32" s="312" customFormat="1" ht="17.25" customHeight="1" x14ac:dyDescent="0.2">
      <c r="A94" s="451"/>
      <c r="B94" s="452" t="s">
        <v>472</v>
      </c>
      <c r="C94" s="218" t="s">
        <v>142</v>
      </c>
      <c r="D94" s="218">
        <v>2</v>
      </c>
      <c r="E94" s="381"/>
      <c r="F94" s="381"/>
      <c r="G94" s="244">
        <f t="shared" si="12"/>
        <v>0</v>
      </c>
      <c r="H94" s="232">
        <v>2362.5</v>
      </c>
      <c r="I94" s="232">
        <f t="shared" si="13"/>
        <v>4725</v>
      </c>
      <c r="J94" s="130">
        <f t="shared" si="14"/>
        <v>0</v>
      </c>
      <c r="K94" s="130">
        <f t="shared" si="15"/>
        <v>0</v>
      </c>
      <c r="L94" s="244">
        <f t="shared" si="16"/>
        <v>0</v>
      </c>
      <c r="M94" s="628"/>
      <c r="N94" s="628"/>
      <c r="O94" s="628"/>
      <c r="P94" s="628"/>
      <c r="Q94" s="628"/>
      <c r="R94" s="628"/>
      <c r="S94" s="628"/>
      <c r="T94" s="628"/>
      <c r="U94" s="628"/>
      <c r="V94" s="628"/>
    </row>
    <row r="95" spans="1:32" s="312" customFormat="1" ht="17.25" customHeight="1" x14ac:dyDescent="0.2">
      <c r="A95" s="451"/>
      <c r="B95" s="452" t="s">
        <v>555</v>
      </c>
      <c r="C95" s="218" t="s">
        <v>142</v>
      </c>
      <c r="D95" s="218">
        <v>1</v>
      </c>
      <c r="E95" s="381"/>
      <c r="F95" s="381">
        <v>1</v>
      </c>
      <c r="G95" s="244">
        <f t="shared" si="12"/>
        <v>1</v>
      </c>
      <c r="H95" s="232">
        <v>5062.5</v>
      </c>
      <c r="I95" s="232">
        <f t="shared" si="13"/>
        <v>5062.5</v>
      </c>
      <c r="J95" s="130">
        <f t="shared" si="14"/>
        <v>0</v>
      </c>
      <c r="K95" s="130">
        <f t="shared" si="15"/>
        <v>5062.5</v>
      </c>
      <c r="L95" s="244">
        <f t="shared" si="16"/>
        <v>5062.5</v>
      </c>
      <c r="M95" s="628"/>
      <c r="N95" s="628"/>
      <c r="O95" s="628"/>
      <c r="P95" s="628"/>
      <c r="Q95" s="628"/>
      <c r="R95" s="628"/>
      <c r="S95" s="628"/>
      <c r="T95" s="628"/>
      <c r="U95" s="628"/>
      <c r="V95" s="628"/>
    </row>
    <row r="96" spans="1:32" s="312" customFormat="1" ht="17.25" customHeight="1" x14ac:dyDescent="0.2">
      <c r="A96" s="451"/>
      <c r="B96" s="452" t="s">
        <v>556</v>
      </c>
      <c r="C96" s="218" t="s">
        <v>142</v>
      </c>
      <c r="D96" s="218">
        <v>1</v>
      </c>
      <c r="E96" s="381"/>
      <c r="F96" s="381">
        <v>1</v>
      </c>
      <c r="G96" s="244">
        <f t="shared" si="12"/>
        <v>1</v>
      </c>
      <c r="H96" s="232">
        <v>6075</v>
      </c>
      <c r="I96" s="232">
        <f t="shared" si="13"/>
        <v>6075</v>
      </c>
      <c r="J96" s="130">
        <f t="shared" si="14"/>
        <v>0</v>
      </c>
      <c r="K96" s="130">
        <f t="shared" si="15"/>
        <v>6075</v>
      </c>
      <c r="L96" s="244">
        <f t="shared" si="16"/>
        <v>6075</v>
      </c>
      <c r="M96" s="628"/>
      <c r="N96" s="628"/>
      <c r="O96" s="628"/>
      <c r="P96" s="628"/>
      <c r="Q96" s="628"/>
      <c r="R96" s="628"/>
      <c r="S96" s="628"/>
      <c r="T96" s="628"/>
      <c r="U96" s="628"/>
      <c r="V96" s="628"/>
    </row>
    <row r="97" spans="1:22" s="312" customFormat="1" ht="17.25" customHeight="1" x14ac:dyDescent="0.2">
      <c r="A97" s="451"/>
      <c r="B97" s="452" t="s">
        <v>557</v>
      </c>
      <c r="C97" s="218" t="s">
        <v>142</v>
      </c>
      <c r="D97" s="218">
        <v>1</v>
      </c>
      <c r="E97" s="381"/>
      <c r="F97" s="381">
        <v>1</v>
      </c>
      <c r="G97" s="244">
        <f t="shared" si="12"/>
        <v>1</v>
      </c>
      <c r="H97" s="232">
        <v>4050</v>
      </c>
      <c r="I97" s="232">
        <f t="shared" si="13"/>
        <v>4050</v>
      </c>
      <c r="J97" s="130">
        <f t="shared" si="14"/>
        <v>0</v>
      </c>
      <c r="K97" s="130">
        <f t="shared" si="15"/>
        <v>4050</v>
      </c>
      <c r="L97" s="244">
        <f t="shared" si="16"/>
        <v>4050</v>
      </c>
      <c r="M97" s="628"/>
      <c r="N97" s="628"/>
      <c r="O97" s="628"/>
      <c r="P97" s="628"/>
      <c r="Q97" s="628"/>
      <c r="R97" s="628"/>
      <c r="S97" s="628"/>
      <c r="T97" s="628"/>
      <c r="U97" s="628"/>
      <c r="V97" s="628"/>
    </row>
    <row r="98" spans="1:22" s="312" customFormat="1" ht="17.25" customHeight="1" x14ac:dyDescent="0.2">
      <c r="A98" s="451"/>
      <c r="B98" s="452"/>
      <c r="C98" s="218"/>
      <c r="D98" s="218"/>
      <c r="E98" s="381"/>
      <c r="F98" s="381"/>
      <c r="G98" s="244"/>
      <c r="H98" s="232"/>
      <c r="I98" s="232">
        <f t="shared" si="13"/>
        <v>0</v>
      </c>
      <c r="J98" s="130">
        <f t="shared" si="14"/>
        <v>0</v>
      </c>
      <c r="K98" s="130">
        <f t="shared" si="15"/>
        <v>0</v>
      </c>
      <c r="L98" s="244">
        <f t="shared" si="16"/>
        <v>0</v>
      </c>
      <c r="M98" s="628"/>
      <c r="N98" s="628"/>
      <c r="O98" s="628"/>
      <c r="P98" s="628"/>
      <c r="Q98" s="628"/>
      <c r="R98" s="628"/>
      <c r="S98" s="628"/>
      <c r="T98" s="628"/>
      <c r="U98" s="628"/>
      <c r="V98" s="628"/>
    </row>
    <row r="99" spans="1:22" s="312" customFormat="1" ht="17.25" customHeight="1" x14ac:dyDescent="0.2">
      <c r="A99" s="451"/>
      <c r="B99" s="453"/>
      <c r="C99" s="218"/>
      <c r="D99" s="218"/>
      <c r="E99" s="244"/>
      <c r="F99" s="244"/>
      <c r="G99" s="244"/>
      <c r="H99" s="232"/>
      <c r="I99" s="232">
        <f t="shared" si="13"/>
        <v>0</v>
      </c>
      <c r="J99" s="130">
        <f t="shared" si="14"/>
        <v>0</v>
      </c>
      <c r="K99" s="130">
        <f t="shared" si="15"/>
        <v>0</v>
      </c>
      <c r="L99" s="244">
        <f t="shared" si="16"/>
        <v>0</v>
      </c>
      <c r="M99" s="628"/>
      <c r="N99" s="628"/>
      <c r="O99" s="628"/>
      <c r="P99" s="628"/>
      <c r="Q99" s="628"/>
      <c r="R99" s="628"/>
      <c r="S99" s="628"/>
      <c r="T99" s="628"/>
      <c r="U99" s="628"/>
      <c r="V99" s="628"/>
    </row>
    <row r="100" spans="1:22" s="582" customFormat="1" ht="21.75" customHeight="1" thickBot="1" x14ac:dyDescent="0.25">
      <c r="A100" s="599"/>
      <c r="B100" s="1171" t="s">
        <v>64</v>
      </c>
      <c r="C100" s="1172"/>
      <c r="D100" s="1172"/>
      <c r="E100" s="1172"/>
      <c r="F100" s="1172"/>
      <c r="G100" s="1172"/>
      <c r="H100" s="1173"/>
      <c r="I100" s="600">
        <f>SUM(I88:I99)</f>
        <v>79012.5</v>
      </c>
      <c r="J100" s="600">
        <f>SUM(J88:J99)</f>
        <v>0</v>
      </c>
      <c r="K100" s="600">
        <f>SUM(K88:K99)</f>
        <v>52487.5</v>
      </c>
      <c r="L100" s="600">
        <f>SUM(L88:L99)</f>
        <v>52487.5</v>
      </c>
      <c r="M100" s="628"/>
      <c r="N100" s="628"/>
      <c r="O100" s="628"/>
      <c r="P100" s="628"/>
      <c r="Q100" s="628"/>
      <c r="R100" s="628"/>
      <c r="S100" s="628"/>
      <c r="T100" s="628"/>
      <c r="U100" s="628"/>
      <c r="V100" s="628"/>
    </row>
    <row r="101" spans="1:22" ht="18" x14ac:dyDescent="0.2">
      <c r="A101" s="474"/>
      <c r="B101" s="475" t="s">
        <v>297</v>
      </c>
      <c r="C101" s="476"/>
      <c r="D101" s="476"/>
      <c r="E101" s="720"/>
      <c r="F101" s="720"/>
      <c r="G101" s="720"/>
      <c r="H101" s="721"/>
      <c r="I101" s="721"/>
      <c r="J101" s="362"/>
      <c r="K101" s="362"/>
      <c r="L101" s="362"/>
    </row>
    <row r="102" spans="1:22" ht="18" x14ac:dyDescent="0.2">
      <c r="A102" s="451">
        <v>6.1</v>
      </c>
      <c r="B102" s="452" t="s">
        <v>298</v>
      </c>
      <c r="C102" s="476"/>
      <c r="D102" s="476"/>
      <c r="E102" s="244"/>
      <c r="F102" s="244"/>
      <c r="G102" s="244"/>
      <c r="H102" s="477"/>
      <c r="I102" s="477"/>
      <c r="J102" s="244"/>
      <c r="K102" s="244"/>
      <c r="L102" s="244"/>
      <c r="N102" s="644"/>
      <c r="O102" s="644"/>
      <c r="P102" s="644"/>
      <c r="Q102" s="644"/>
      <c r="R102" s="644"/>
      <c r="S102" s="644"/>
      <c r="T102" s="644"/>
      <c r="U102" s="644"/>
    </row>
    <row r="103" spans="1:22" ht="20.25" x14ac:dyDescent="0.2">
      <c r="A103" s="451"/>
      <c r="B103" s="452" t="s">
        <v>299</v>
      </c>
      <c r="C103" s="218" t="s">
        <v>303</v>
      </c>
      <c r="D103" s="218">
        <v>174.3</v>
      </c>
      <c r="E103" s="244"/>
      <c r="F103" s="244">
        <v>138.66999999999999</v>
      </c>
      <c r="G103" s="244">
        <f>F103+E103</f>
        <v>138.66999999999999</v>
      </c>
      <c r="H103" s="232">
        <v>115</v>
      </c>
      <c r="I103" s="232">
        <f>H103*D103</f>
        <v>20044.5</v>
      </c>
      <c r="J103" s="130">
        <f>H103*E103</f>
        <v>0</v>
      </c>
      <c r="K103" s="130">
        <f>H103*F103</f>
        <v>15947.05</v>
      </c>
      <c r="L103" s="244">
        <f>K103+J103</f>
        <v>15947.05</v>
      </c>
    </row>
    <row r="104" spans="1:22" ht="18" x14ac:dyDescent="0.2">
      <c r="A104" s="451">
        <v>6.2</v>
      </c>
      <c r="B104" s="452" t="s">
        <v>301</v>
      </c>
      <c r="C104" s="218"/>
      <c r="D104" s="218"/>
      <c r="E104" s="381"/>
      <c r="F104" s="381"/>
      <c r="G104" s="244">
        <f t="shared" ref="G104:G114" si="17">F104+E104</f>
        <v>0</v>
      </c>
      <c r="H104" s="232"/>
      <c r="I104" s="232">
        <f>H104*D104</f>
        <v>0</v>
      </c>
      <c r="J104" s="130">
        <f>H104*E104</f>
        <v>0</v>
      </c>
      <c r="K104" s="130">
        <f>H104*F104</f>
        <v>0</v>
      </c>
      <c r="L104" s="244">
        <f>K104+J104</f>
        <v>0</v>
      </c>
    </row>
    <row r="105" spans="1:22" ht="20.25" x14ac:dyDescent="0.2">
      <c r="A105" s="451"/>
      <c r="B105" s="453" t="s">
        <v>302</v>
      </c>
      <c r="C105" s="218" t="s">
        <v>303</v>
      </c>
      <c r="D105" s="218">
        <v>664</v>
      </c>
      <c r="E105" s="244"/>
      <c r="F105" s="244">
        <v>1023.05</v>
      </c>
      <c r="G105" s="244">
        <f t="shared" si="17"/>
        <v>1023.05</v>
      </c>
      <c r="H105" s="232">
        <v>140</v>
      </c>
      <c r="I105" s="232">
        <f>H105*D105</f>
        <v>92960</v>
      </c>
      <c r="J105" s="130">
        <f>H105*E105</f>
        <v>0</v>
      </c>
      <c r="K105" s="130">
        <f>H105*F105</f>
        <v>143227</v>
      </c>
      <c r="L105" s="244">
        <f>K105+J105</f>
        <v>143227</v>
      </c>
    </row>
    <row r="106" spans="1:22" ht="18" x14ac:dyDescent="0.2">
      <c r="A106" s="451">
        <v>6.3</v>
      </c>
      <c r="B106" s="453" t="s">
        <v>513</v>
      </c>
      <c r="C106" s="218" t="s">
        <v>11</v>
      </c>
      <c r="D106" s="218">
        <v>279.20999999999998</v>
      </c>
      <c r="E106" s="381"/>
      <c r="F106" s="381">
        <v>245.54</v>
      </c>
      <c r="G106" s="244">
        <f t="shared" si="17"/>
        <v>245.54</v>
      </c>
      <c r="H106" s="232">
        <v>340</v>
      </c>
      <c r="I106" s="232">
        <f t="shared" ref="I106:I114" si="18">H106*D106</f>
        <v>94931.4</v>
      </c>
      <c r="J106" s="130">
        <f t="shared" ref="J106:J114" si="19">H106*E106</f>
        <v>0</v>
      </c>
      <c r="K106" s="130">
        <f t="shared" ref="K106:K114" si="20">H106*F106</f>
        <v>83483.599999999991</v>
      </c>
      <c r="L106" s="244">
        <f t="shared" ref="L106:L114" si="21">K106+J106</f>
        <v>83483.599999999991</v>
      </c>
    </row>
    <row r="107" spans="1:22" ht="18" x14ac:dyDescent="0.2">
      <c r="A107" s="451">
        <v>6.4</v>
      </c>
      <c r="B107" s="453" t="s">
        <v>496</v>
      </c>
      <c r="C107" s="218" t="s">
        <v>11</v>
      </c>
      <c r="D107" s="218">
        <v>61.2</v>
      </c>
      <c r="E107" s="381"/>
      <c r="F107" s="381"/>
      <c r="G107" s="244">
        <f t="shared" si="17"/>
        <v>0</v>
      </c>
      <c r="H107" s="232">
        <v>330</v>
      </c>
      <c r="I107" s="232">
        <f t="shared" si="18"/>
        <v>20196</v>
      </c>
      <c r="J107" s="130">
        <f t="shared" si="19"/>
        <v>0</v>
      </c>
      <c r="K107" s="130">
        <f t="shared" si="20"/>
        <v>0</v>
      </c>
      <c r="L107" s="244">
        <f t="shared" si="21"/>
        <v>0</v>
      </c>
    </row>
    <row r="108" spans="1:22" ht="18" x14ac:dyDescent="0.2">
      <c r="A108" s="451">
        <v>6.5</v>
      </c>
      <c r="B108" s="453" t="s">
        <v>514</v>
      </c>
      <c r="C108" s="218" t="s">
        <v>11</v>
      </c>
      <c r="D108" s="218">
        <v>288</v>
      </c>
      <c r="E108" s="381"/>
      <c r="F108" s="381"/>
      <c r="G108" s="244">
        <f t="shared" si="17"/>
        <v>0</v>
      </c>
      <c r="H108" s="232">
        <v>380</v>
      </c>
      <c r="I108" s="232">
        <f t="shared" si="18"/>
        <v>109440</v>
      </c>
      <c r="J108" s="130">
        <f t="shared" si="19"/>
        <v>0</v>
      </c>
      <c r="K108" s="130">
        <f t="shared" si="20"/>
        <v>0</v>
      </c>
      <c r="L108" s="244">
        <f t="shared" si="21"/>
        <v>0</v>
      </c>
    </row>
    <row r="109" spans="1:22" ht="18" x14ac:dyDescent="0.2">
      <c r="A109" s="451">
        <v>6.6</v>
      </c>
      <c r="B109" s="452" t="s">
        <v>515</v>
      </c>
      <c r="C109" s="218" t="s">
        <v>174</v>
      </c>
      <c r="D109" s="218">
        <v>243</v>
      </c>
      <c r="E109" s="381"/>
      <c r="F109" s="381"/>
      <c r="G109" s="244">
        <f t="shared" si="17"/>
        <v>0</v>
      </c>
      <c r="H109" s="232">
        <v>50</v>
      </c>
      <c r="I109" s="232">
        <f t="shared" si="18"/>
        <v>12150</v>
      </c>
      <c r="J109" s="130">
        <f t="shared" si="19"/>
        <v>0</v>
      </c>
      <c r="K109" s="130">
        <f t="shared" si="20"/>
        <v>0</v>
      </c>
      <c r="L109" s="244">
        <f t="shared" si="21"/>
        <v>0</v>
      </c>
    </row>
    <row r="110" spans="1:22" ht="18" x14ac:dyDescent="0.2">
      <c r="A110" s="451">
        <v>6.7</v>
      </c>
      <c r="B110" s="452" t="s">
        <v>499</v>
      </c>
      <c r="C110" s="218" t="s">
        <v>174</v>
      </c>
      <c r="D110" s="218">
        <v>22</v>
      </c>
      <c r="E110" s="381"/>
      <c r="F110" s="381"/>
      <c r="G110" s="244">
        <f t="shared" si="17"/>
        <v>0</v>
      </c>
      <c r="H110" s="232">
        <v>275</v>
      </c>
      <c r="I110" s="232">
        <f t="shared" si="18"/>
        <v>6050</v>
      </c>
      <c r="J110" s="130">
        <f t="shared" si="19"/>
        <v>0</v>
      </c>
      <c r="K110" s="130">
        <f t="shared" si="20"/>
        <v>0</v>
      </c>
      <c r="L110" s="244">
        <f t="shared" si="21"/>
        <v>0</v>
      </c>
    </row>
    <row r="111" spans="1:22" ht="18" x14ac:dyDescent="0.2">
      <c r="A111" s="451">
        <v>6.8</v>
      </c>
      <c r="B111" s="452" t="s">
        <v>500</v>
      </c>
      <c r="C111" s="218" t="s">
        <v>174</v>
      </c>
      <c r="D111" s="218">
        <v>6</v>
      </c>
      <c r="E111" s="381"/>
      <c r="F111" s="381"/>
      <c r="G111" s="244">
        <f t="shared" si="17"/>
        <v>0</v>
      </c>
      <c r="H111" s="232">
        <v>195</v>
      </c>
      <c r="I111" s="232">
        <f t="shared" si="18"/>
        <v>1170</v>
      </c>
      <c r="J111" s="130">
        <f t="shared" si="19"/>
        <v>0</v>
      </c>
      <c r="K111" s="130">
        <f t="shared" si="20"/>
        <v>0</v>
      </c>
      <c r="L111" s="244">
        <f t="shared" si="21"/>
        <v>0</v>
      </c>
    </row>
    <row r="112" spans="1:22" ht="18" x14ac:dyDescent="0.2">
      <c r="A112" s="451">
        <v>6.9</v>
      </c>
      <c r="B112" s="452" t="s">
        <v>501</v>
      </c>
      <c r="C112" s="218" t="s">
        <v>487</v>
      </c>
      <c r="D112" s="218">
        <v>87.5</v>
      </c>
      <c r="E112" s="381"/>
      <c r="F112" s="381"/>
      <c r="G112" s="244">
        <f t="shared" si="17"/>
        <v>0</v>
      </c>
      <c r="H112" s="232">
        <v>450</v>
      </c>
      <c r="I112" s="232">
        <f t="shared" si="18"/>
        <v>39375</v>
      </c>
      <c r="J112" s="130">
        <f t="shared" si="19"/>
        <v>0</v>
      </c>
      <c r="K112" s="130">
        <f t="shared" si="20"/>
        <v>0</v>
      </c>
      <c r="L112" s="244">
        <f t="shared" si="21"/>
        <v>0</v>
      </c>
    </row>
    <row r="113" spans="1:12" ht="18" x14ac:dyDescent="0.2">
      <c r="A113" s="451">
        <v>6.1</v>
      </c>
      <c r="B113" s="452" t="s">
        <v>511</v>
      </c>
      <c r="C113" s="218" t="s">
        <v>174</v>
      </c>
      <c r="D113" s="218">
        <v>80</v>
      </c>
      <c r="E113" s="381"/>
      <c r="F113" s="381"/>
      <c r="G113" s="244">
        <f t="shared" si="17"/>
        <v>0</v>
      </c>
      <c r="H113" s="232">
        <v>160</v>
      </c>
      <c r="I113" s="232">
        <f t="shared" si="18"/>
        <v>12800</v>
      </c>
      <c r="J113" s="130">
        <f t="shared" si="19"/>
        <v>0</v>
      </c>
      <c r="K113" s="130">
        <f t="shared" si="20"/>
        <v>0</v>
      </c>
      <c r="L113" s="244">
        <f t="shared" si="21"/>
        <v>0</v>
      </c>
    </row>
    <row r="114" spans="1:12" ht="18" x14ac:dyDescent="0.2">
      <c r="A114" s="451">
        <v>6.11</v>
      </c>
      <c r="B114" s="453" t="s">
        <v>512</v>
      </c>
      <c r="C114" s="218" t="s">
        <v>174</v>
      </c>
      <c r="D114" s="218">
        <v>80</v>
      </c>
      <c r="E114" s="244"/>
      <c r="F114" s="244"/>
      <c r="G114" s="244">
        <f t="shared" si="17"/>
        <v>0</v>
      </c>
      <c r="H114" s="232">
        <v>155</v>
      </c>
      <c r="I114" s="232">
        <f t="shared" si="18"/>
        <v>12400</v>
      </c>
      <c r="J114" s="130">
        <f t="shared" si="19"/>
        <v>0</v>
      </c>
      <c r="K114" s="130">
        <f t="shared" si="20"/>
        <v>0</v>
      </c>
      <c r="L114" s="244">
        <f t="shared" si="21"/>
        <v>0</v>
      </c>
    </row>
    <row r="115" spans="1:12" ht="18.75" thickBot="1" x14ac:dyDescent="0.25">
      <c r="A115" s="599"/>
      <c r="B115" s="1171" t="s">
        <v>64</v>
      </c>
      <c r="C115" s="1172"/>
      <c r="D115" s="1172"/>
      <c r="E115" s="1172"/>
      <c r="F115" s="1172"/>
      <c r="G115" s="1172"/>
      <c r="H115" s="1173"/>
      <c r="I115" s="600">
        <f>SUM(I103:I114)</f>
        <v>421516.9</v>
      </c>
      <c r="J115" s="600">
        <f>SUM(J103:J114)</f>
        <v>0</v>
      </c>
      <c r="K115" s="600">
        <f>SUM(K103:K114)</f>
        <v>242657.64999999997</v>
      </c>
      <c r="L115" s="600">
        <f>SUM(L103:L114)</f>
        <v>242657.64999999997</v>
      </c>
    </row>
    <row r="116" spans="1:12" x14ac:dyDescent="0.2">
      <c r="A116" s="480"/>
      <c r="B116" s="480"/>
      <c r="C116" s="480"/>
      <c r="D116" s="480"/>
      <c r="E116" s="480"/>
      <c r="F116" s="480"/>
      <c r="G116" s="84"/>
      <c r="H116" s="480"/>
      <c r="I116" s="480"/>
      <c r="J116" s="480"/>
      <c r="K116" s="480"/>
      <c r="L116" s="480"/>
    </row>
    <row r="117" spans="1:12" ht="18" x14ac:dyDescent="0.2">
      <c r="A117" s="722"/>
      <c r="B117" s="723" t="s">
        <v>234</v>
      </c>
      <c r="C117" s="723"/>
      <c r="D117" s="723"/>
      <c r="E117" s="723"/>
      <c r="F117" s="723"/>
      <c r="G117" s="724"/>
      <c r="H117" s="723"/>
      <c r="I117" s="723"/>
      <c r="J117" s="723"/>
      <c r="K117" s="723" t="s">
        <v>237</v>
      </c>
      <c r="L117" s="725"/>
    </row>
    <row r="118" spans="1:12" x14ac:dyDescent="0.2">
      <c r="A118" s="480"/>
      <c r="B118" s="480"/>
      <c r="C118" s="480"/>
      <c r="D118" s="480"/>
      <c r="E118" s="480"/>
      <c r="F118" s="480"/>
      <c r="G118" s="84"/>
      <c r="H118" s="480"/>
      <c r="I118" s="480"/>
      <c r="J118" s="480"/>
      <c r="K118" s="480"/>
      <c r="L118" s="480"/>
    </row>
    <row r="119" spans="1:12" x14ac:dyDescent="0.2">
      <c r="A119" s="480"/>
      <c r="B119" s="480"/>
      <c r="C119" s="480"/>
      <c r="D119" s="480"/>
      <c r="E119" s="480"/>
      <c r="F119" s="480"/>
      <c r="G119" s="84"/>
      <c r="H119" s="480"/>
      <c r="I119" s="480"/>
      <c r="J119" s="480"/>
      <c r="K119" s="480"/>
      <c r="L119" s="480"/>
    </row>
    <row r="120" spans="1:12" x14ac:dyDescent="0.2">
      <c r="A120" s="480"/>
      <c r="B120" s="480"/>
      <c r="C120" s="480"/>
      <c r="D120" s="480"/>
      <c r="E120" s="480"/>
      <c r="F120" s="480"/>
      <c r="G120" s="84"/>
      <c r="H120" s="480"/>
      <c r="I120" s="480"/>
      <c r="J120" s="480"/>
      <c r="K120" s="480"/>
      <c r="L120" s="480"/>
    </row>
    <row r="121" spans="1:12" x14ac:dyDescent="0.2">
      <c r="A121" s="480"/>
      <c r="B121" s="480"/>
      <c r="C121" s="480"/>
      <c r="D121" s="480"/>
      <c r="E121" s="480"/>
      <c r="F121" s="480"/>
      <c r="G121" s="84"/>
      <c r="H121" s="480"/>
      <c r="I121" s="480"/>
      <c r="J121" s="480"/>
      <c r="K121" s="480"/>
      <c r="L121" s="480"/>
    </row>
    <row r="122" spans="1:12" x14ac:dyDescent="0.2">
      <c r="A122" s="480"/>
      <c r="B122" s="480"/>
      <c r="C122" s="480"/>
      <c r="D122" s="480"/>
      <c r="E122" s="480"/>
      <c r="F122" s="480"/>
      <c r="G122" s="84"/>
      <c r="H122" s="480"/>
      <c r="I122" s="480"/>
      <c r="J122" s="480"/>
      <c r="K122" s="480"/>
      <c r="L122" s="480"/>
    </row>
    <row r="123" spans="1:12" x14ac:dyDescent="0.2">
      <c r="A123" s="480"/>
      <c r="B123" s="480"/>
      <c r="C123" s="480"/>
      <c r="D123" s="480"/>
      <c r="E123" s="480"/>
      <c r="F123" s="480"/>
      <c r="G123" s="84"/>
      <c r="H123" s="480"/>
      <c r="I123" s="480"/>
      <c r="J123" s="480"/>
      <c r="K123" s="480"/>
      <c r="L123" s="480"/>
    </row>
    <row r="124" spans="1:12" x14ac:dyDescent="0.2">
      <c r="A124" s="480"/>
      <c r="B124" s="480"/>
      <c r="C124" s="480"/>
      <c r="D124" s="480"/>
      <c r="E124" s="480"/>
      <c r="F124" s="480"/>
      <c r="G124" s="84"/>
      <c r="H124" s="480"/>
      <c r="I124" s="480"/>
      <c r="J124" s="480"/>
      <c r="K124" s="480"/>
      <c r="L124" s="480"/>
    </row>
    <row r="125" spans="1:12" x14ac:dyDescent="0.2">
      <c r="A125" s="480"/>
      <c r="B125" s="480"/>
      <c r="C125" s="480"/>
      <c r="D125" s="480"/>
      <c r="E125" s="480"/>
      <c r="F125" s="480"/>
      <c r="G125" s="84"/>
      <c r="H125" s="480"/>
      <c r="I125" s="480"/>
      <c r="J125" s="480"/>
      <c r="K125" s="480"/>
      <c r="L125" s="480"/>
    </row>
    <row r="126" spans="1:12" x14ac:dyDescent="0.2">
      <c r="A126" s="480"/>
      <c r="B126" s="480"/>
      <c r="C126" s="480"/>
      <c r="D126" s="480"/>
      <c r="E126" s="480"/>
      <c r="F126" s="480"/>
      <c r="G126" s="84"/>
      <c r="H126" s="480"/>
      <c r="I126" s="480"/>
      <c r="J126" s="480"/>
      <c r="K126" s="480"/>
      <c r="L126" s="480"/>
    </row>
    <row r="127" spans="1:12" x14ac:dyDescent="0.2">
      <c r="A127" s="480"/>
      <c r="B127" s="480"/>
      <c r="C127" s="480"/>
      <c r="D127" s="480"/>
      <c r="E127" s="480"/>
      <c r="F127" s="480"/>
      <c r="G127" s="84"/>
      <c r="H127" s="480"/>
      <c r="I127" s="480"/>
      <c r="J127" s="480"/>
      <c r="K127" s="480"/>
      <c r="L127" s="480"/>
    </row>
    <row r="128" spans="1:12" x14ac:dyDescent="0.2">
      <c r="A128" s="480"/>
      <c r="B128" s="480"/>
      <c r="C128" s="480"/>
      <c r="D128" s="480"/>
      <c r="E128" s="480"/>
      <c r="F128" s="480"/>
      <c r="G128" s="84"/>
      <c r="H128" s="480"/>
      <c r="I128" s="480"/>
      <c r="J128" s="480"/>
      <c r="K128" s="480"/>
      <c r="L128" s="480"/>
    </row>
    <row r="129" spans="1:12" x14ac:dyDescent="0.2">
      <c r="A129" s="480"/>
      <c r="B129" s="480"/>
      <c r="C129" s="480"/>
      <c r="D129" s="480"/>
      <c r="E129" s="480"/>
      <c r="F129" s="480"/>
      <c r="G129" s="84"/>
      <c r="H129" s="480"/>
      <c r="I129" s="480"/>
      <c r="J129" s="480"/>
      <c r="K129" s="480"/>
      <c r="L129" s="480"/>
    </row>
    <row r="130" spans="1:12" x14ac:dyDescent="0.2">
      <c r="A130" s="480"/>
      <c r="B130" s="480"/>
      <c r="C130" s="480"/>
      <c r="D130" s="480"/>
      <c r="E130" s="480"/>
      <c r="F130" s="480"/>
      <c r="G130" s="84"/>
      <c r="H130" s="480"/>
      <c r="I130" s="480"/>
      <c r="J130" s="480"/>
      <c r="K130" s="480"/>
      <c r="L130" s="480"/>
    </row>
    <row r="131" spans="1:12" x14ac:dyDescent="0.2">
      <c r="A131" s="480"/>
      <c r="B131" s="480"/>
      <c r="C131" s="480"/>
      <c r="D131" s="480"/>
      <c r="E131" s="480"/>
      <c r="F131" s="480"/>
      <c r="G131" s="84"/>
      <c r="H131" s="480"/>
      <c r="I131" s="480"/>
      <c r="J131" s="480"/>
      <c r="K131" s="480"/>
      <c r="L131" s="480"/>
    </row>
    <row r="132" spans="1:12" x14ac:dyDescent="0.2">
      <c r="A132" s="480"/>
      <c r="B132" s="480"/>
      <c r="C132" s="480"/>
      <c r="D132" s="480"/>
      <c r="E132" s="480"/>
      <c r="F132" s="480"/>
      <c r="G132" s="84"/>
      <c r="H132" s="480"/>
      <c r="I132" s="480"/>
      <c r="J132" s="480"/>
      <c r="K132" s="480"/>
      <c r="L132" s="480"/>
    </row>
    <row r="133" spans="1:12" x14ac:dyDescent="0.2">
      <c r="A133" s="480"/>
      <c r="B133" s="480"/>
      <c r="C133" s="480"/>
      <c r="D133" s="480"/>
      <c r="E133" s="480"/>
      <c r="F133" s="480"/>
      <c r="G133" s="84"/>
      <c r="H133" s="480"/>
      <c r="I133" s="480"/>
      <c r="J133" s="480"/>
      <c r="K133" s="480"/>
      <c r="L133" s="480"/>
    </row>
    <row r="134" spans="1:12" x14ac:dyDescent="0.2">
      <c r="A134" s="480"/>
      <c r="B134" s="480"/>
      <c r="C134" s="480"/>
      <c r="D134" s="480"/>
      <c r="E134" s="480"/>
      <c r="F134" s="480"/>
      <c r="G134" s="84"/>
      <c r="H134" s="480"/>
      <c r="I134" s="480"/>
      <c r="J134" s="480"/>
      <c r="K134" s="480"/>
      <c r="L134" s="480"/>
    </row>
  </sheetData>
  <mergeCells count="25">
    <mergeCell ref="L3:L4"/>
    <mergeCell ref="B1:K1"/>
    <mergeCell ref="I2:K2"/>
    <mergeCell ref="I3:I4"/>
    <mergeCell ref="J3:K3"/>
    <mergeCell ref="D3:D4"/>
    <mergeCell ref="B53:H53"/>
    <mergeCell ref="G2:G4"/>
    <mergeCell ref="B85:H85"/>
    <mergeCell ref="B115:H115"/>
    <mergeCell ref="B68:H68"/>
    <mergeCell ref="B37:H37"/>
    <mergeCell ref="E3:F3"/>
    <mergeCell ref="B73:H73"/>
    <mergeCell ref="B77:H77"/>
    <mergeCell ref="B100:H100"/>
    <mergeCell ref="B61:H61"/>
    <mergeCell ref="B58:H58"/>
    <mergeCell ref="B33:H33"/>
    <mergeCell ref="B14:H14"/>
    <mergeCell ref="A2:A4"/>
    <mergeCell ref="B2:B4"/>
    <mergeCell ref="C2:C4"/>
    <mergeCell ref="D2:F2"/>
    <mergeCell ref="H2:H4"/>
  </mergeCells>
  <pageMargins left="0.7" right="0.7" top="0.75" bottom="0.75" header="0.3" footer="0.3"/>
  <pageSetup paperSize="9" scale="40" orientation="landscape" r:id="rId1"/>
  <rowBreaks count="1" manualBreakCount="1">
    <brk id="38" max="11" man="1"/>
  </row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93"/>
  <sheetViews>
    <sheetView topLeftCell="A73" zoomScale="60" zoomScaleNormal="60" workbookViewId="0">
      <selection activeCell="F58" sqref="F1:F65536"/>
    </sheetView>
  </sheetViews>
  <sheetFormatPr defaultColWidth="9.14453125" defaultRowHeight="18" x14ac:dyDescent="0.2"/>
  <cols>
    <col min="1" max="1" width="9.55078125" style="351" customWidth="1"/>
    <col min="2" max="2" width="43.1796875" style="351" customWidth="1"/>
    <col min="3" max="3" width="11.56640625" style="351" customWidth="1"/>
    <col min="4" max="4" width="16.140625" style="351" customWidth="1"/>
    <col min="5" max="5" width="15.46875" style="351" customWidth="1"/>
    <col min="6" max="6" width="18.6953125" style="351" customWidth="1"/>
    <col min="7" max="7" width="19.7734375" style="127" customWidth="1"/>
    <col min="8" max="8" width="18.83203125" style="351" customWidth="1"/>
    <col min="9" max="9" width="22.328125" style="351" customWidth="1"/>
    <col min="10" max="10" width="20.3125" style="351" customWidth="1"/>
    <col min="11" max="11" width="18.5625" style="351" customWidth="1"/>
    <col min="12" max="12" width="19.234375" style="351" customWidth="1"/>
    <col min="13" max="30" width="9.14453125" style="638"/>
    <col min="31" max="16384" width="9.14453125" style="351"/>
  </cols>
  <sheetData>
    <row r="1" spans="1:30" ht="15.75" thickBot="1" x14ac:dyDescent="0.25">
      <c r="A1" s="253"/>
      <c r="B1" s="1116" t="s">
        <v>211</v>
      </c>
      <c r="C1" s="1116"/>
      <c r="D1" s="1116"/>
      <c r="E1" s="1116"/>
      <c r="F1" s="1116"/>
      <c r="G1" s="1116"/>
      <c r="H1" s="1116"/>
      <c r="I1" s="1116"/>
      <c r="J1" s="1116"/>
      <c r="K1" s="1116"/>
      <c r="L1" s="254"/>
    </row>
    <row r="2" spans="1:30" s="254" customFormat="1" ht="21.75" customHeight="1" x14ac:dyDescent="0.15">
      <c r="A2" s="1107" t="s">
        <v>61</v>
      </c>
      <c r="B2" s="1128" t="s">
        <v>54</v>
      </c>
      <c r="C2" s="1128" t="s">
        <v>5</v>
      </c>
      <c r="D2" s="1117" t="s">
        <v>4</v>
      </c>
      <c r="E2" s="1118"/>
      <c r="F2" s="1119"/>
      <c r="G2" s="1206" t="s">
        <v>334</v>
      </c>
      <c r="H2" s="1110" t="s">
        <v>8</v>
      </c>
      <c r="I2" s="1136" t="s">
        <v>50</v>
      </c>
      <c r="J2" s="1118"/>
      <c r="K2" s="1119"/>
      <c r="L2" s="503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  <c r="Y2" s="616"/>
      <c r="Z2" s="616"/>
      <c r="AA2" s="616"/>
      <c r="AB2" s="616"/>
      <c r="AC2" s="616"/>
      <c r="AD2" s="616"/>
    </row>
    <row r="3" spans="1:30" s="254" customFormat="1" ht="19.5" customHeight="1" x14ac:dyDescent="0.15">
      <c r="A3" s="1108"/>
      <c r="B3" s="1129"/>
      <c r="C3" s="1129"/>
      <c r="D3" s="1130" t="s">
        <v>62</v>
      </c>
      <c r="E3" s="1120" t="s">
        <v>63</v>
      </c>
      <c r="F3" s="1121"/>
      <c r="G3" s="1207"/>
      <c r="H3" s="1111"/>
      <c r="I3" s="1122" t="s">
        <v>6</v>
      </c>
      <c r="J3" s="1134" t="s">
        <v>7</v>
      </c>
      <c r="K3" s="1135"/>
      <c r="L3" s="1132" t="s">
        <v>336</v>
      </c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616"/>
      <c r="AB3" s="616"/>
      <c r="AC3" s="616"/>
      <c r="AD3" s="616"/>
    </row>
    <row r="4" spans="1:30" s="254" customFormat="1" ht="30" customHeight="1" thickBot="1" x14ac:dyDescent="0.2">
      <c r="A4" s="1109"/>
      <c r="B4" s="1123"/>
      <c r="C4" s="1123"/>
      <c r="D4" s="1131"/>
      <c r="E4" s="255" t="s">
        <v>98</v>
      </c>
      <c r="F4" s="255" t="s">
        <v>99</v>
      </c>
      <c r="G4" s="1207"/>
      <c r="H4" s="1112"/>
      <c r="I4" s="1123"/>
      <c r="J4" s="255" t="s">
        <v>98</v>
      </c>
      <c r="K4" s="255" t="s">
        <v>99</v>
      </c>
      <c r="L4" s="1133"/>
      <c r="M4" s="616"/>
      <c r="N4" s="616"/>
      <c r="O4" s="616"/>
      <c r="P4" s="616"/>
      <c r="Q4" s="616"/>
      <c r="R4" s="616"/>
      <c r="S4" s="616"/>
      <c r="T4" s="616"/>
      <c r="U4" s="616"/>
      <c r="V4" s="616"/>
      <c r="W4" s="616"/>
      <c r="X4" s="616"/>
      <c r="Y4" s="616"/>
      <c r="Z4" s="616"/>
      <c r="AA4" s="616"/>
      <c r="AB4" s="616"/>
      <c r="AC4" s="616"/>
      <c r="AD4" s="616"/>
    </row>
    <row r="5" spans="1:30" s="254" customFormat="1" ht="21" customHeight="1" thickBot="1" x14ac:dyDescent="0.2">
      <c r="A5" s="280" t="s">
        <v>102</v>
      </c>
      <c r="B5" s="257" t="s">
        <v>103</v>
      </c>
      <c r="C5" s="257" t="s">
        <v>104</v>
      </c>
      <c r="D5" s="258" t="s">
        <v>105</v>
      </c>
      <c r="E5" s="258" t="s">
        <v>106</v>
      </c>
      <c r="F5" s="258" t="s">
        <v>107</v>
      </c>
      <c r="G5" s="461"/>
      <c r="H5" s="259" t="s">
        <v>108</v>
      </c>
      <c r="I5" s="257" t="s">
        <v>116</v>
      </c>
      <c r="J5" s="258" t="s">
        <v>115</v>
      </c>
      <c r="K5" s="258" t="s">
        <v>114</v>
      </c>
      <c r="L5" s="260" t="s">
        <v>113</v>
      </c>
      <c r="M5" s="616"/>
      <c r="N5" s="616"/>
      <c r="O5" s="616"/>
      <c r="P5" s="616"/>
      <c r="Q5" s="616"/>
      <c r="R5" s="616"/>
      <c r="S5" s="616"/>
      <c r="T5" s="616"/>
      <c r="U5" s="616"/>
      <c r="V5" s="616"/>
      <c r="W5" s="616"/>
      <c r="X5" s="616"/>
      <c r="Y5" s="616"/>
      <c r="Z5" s="616"/>
      <c r="AA5" s="616"/>
      <c r="AB5" s="616"/>
      <c r="AC5" s="616"/>
      <c r="AD5" s="616"/>
    </row>
    <row r="6" spans="1:30" x14ac:dyDescent="0.2">
      <c r="A6" s="358"/>
      <c r="B6" s="359" t="s">
        <v>9</v>
      </c>
      <c r="C6" s="360"/>
      <c r="D6" s="361"/>
      <c r="E6" s="360"/>
      <c r="F6" s="360"/>
      <c r="G6" s="360"/>
      <c r="H6" s="361"/>
      <c r="I6" s="361"/>
      <c r="J6" s="362"/>
      <c r="K6" s="363"/>
      <c r="L6" s="364"/>
    </row>
    <row r="7" spans="1:30" x14ac:dyDescent="0.2">
      <c r="A7" s="365">
        <v>1</v>
      </c>
      <c r="B7" s="366" t="s">
        <v>10</v>
      </c>
      <c r="C7" s="208"/>
      <c r="D7" s="207"/>
      <c r="E7" s="208"/>
      <c r="F7" s="208"/>
      <c r="G7" s="208"/>
      <c r="H7" s="207"/>
      <c r="I7" s="207"/>
      <c r="J7" s="231"/>
      <c r="K7" s="367"/>
      <c r="L7" s="368"/>
    </row>
    <row r="8" spans="1:30" x14ac:dyDescent="0.2">
      <c r="A8" s="369">
        <v>1.01</v>
      </c>
      <c r="B8" s="370" t="s">
        <v>18</v>
      </c>
      <c r="C8" s="202" t="s">
        <v>11</v>
      </c>
      <c r="D8" s="130">
        <v>144.5</v>
      </c>
      <c r="E8" s="202">
        <v>119.78</v>
      </c>
      <c r="F8" s="208"/>
      <c r="G8" s="127">
        <f>F8+E8</f>
        <v>119.78</v>
      </c>
      <c r="H8" s="130">
        <f>Gener!H8</f>
        <v>6</v>
      </c>
      <c r="I8" s="130">
        <f t="shared" ref="I8:I16" si="0">D8*H8</f>
        <v>867</v>
      </c>
      <c r="J8" s="203">
        <f t="shared" ref="J8:J16" si="1">H8*E8</f>
        <v>718.68000000000006</v>
      </c>
      <c r="K8" s="367"/>
      <c r="L8" s="368">
        <f>K8+J8</f>
        <v>718.68000000000006</v>
      </c>
    </row>
    <row r="9" spans="1:30" x14ac:dyDescent="0.2">
      <c r="A9" s="369">
        <v>1.02</v>
      </c>
      <c r="B9" s="370" t="s">
        <v>100</v>
      </c>
      <c r="C9" s="202" t="s">
        <v>12</v>
      </c>
      <c r="D9" s="130">
        <v>115.5</v>
      </c>
      <c r="E9" s="202">
        <v>70.62</v>
      </c>
      <c r="F9" s="208"/>
      <c r="G9" s="127">
        <f t="shared" ref="G9:G16" si="2">F9+E9</f>
        <v>70.62</v>
      </c>
      <c r="H9" s="130">
        <f>Gener!H9</f>
        <v>25</v>
      </c>
      <c r="I9" s="130">
        <f t="shared" si="0"/>
        <v>2887.5</v>
      </c>
      <c r="J9" s="203">
        <f t="shared" si="1"/>
        <v>1765.5</v>
      </c>
      <c r="K9" s="367"/>
      <c r="L9" s="368">
        <f t="shared" ref="L9:L41" si="3">K9+J9</f>
        <v>1765.5</v>
      </c>
    </row>
    <row r="10" spans="1:30" x14ac:dyDescent="0.2">
      <c r="A10" s="369">
        <v>1.03</v>
      </c>
      <c r="B10" s="370" t="s">
        <v>201</v>
      </c>
      <c r="C10" s="202"/>
      <c r="D10" s="130"/>
      <c r="E10" s="202"/>
      <c r="F10" s="208"/>
      <c r="G10" s="208"/>
      <c r="H10" s="130">
        <f>Gener!H10</f>
        <v>0</v>
      </c>
      <c r="I10" s="130">
        <f t="shared" si="0"/>
        <v>0</v>
      </c>
      <c r="J10" s="203">
        <f t="shared" si="1"/>
        <v>0</v>
      </c>
      <c r="K10" s="367"/>
      <c r="L10" s="368">
        <f t="shared" si="3"/>
        <v>0</v>
      </c>
    </row>
    <row r="11" spans="1:30" x14ac:dyDescent="0.2">
      <c r="A11" s="369"/>
      <c r="B11" s="370" t="s">
        <v>202</v>
      </c>
      <c r="C11" s="202" t="s">
        <v>12</v>
      </c>
      <c r="D11" s="130">
        <v>10</v>
      </c>
      <c r="E11" s="202"/>
      <c r="F11" s="208"/>
      <c r="G11" s="208"/>
      <c r="H11" s="130">
        <f>Gener!H11</f>
        <v>45</v>
      </c>
      <c r="I11" s="130">
        <f t="shared" si="0"/>
        <v>450</v>
      </c>
      <c r="J11" s="203">
        <f t="shared" si="1"/>
        <v>0</v>
      </c>
      <c r="K11" s="367"/>
      <c r="L11" s="368">
        <f t="shared" si="3"/>
        <v>0</v>
      </c>
    </row>
    <row r="12" spans="1:30" x14ac:dyDescent="0.2">
      <c r="A12" s="369"/>
      <c r="B12" s="370" t="s">
        <v>203</v>
      </c>
      <c r="C12" s="202" t="s">
        <v>12</v>
      </c>
      <c r="D12" s="130">
        <v>7</v>
      </c>
      <c r="E12" s="202"/>
      <c r="F12" s="208"/>
      <c r="G12" s="208"/>
      <c r="H12" s="130">
        <f>Gener!H12</f>
        <v>80</v>
      </c>
      <c r="I12" s="130">
        <f t="shared" si="0"/>
        <v>560</v>
      </c>
      <c r="J12" s="203">
        <f t="shared" si="1"/>
        <v>0</v>
      </c>
      <c r="K12" s="367"/>
      <c r="L12" s="368">
        <f t="shared" si="3"/>
        <v>0</v>
      </c>
    </row>
    <row r="13" spans="1:30" x14ac:dyDescent="0.2">
      <c r="A13" s="369">
        <v>1.04</v>
      </c>
      <c r="B13" s="370" t="s">
        <v>13</v>
      </c>
      <c r="C13" s="202" t="s">
        <v>12</v>
      </c>
      <c r="D13" s="130">
        <v>38.5</v>
      </c>
      <c r="E13" s="202"/>
      <c r="F13" s="208"/>
      <c r="G13" s="208"/>
      <c r="H13" s="130">
        <f>Gener!H13</f>
        <v>35</v>
      </c>
      <c r="I13" s="130">
        <f t="shared" si="0"/>
        <v>1347.5</v>
      </c>
      <c r="J13" s="203">
        <f t="shared" si="1"/>
        <v>0</v>
      </c>
      <c r="K13" s="367"/>
      <c r="L13" s="368">
        <f t="shared" si="3"/>
        <v>0</v>
      </c>
    </row>
    <row r="14" spans="1:30" x14ac:dyDescent="0.2">
      <c r="A14" s="369">
        <v>1.05</v>
      </c>
      <c r="B14" s="370" t="s">
        <v>101</v>
      </c>
      <c r="C14" s="202" t="s">
        <v>12</v>
      </c>
      <c r="D14" s="130">
        <v>215.6</v>
      </c>
      <c r="E14" s="202">
        <v>106.72</v>
      </c>
      <c r="F14" s="208"/>
      <c r="G14" s="127">
        <f t="shared" si="2"/>
        <v>106.72</v>
      </c>
      <c r="H14" s="130">
        <f>Gener!H14</f>
        <v>40</v>
      </c>
      <c r="I14" s="130">
        <f t="shared" si="0"/>
        <v>8624</v>
      </c>
      <c r="J14" s="203">
        <f t="shared" si="1"/>
        <v>4268.8</v>
      </c>
      <c r="K14" s="367"/>
      <c r="L14" s="368">
        <f t="shared" si="3"/>
        <v>4268.8</v>
      </c>
    </row>
    <row r="15" spans="1:30" x14ac:dyDescent="0.2">
      <c r="A15" s="369">
        <v>1.06</v>
      </c>
      <c r="B15" s="369" t="s">
        <v>87</v>
      </c>
      <c r="C15" s="202" t="s">
        <v>12</v>
      </c>
      <c r="D15" s="130">
        <v>197.35</v>
      </c>
      <c r="E15" s="202">
        <v>106.55</v>
      </c>
      <c r="F15" s="208"/>
      <c r="G15" s="127">
        <f t="shared" si="2"/>
        <v>106.55</v>
      </c>
      <c r="H15" s="130">
        <f>Gener!H15</f>
        <v>25</v>
      </c>
      <c r="I15" s="130">
        <f t="shared" si="0"/>
        <v>4933.75</v>
      </c>
      <c r="J15" s="203">
        <f t="shared" si="1"/>
        <v>2663.75</v>
      </c>
      <c r="K15" s="367"/>
      <c r="L15" s="368">
        <f t="shared" si="3"/>
        <v>2663.75</v>
      </c>
    </row>
    <row r="16" spans="1:30" x14ac:dyDescent="0.2">
      <c r="A16" s="371">
        <v>1.07</v>
      </c>
      <c r="B16" s="371" t="s">
        <v>94</v>
      </c>
      <c r="C16" s="205" t="s">
        <v>11</v>
      </c>
      <c r="D16" s="140">
        <v>73.14</v>
      </c>
      <c r="E16" s="212">
        <v>64.239999999999995</v>
      </c>
      <c r="F16" s="202"/>
      <c r="G16" s="127">
        <f t="shared" si="2"/>
        <v>64.239999999999995</v>
      </c>
      <c r="H16" s="130">
        <f>Gener!H16</f>
        <v>105</v>
      </c>
      <c r="I16" s="130">
        <f t="shared" si="0"/>
        <v>7679.7</v>
      </c>
      <c r="J16" s="203">
        <f t="shared" si="1"/>
        <v>6745.2</v>
      </c>
      <c r="K16" s="367">
        <f>H16*F16</f>
        <v>0</v>
      </c>
      <c r="L16" s="368">
        <f t="shared" si="3"/>
        <v>6745.2</v>
      </c>
    </row>
    <row r="17" spans="1:30" s="587" customFormat="1" ht="26.25" customHeight="1" thickBot="1" x14ac:dyDescent="0.25">
      <c r="A17" s="585"/>
      <c r="B17" s="1174" t="s">
        <v>64</v>
      </c>
      <c r="C17" s="1175"/>
      <c r="D17" s="1175"/>
      <c r="E17" s="1175"/>
      <c r="F17" s="1175"/>
      <c r="G17" s="1175"/>
      <c r="H17" s="1176"/>
      <c r="I17" s="586">
        <f>SUM(I8:I16)</f>
        <v>27349.45</v>
      </c>
      <c r="J17" s="586">
        <f>SUM(J8:J16)</f>
        <v>16161.93</v>
      </c>
      <c r="K17" s="586">
        <f>SUM(K8:K16)</f>
        <v>0</v>
      </c>
      <c r="L17" s="586">
        <f>SUM(L8:L16)</f>
        <v>16161.93</v>
      </c>
      <c r="M17" s="638"/>
      <c r="N17" s="638"/>
      <c r="O17" s="638"/>
      <c r="P17" s="638"/>
      <c r="Q17" s="638"/>
      <c r="R17" s="638"/>
      <c r="S17" s="638"/>
      <c r="T17" s="638"/>
      <c r="U17" s="638"/>
      <c r="V17" s="638"/>
      <c r="W17" s="638"/>
      <c r="X17" s="638"/>
      <c r="Y17" s="638"/>
      <c r="Z17" s="638"/>
      <c r="AA17" s="638"/>
      <c r="AB17" s="638"/>
      <c r="AC17" s="638"/>
      <c r="AD17" s="638"/>
    </row>
    <row r="18" spans="1:30" x14ac:dyDescent="0.2">
      <c r="A18" s="376"/>
      <c r="B18" s="377" t="s">
        <v>193</v>
      </c>
      <c r="C18" s="165"/>
      <c r="D18" s="166"/>
      <c r="E18" s="165"/>
      <c r="F18" s="164"/>
      <c r="G18" s="165"/>
      <c r="H18" s="166"/>
      <c r="I18" s="166"/>
      <c r="J18" s="166"/>
      <c r="K18" s="206"/>
      <c r="L18" s="368">
        <f t="shared" si="3"/>
        <v>0</v>
      </c>
    </row>
    <row r="19" spans="1:30" x14ac:dyDescent="0.2">
      <c r="A19" s="369">
        <v>2.1</v>
      </c>
      <c r="B19" s="370" t="s">
        <v>20</v>
      </c>
      <c r="C19" s="202"/>
      <c r="D19" s="207"/>
      <c r="E19" s="208"/>
      <c r="F19" s="202"/>
      <c r="G19" s="208"/>
      <c r="H19" s="130"/>
      <c r="I19" s="207"/>
      <c r="J19" s="207"/>
      <c r="K19" s="209"/>
      <c r="L19" s="368">
        <f t="shared" si="3"/>
        <v>0</v>
      </c>
    </row>
    <row r="20" spans="1:30" x14ac:dyDescent="0.2">
      <c r="A20" s="457"/>
      <c r="B20" s="370" t="s">
        <v>21</v>
      </c>
      <c r="C20" s="202" t="s">
        <v>11</v>
      </c>
      <c r="D20" s="130">
        <v>27.75</v>
      </c>
      <c r="E20" s="202">
        <v>26.72</v>
      </c>
      <c r="F20" s="202"/>
      <c r="G20" s="675">
        <f>F20+E20</f>
        <v>26.72</v>
      </c>
      <c r="H20" s="130">
        <v>65</v>
      </c>
      <c r="I20" s="130">
        <f>D20*H20</f>
        <v>1803.75</v>
      </c>
      <c r="J20" s="203">
        <f t="shared" ref="J20:J37" si="4">H20*E20</f>
        <v>1736.8</v>
      </c>
      <c r="K20" s="209"/>
      <c r="L20" s="368">
        <f t="shared" si="3"/>
        <v>1736.8</v>
      </c>
    </row>
    <row r="21" spans="1:30" x14ac:dyDescent="0.2">
      <c r="A21" s="457"/>
      <c r="B21" s="370" t="s">
        <v>73</v>
      </c>
      <c r="C21" s="202" t="s">
        <v>11</v>
      </c>
      <c r="D21" s="130">
        <v>27.75</v>
      </c>
      <c r="E21" s="202"/>
      <c r="F21" s="202"/>
      <c r="G21" s="675">
        <f t="shared" ref="G21:G37" si="5">F21+E21</f>
        <v>0</v>
      </c>
      <c r="H21" s="130">
        <v>65</v>
      </c>
      <c r="I21" s="130">
        <f t="shared" ref="I21:I37" si="6">D21*H21</f>
        <v>1803.75</v>
      </c>
      <c r="J21" s="203">
        <f t="shared" si="4"/>
        <v>0</v>
      </c>
      <c r="K21" s="209"/>
      <c r="L21" s="368">
        <f t="shared" si="3"/>
        <v>0</v>
      </c>
    </row>
    <row r="22" spans="1:30" x14ac:dyDescent="0.2">
      <c r="A22" s="369"/>
      <c r="B22" s="370" t="s">
        <v>22</v>
      </c>
      <c r="C22" s="202" t="s">
        <v>11</v>
      </c>
      <c r="D22" s="130">
        <v>13.75</v>
      </c>
      <c r="E22" s="202">
        <v>10</v>
      </c>
      <c r="F22" s="202"/>
      <c r="G22" s="675">
        <f t="shared" si="5"/>
        <v>10</v>
      </c>
      <c r="H22" s="130">
        <v>65</v>
      </c>
      <c r="I22" s="130">
        <f t="shared" si="6"/>
        <v>893.75</v>
      </c>
      <c r="J22" s="203">
        <f t="shared" si="4"/>
        <v>650</v>
      </c>
      <c r="K22" s="209"/>
      <c r="L22" s="368">
        <f t="shared" si="3"/>
        <v>650</v>
      </c>
    </row>
    <row r="23" spans="1:30" ht="26.25" customHeight="1" x14ac:dyDescent="0.2">
      <c r="A23" s="383">
        <v>2.2000000000000002</v>
      </c>
      <c r="B23" s="370" t="s">
        <v>165</v>
      </c>
      <c r="C23" s="202" t="s">
        <v>11</v>
      </c>
      <c r="D23" s="130">
        <v>73.14</v>
      </c>
      <c r="E23" s="202"/>
      <c r="F23" s="202">
        <v>64.239999999999995</v>
      </c>
      <c r="G23" s="675">
        <f t="shared" si="5"/>
        <v>64.239999999999995</v>
      </c>
      <c r="H23" s="130">
        <v>260</v>
      </c>
      <c r="I23" s="130">
        <f t="shared" si="6"/>
        <v>19016.400000000001</v>
      </c>
      <c r="J23" s="203">
        <f t="shared" si="4"/>
        <v>0</v>
      </c>
      <c r="K23" s="203">
        <f>H23*F23</f>
        <v>16702.399999999998</v>
      </c>
      <c r="L23" s="368">
        <f t="shared" si="3"/>
        <v>16702.399999999998</v>
      </c>
    </row>
    <row r="24" spans="1:30" x14ac:dyDescent="0.2">
      <c r="A24" s="369">
        <v>2.2999999999999998</v>
      </c>
      <c r="B24" s="366" t="s">
        <v>120</v>
      </c>
      <c r="C24" s="202"/>
      <c r="D24" s="130"/>
      <c r="E24" s="202"/>
      <c r="F24" s="202"/>
      <c r="G24" s="675">
        <f t="shared" si="5"/>
        <v>0</v>
      </c>
      <c r="H24" s="130"/>
      <c r="I24" s="130">
        <f t="shared" si="6"/>
        <v>0</v>
      </c>
      <c r="J24" s="203">
        <f t="shared" si="4"/>
        <v>0</v>
      </c>
      <c r="K24" s="209"/>
      <c r="L24" s="368">
        <f t="shared" si="3"/>
        <v>0</v>
      </c>
    </row>
    <row r="25" spans="1:30" x14ac:dyDescent="0.2">
      <c r="A25" s="369"/>
      <c r="B25" s="370" t="s">
        <v>84</v>
      </c>
      <c r="C25" s="202" t="s">
        <v>12</v>
      </c>
      <c r="D25" s="130">
        <v>7.55</v>
      </c>
      <c r="E25" s="202">
        <v>5.31</v>
      </c>
      <c r="F25" s="202"/>
      <c r="G25" s="675">
        <f t="shared" si="5"/>
        <v>5.31</v>
      </c>
      <c r="H25" s="130">
        <v>2600</v>
      </c>
      <c r="I25" s="130">
        <f t="shared" si="6"/>
        <v>19630</v>
      </c>
      <c r="J25" s="203">
        <f t="shared" si="4"/>
        <v>13805.999999999998</v>
      </c>
      <c r="K25" s="203"/>
      <c r="L25" s="368">
        <f t="shared" si="3"/>
        <v>13805.999999999998</v>
      </c>
    </row>
    <row r="26" spans="1:30" x14ac:dyDescent="0.2">
      <c r="A26" s="369"/>
      <c r="B26" s="370" t="s">
        <v>23</v>
      </c>
      <c r="C26" s="202" t="s">
        <v>12</v>
      </c>
      <c r="D26" s="130">
        <v>2</v>
      </c>
      <c r="E26" s="202">
        <v>2</v>
      </c>
      <c r="F26" s="202"/>
      <c r="G26" s="675">
        <f t="shared" si="5"/>
        <v>2</v>
      </c>
      <c r="H26" s="130">
        <v>2600</v>
      </c>
      <c r="I26" s="130">
        <f t="shared" si="6"/>
        <v>5200</v>
      </c>
      <c r="J26" s="203">
        <f t="shared" si="4"/>
        <v>5200</v>
      </c>
      <c r="K26" s="203"/>
      <c r="L26" s="368">
        <f t="shared" si="3"/>
        <v>5200</v>
      </c>
    </row>
    <row r="27" spans="1:30" x14ac:dyDescent="0.2">
      <c r="A27" s="369"/>
      <c r="B27" s="370" t="s">
        <v>24</v>
      </c>
      <c r="C27" s="202" t="s">
        <v>12</v>
      </c>
      <c r="D27" s="130">
        <v>1</v>
      </c>
      <c r="E27" s="202">
        <v>0.94</v>
      </c>
      <c r="F27" s="202"/>
      <c r="G27" s="675">
        <f t="shared" si="5"/>
        <v>0.94</v>
      </c>
      <c r="H27" s="130">
        <v>2600</v>
      </c>
      <c r="I27" s="130">
        <f t="shared" si="6"/>
        <v>2600</v>
      </c>
      <c r="J27" s="203">
        <f t="shared" si="4"/>
        <v>2444</v>
      </c>
      <c r="K27" s="203"/>
      <c r="L27" s="368">
        <f t="shared" si="3"/>
        <v>2444</v>
      </c>
    </row>
    <row r="28" spans="1:30" x14ac:dyDescent="0.2">
      <c r="A28" s="369">
        <v>2.4</v>
      </c>
      <c r="B28" s="366" t="s">
        <v>109</v>
      </c>
      <c r="C28" s="202"/>
      <c r="D28" s="130"/>
      <c r="E28" s="202"/>
      <c r="F28" s="202"/>
      <c r="G28" s="675">
        <f t="shared" si="5"/>
        <v>0</v>
      </c>
      <c r="H28" s="130"/>
      <c r="I28" s="130">
        <f t="shared" si="6"/>
        <v>0</v>
      </c>
      <c r="J28" s="203">
        <f t="shared" si="4"/>
        <v>0</v>
      </c>
      <c r="K28" s="203"/>
      <c r="L28" s="368">
        <f t="shared" si="3"/>
        <v>0</v>
      </c>
    </row>
    <row r="29" spans="1:30" x14ac:dyDescent="0.2">
      <c r="A29" s="369"/>
      <c r="B29" s="370" t="s">
        <v>84</v>
      </c>
      <c r="C29" s="202" t="s">
        <v>11</v>
      </c>
      <c r="D29" s="130">
        <v>44.4</v>
      </c>
      <c r="E29" s="202">
        <v>41.75</v>
      </c>
      <c r="F29" s="202"/>
      <c r="G29" s="675">
        <f t="shared" si="5"/>
        <v>41.75</v>
      </c>
      <c r="H29" s="130">
        <v>85</v>
      </c>
      <c r="I29" s="130">
        <f t="shared" si="6"/>
        <v>3774</v>
      </c>
      <c r="J29" s="203">
        <f t="shared" si="4"/>
        <v>3548.75</v>
      </c>
      <c r="K29" s="203">
        <f t="shared" ref="K29:K37" si="7">H29*F29</f>
        <v>0</v>
      </c>
      <c r="L29" s="368">
        <f t="shared" si="3"/>
        <v>3548.75</v>
      </c>
    </row>
    <row r="30" spans="1:30" x14ac:dyDescent="0.2">
      <c r="A30" s="369"/>
      <c r="B30" s="370" t="s">
        <v>23</v>
      </c>
      <c r="C30" s="202" t="s">
        <v>11</v>
      </c>
      <c r="D30" s="130">
        <v>8</v>
      </c>
      <c r="E30" s="202">
        <v>8</v>
      </c>
      <c r="F30" s="202"/>
      <c r="G30" s="675">
        <f t="shared" si="5"/>
        <v>8</v>
      </c>
      <c r="H30" s="130">
        <v>85</v>
      </c>
      <c r="I30" s="130">
        <f t="shared" si="6"/>
        <v>680</v>
      </c>
      <c r="J30" s="203">
        <f t="shared" si="4"/>
        <v>680</v>
      </c>
      <c r="K30" s="203"/>
      <c r="L30" s="368">
        <f t="shared" si="3"/>
        <v>680</v>
      </c>
    </row>
    <row r="31" spans="1:30" x14ac:dyDescent="0.2">
      <c r="A31" s="369"/>
      <c r="B31" s="370" t="s">
        <v>24</v>
      </c>
      <c r="C31" s="202" t="s">
        <v>11</v>
      </c>
      <c r="D31" s="130">
        <v>20</v>
      </c>
      <c r="E31" s="202">
        <v>18.8</v>
      </c>
      <c r="F31" s="202"/>
      <c r="G31" s="675">
        <f t="shared" si="5"/>
        <v>18.8</v>
      </c>
      <c r="H31" s="130">
        <v>85</v>
      </c>
      <c r="I31" s="130">
        <f t="shared" si="6"/>
        <v>1700</v>
      </c>
      <c r="J31" s="203">
        <f t="shared" si="4"/>
        <v>1598</v>
      </c>
      <c r="K31" s="203"/>
      <c r="L31" s="368">
        <f t="shared" si="3"/>
        <v>1598</v>
      </c>
    </row>
    <row r="32" spans="1:30" x14ac:dyDescent="0.2">
      <c r="A32" s="369"/>
      <c r="B32" s="370" t="s">
        <v>212</v>
      </c>
      <c r="C32" s="202" t="s">
        <v>11</v>
      </c>
      <c r="D32" s="130">
        <v>5</v>
      </c>
      <c r="E32" s="202"/>
      <c r="F32" s="202"/>
      <c r="G32" s="675">
        <f t="shared" si="5"/>
        <v>0</v>
      </c>
      <c r="H32" s="130">
        <v>85</v>
      </c>
      <c r="I32" s="130">
        <f t="shared" si="6"/>
        <v>425</v>
      </c>
      <c r="J32" s="203">
        <f t="shared" si="4"/>
        <v>0</v>
      </c>
      <c r="K32" s="203"/>
      <c r="L32" s="368">
        <f t="shared" si="3"/>
        <v>0</v>
      </c>
    </row>
    <row r="33" spans="1:30" x14ac:dyDescent="0.2">
      <c r="A33" s="369">
        <v>2.5</v>
      </c>
      <c r="B33" s="366" t="s">
        <v>15</v>
      </c>
      <c r="C33" s="202"/>
      <c r="D33" s="130"/>
      <c r="E33" s="202"/>
      <c r="F33" s="202"/>
      <c r="G33" s="675">
        <f t="shared" si="5"/>
        <v>0</v>
      </c>
      <c r="H33" s="130"/>
      <c r="I33" s="130">
        <f t="shared" si="6"/>
        <v>0</v>
      </c>
      <c r="J33" s="203">
        <f t="shared" si="4"/>
        <v>0</v>
      </c>
      <c r="K33" s="203"/>
      <c r="L33" s="368">
        <f t="shared" si="3"/>
        <v>0</v>
      </c>
    </row>
    <row r="34" spans="1:30" x14ac:dyDescent="0.2">
      <c r="A34" s="369"/>
      <c r="B34" s="370" t="s">
        <v>92</v>
      </c>
      <c r="C34" s="202" t="s">
        <v>16</v>
      </c>
      <c r="D34" s="130">
        <v>343.41</v>
      </c>
      <c r="E34" s="202">
        <v>460.27</v>
      </c>
      <c r="F34" s="202"/>
      <c r="G34" s="675">
        <f t="shared" si="5"/>
        <v>460.27</v>
      </c>
      <c r="H34" s="130">
        <v>34</v>
      </c>
      <c r="I34" s="130">
        <f t="shared" si="6"/>
        <v>11675.94</v>
      </c>
      <c r="J34" s="203">
        <f t="shared" si="4"/>
        <v>15649.18</v>
      </c>
      <c r="K34" s="203">
        <f t="shared" si="7"/>
        <v>0</v>
      </c>
      <c r="L34" s="368">
        <f t="shared" si="3"/>
        <v>15649.18</v>
      </c>
    </row>
    <row r="35" spans="1:30" x14ac:dyDescent="0.2">
      <c r="A35" s="369"/>
      <c r="B35" s="370" t="s">
        <v>25</v>
      </c>
      <c r="C35" s="202" t="s">
        <v>16</v>
      </c>
      <c r="D35" s="130">
        <v>201.19</v>
      </c>
      <c r="E35" s="202">
        <v>254.68</v>
      </c>
      <c r="F35" s="202"/>
      <c r="G35" s="675">
        <f t="shared" si="5"/>
        <v>254.68</v>
      </c>
      <c r="H35" s="130">
        <v>34</v>
      </c>
      <c r="I35" s="130">
        <f t="shared" si="6"/>
        <v>6840.46</v>
      </c>
      <c r="J35" s="203">
        <f t="shared" si="4"/>
        <v>8659.1200000000008</v>
      </c>
      <c r="K35" s="203">
        <f t="shared" si="7"/>
        <v>0</v>
      </c>
      <c r="L35" s="368">
        <f t="shared" si="3"/>
        <v>8659.1200000000008</v>
      </c>
    </row>
    <row r="36" spans="1:30" x14ac:dyDescent="0.2">
      <c r="A36" s="369"/>
      <c r="B36" s="370" t="s">
        <v>26</v>
      </c>
      <c r="C36" s="202" t="s">
        <v>16</v>
      </c>
      <c r="D36" s="130">
        <v>471.81</v>
      </c>
      <c r="E36" s="202">
        <v>433.32</v>
      </c>
      <c r="F36" s="202"/>
      <c r="G36" s="675">
        <f t="shared" si="5"/>
        <v>433.32</v>
      </c>
      <c r="H36" s="130">
        <v>34</v>
      </c>
      <c r="I36" s="130">
        <f t="shared" si="6"/>
        <v>16041.54</v>
      </c>
      <c r="J36" s="203">
        <f t="shared" si="4"/>
        <v>14732.88</v>
      </c>
      <c r="K36" s="203">
        <f t="shared" si="7"/>
        <v>0</v>
      </c>
      <c r="L36" s="368">
        <f t="shared" si="3"/>
        <v>14732.88</v>
      </c>
    </row>
    <row r="37" spans="1:30" x14ac:dyDescent="0.2">
      <c r="A37" s="372">
        <v>2.6</v>
      </c>
      <c r="B37" s="140" t="s">
        <v>213</v>
      </c>
      <c r="C37" s="205" t="s">
        <v>174</v>
      </c>
      <c r="D37" s="140">
        <v>70.400000000000006</v>
      </c>
      <c r="E37" s="205"/>
      <c r="F37" s="202"/>
      <c r="G37" s="726">
        <f t="shared" si="5"/>
        <v>0</v>
      </c>
      <c r="H37" s="140">
        <v>35</v>
      </c>
      <c r="I37" s="130">
        <f t="shared" si="6"/>
        <v>2464</v>
      </c>
      <c r="J37" s="203">
        <f t="shared" si="4"/>
        <v>0</v>
      </c>
      <c r="K37" s="203">
        <f t="shared" si="7"/>
        <v>0</v>
      </c>
      <c r="L37" s="368">
        <f t="shared" si="3"/>
        <v>0</v>
      </c>
    </row>
    <row r="38" spans="1:30" s="587" customFormat="1" ht="27.75" customHeight="1" thickBot="1" x14ac:dyDescent="0.25">
      <c r="A38" s="585"/>
      <c r="B38" s="1174" t="s">
        <v>64</v>
      </c>
      <c r="C38" s="1175"/>
      <c r="D38" s="1175"/>
      <c r="E38" s="1175"/>
      <c r="F38" s="1175"/>
      <c r="G38" s="1175"/>
      <c r="H38" s="1176"/>
      <c r="I38" s="586">
        <f>SUM(I20:I37)</f>
        <v>94548.59</v>
      </c>
      <c r="J38" s="586">
        <f>SUM(J20:J37)</f>
        <v>68704.73</v>
      </c>
      <c r="K38" s="586">
        <f>SUM(K20:K37)</f>
        <v>16702.399999999998</v>
      </c>
      <c r="L38" s="586">
        <f>SUM(L20:L37)</f>
        <v>85407.13</v>
      </c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  <c r="Y38" s="638"/>
      <c r="Z38" s="638"/>
      <c r="AA38" s="638"/>
      <c r="AB38" s="638"/>
      <c r="AC38" s="638"/>
      <c r="AD38" s="638"/>
    </row>
    <row r="39" spans="1:30" x14ac:dyDescent="0.2">
      <c r="A39" s="376"/>
      <c r="B39" s="377" t="s">
        <v>194</v>
      </c>
      <c r="C39" s="165"/>
      <c r="D39" s="166"/>
      <c r="E39" s="165"/>
      <c r="F39" s="165"/>
      <c r="G39" s="165"/>
      <c r="H39" s="166"/>
      <c r="I39" s="166"/>
      <c r="J39" s="166"/>
      <c r="K39" s="206"/>
      <c r="L39" s="368">
        <f t="shared" si="3"/>
        <v>0</v>
      </c>
    </row>
    <row r="40" spans="1:30" x14ac:dyDescent="0.2">
      <c r="A40" s="369">
        <v>3.1</v>
      </c>
      <c r="B40" s="370" t="s">
        <v>124</v>
      </c>
      <c r="C40" s="202" t="s">
        <v>12</v>
      </c>
      <c r="D40" s="130">
        <v>22.2</v>
      </c>
      <c r="E40" s="202">
        <v>17.48</v>
      </c>
      <c r="F40" s="165"/>
      <c r="G40" s="127">
        <f>F40+E40</f>
        <v>17.48</v>
      </c>
      <c r="H40" s="130">
        <v>800</v>
      </c>
      <c r="I40" s="130">
        <f>D40*H40</f>
        <v>17760</v>
      </c>
      <c r="J40" s="203">
        <f>H40*E40</f>
        <v>13984</v>
      </c>
      <c r="K40" s="206"/>
      <c r="L40" s="368">
        <f t="shared" si="3"/>
        <v>13984</v>
      </c>
    </row>
    <row r="41" spans="1:30" x14ac:dyDescent="0.2">
      <c r="A41" s="371">
        <v>3.2</v>
      </c>
      <c r="B41" s="372" t="s">
        <v>119</v>
      </c>
      <c r="C41" s="205" t="s">
        <v>12</v>
      </c>
      <c r="D41" s="140">
        <v>27.75</v>
      </c>
      <c r="E41" s="205">
        <v>11.08</v>
      </c>
      <c r="F41" s="165"/>
      <c r="G41" s="127">
        <f>F41+E41</f>
        <v>11.08</v>
      </c>
      <c r="H41" s="140">
        <v>880</v>
      </c>
      <c r="I41" s="130">
        <f>D41*H41</f>
        <v>24420</v>
      </c>
      <c r="J41" s="203">
        <f>H41*E41</f>
        <v>9750.4</v>
      </c>
      <c r="K41" s="206"/>
      <c r="L41" s="368">
        <f t="shared" si="3"/>
        <v>9750.4</v>
      </c>
    </row>
    <row r="42" spans="1:30" s="587" customFormat="1" ht="27.75" customHeight="1" thickBot="1" x14ac:dyDescent="0.25">
      <c r="A42" s="585"/>
      <c r="B42" s="1174" t="s">
        <v>64</v>
      </c>
      <c r="C42" s="1175"/>
      <c r="D42" s="1175"/>
      <c r="E42" s="1175"/>
      <c r="F42" s="1175"/>
      <c r="G42" s="1175"/>
      <c r="H42" s="1176"/>
      <c r="I42" s="586">
        <f>SUM(I40:I41)</f>
        <v>42180</v>
      </c>
      <c r="J42" s="586">
        <f>SUM(J40:J41)</f>
        <v>23734.400000000001</v>
      </c>
      <c r="K42" s="586">
        <f>SUM(K40:K41)</f>
        <v>0</v>
      </c>
      <c r="L42" s="586">
        <f>SUM(L40:L41)</f>
        <v>23734.400000000001</v>
      </c>
      <c r="M42" s="638"/>
      <c r="N42" s="638"/>
      <c r="O42" s="638"/>
      <c r="P42" s="638"/>
      <c r="Q42" s="638"/>
      <c r="R42" s="638"/>
      <c r="S42" s="638"/>
      <c r="T42" s="638"/>
      <c r="U42" s="638"/>
      <c r="V42" s="638"/>
      <c r="W42" s="638"/>
      <c r="X42" s="638"/>
      <c r="Y42" s="638"/>
      <c r="Z42" s="638"/>
      <c r="AA42" s="638"/>
      <c r="AB42" s="638"/>
      <c r="AC42" s="638"/>
      <c r="AD42" s="638"/>
    </row>
    <row r="43" spans="1:30" ht="19.5" thickBot="1" x14ac:dyDescent="0.3">
      <c r="A43" s="482"/>
      <c r="B43" s="482" t="s">
        <v>235</v>
      </c>
      <c r="C43" s="482"/>
      <c r="D43" s="482"/>
      <c r="E43" s="482"/>
      <c r="F43" s="482"/>
      <c r="G43" s="432"/>
      <c r="H43" s="482"/>
      <c r="I43" s="482"/>
      <c r="J43" s="482"/>
      <c r="K43" s="482" t="s">
        <v>236</v>
      </c>
      <c r="L43" s="482"/>
    </row>
    <row r="44" spans="1:30" s="254" customFormat="1" ht="21.75" customHeight="1" x14ac:dyDescent="0.15">
      <c r="A44" s="1194" t="s">
        <v>61</v>
      </c>
      <c r="B44" s="1197" t="s">
        <v>54</v>
      </c>
      <c r="C44" s="1197" t="s">
        <v>5</v>
      </c>
      <c r="D44" s="1089" t="s">
        <v>4</v>
      </c>
      <c r="E44" s="1188"/>
      <c r="F44" s="1189"/>
      <c r="G44" s="1153" t="s">
        <v>334</v>
      </c>
      <c r="H44" s="1199" t="s">
        <v>8</v>
      </c>
      <c r="I44" s="1187" t="s">
        <v>50</v>
      </c>
      <c r="J44" s="1188"/>
      <c r="K44" s="1189"/>
      <c r="L44" s="506"/>
      <c r="M44" s="616"/>
      <c r="N44" s="616"/>
      <c r="O44" s="616"/>
      <c r="P44" s="616"/>
      <c r="Q44" s="616"/>
      <c r="R44" s="616"/>
      <c r="S44" s="616"/>
      <c r="T44" s="616"/>
      <c r="U44" s="616"/>
      <c r="V44" s="616"/>
      <c r="W44" s="616"/>
      <c r="X44" s="616"/>
      <c r="Y44" s="616"/>
      <c r="Z44" s="616"/>
      <c r="AA44" s="616"/>
      <c r="AB44" s="616"/>
      <c r="AC44" s="616"/>
      <c r="AD44" s="616"/>
    </row>
    <row r="45" spans="1:30" s="254" customFormat="1" ht="19.5" customHeight="1" x14ac:dyDescent="0.15">
      <c r="A45" s="1195"/>
      <c r="B45" s="1198"/>
      <c r="C45" s="1198"/>
      <c r="D45" s="1190" t="s">
        <v>62</v>
      </c>
      <c r="E45" s="1192" t="s">
        <v>63</v>
      </c>
      <c r="F45" s="1193"/>
      <c r="G45" s="1154"/>
      <c r="H45" s="1200"/>
      <c r="I45" s="1183" t="s">
        <v>6</v>
      </c>
      <c r="J45" s="1093" t="s">
        <v>7</v>
      </c>
      <c r="K45" s="1094"/>
      <c r="L45" s="1095" t="s">
        <v>7</v>
      </c>
      <c r="M45" s="616"/>
      <c r="N45" s="616"/>
      <c r="O45" s="616"/>
      <c r="P45" s="616"/>
      <c r="Q45" s="616"/>
      <c r="R45" s="616"/>
      <c r="S45" s="616"/>
      <c r="T45" s="616"/>
      <c r="U45" s="616"/>
      <c r="V45" s="616"/>
      <c r="W45" s="616"/>
      <c r="X45" s="616"/>
      <c r="Y45" s="616"/>
      <c r="Z45" s="616"/>
      <c r="AA45" s="616"/>
      <c r="AB45" s="616"/>
      <c r="AC45" s="616"/>
      <c r="AD45" s="616"/>
    </row>
    <row r="46" spans="1:30" s="254" customFormat="1" ht="21" customHeight="1" thickBot="1" x14ac:dyDescent="0.2">
      <c r="A46" s="1196"/>
      <c r="B46" s="1092"/>
      <c r="C46" s="1092"/>
      <c r="D46" s="1191"/>
      <c r="E46" s="352" t="s">
        <v>98</v>
      </c>
      <c r="F46" s="352" t="s">
        <v>99</v>
      </c>
      <c r="G46" s="1154"/>
      <c r="H46" s="1201"/>
      <c r="I46" s="1092"/>
      <c r="J46" s="352" t="s">
        <v>98</v>
      </c>
      <c r="K46" s="352" t="s">
        <v>99</v>
      </c>
      <c r="L46" s="1096"/>
      <c r="M46" s="616"/>
      <c r="N46" s="616"/>
      <c r="O46" s="616"/>
      <c r="P46" s="616"/>
      <c r="Q46" s="616"/>
      <c r="R46" s="616"/>
      <c r="S46" s="616"/>
      <c r="T46" s="616"/>
      <c r="U46" s="616"/>
      <c r="V46" s="616"/>
      <c r="W46" s="616"/>
      <c r="X46" s="616"/>
      <c r="Y46" s="616"/>
      <c r="Z46" s="616"/>
      <c r="AA46" s="616"/>
      <c r="AB46" s="616"/>
      <c r="AC46" s="616"/>
      <c r="AD46" s="616"/>
    </row>
    <row r="47" spans="1:30" s="254" customFormat="1" ht="21" customHeight="1" thickBot="1" x14ac:dyDescent="0.2">
      <c r="A47" s="353" t="s">
        <v>102</v>
      </c>
      <c r="B47" s="354" t="s">
        <v>103</v>
      </c>
      <c r="C47" s="354" t="s">
        <v>104</v>
      </c>
      <c r="D47" s="355" t="s">
        <v>105</v>
      </c>
      <c r="E47" s="355" t="s">
        <v>106</v>
      </c>
      <c r="F47" s="355" t="s">
        <v>107</v>
      </c>
      <c r="G47" s="461"/>
      <c r="H47" s="356" t="s">
        <v>108</v>
      </c>
      <c r="I47" s="354" t="s">
        <v>116</v>
      </c>
      <c r="J47" s="355" t="s">
        <v>115</v>
      </c>
      <c r="K47" s="355" t="s">
        <v>114</v>
      </c>
      <c r="L47" s="357" t="s">
        <v>113</v>
      </c>
      <c r="M47" s="616"/>
      <c r="N47" s="616"/>
      <c r="O47" s="616"/>
      <c r="P47" s="616"/>
      <c r="Q47" s="616"/>
      <c r="R47" s="616"/>
      <c r="S47" s="616"/>
      <c r="T47" s="616"/>
      <c r="U47" s="616"/>
      <c r="V47" s="616"/>
      <c r="W47" s="616"/>
      <c r="X47" s="616"/>
      <c r="Y47" s="616"/>
      <c r="Z47" s="616"/>
      <c r="AA47" s="616"/>
      <c r="AB47" s="616"/>
      <c r="AC47" s="616"/>
      <c r="AD47" s="616"/>
    </row>
    <row r="48" spans="1:30" x14ac:dyDescent="0.2">
      <c r="A48" s="464"/>
      <c r="B48" s="359" t="s">
        <v>75</v>
      </c>
      <c r="C48" s="360"/>
      <c r="D48" s="361"/>
      <c r="E48" s="360"/>
      <c r="F48" s="360"/>
      <c r="G48" s="360"/>
      <c r="H48" s="361"/>
      <c r="I48" s="361"/>
      <c r="J48" s="362"/>
      <c r="K48" s="362"/>
      <c r="L48" s="364"/>
    </row>
    <row r="49" spans="1:30" x14ac:dyDescent="0.2">
      <c r="A49" s="465"/>
      <c r="B49" s="366" t="s">
        <v>76</v>
      </c>
      <c r="C49" s="208"/>
      <c r="D49" s="207"/>
      <c r="E49" s="208"/>
      <c r="F49" s="208"/>
      <c r="G49" s="208"/>
      <c r="H49" s="207"/>
      <c r="I49" s="207"/>
      <c r="J49" s="244"/>
      <c r="K49" s="244"/>
      <c r="L49" s="368"/>
    </row>
    <row r="50" spans="1:30" x14ac:dyDescent="0.2">
      <c r="A50" s="434">
        <v>1.01</v>
      </c>
      <c r="B50" s="366" t="s">
        <v>110</v>
      </c>
      <c r="C50" s="202"/>
      <c r="D50" s="130"/>
      <c r="E50" s="202"/>
      <c r="F50" s="202"/>
      <c r="G50" s="202"/>
      <c r="H50" s="130"/>
      <c r="I50" s="130"/>
      <c r="J50" s="130"/>
      <c r="K50" s="130"/>
      <c r="L50" s="368"/>
    </row>
    <row r="51" spans="1:30" x14ac:dyDescent="0.2">
      <c r="A51" s="434"/>
      <c r="B51" s="370" t="s">
        <v>77</v>
      </c>
      <c r="C51" s="202" t="s">
        <v>12</v>
      </c>
      <c r="D51" s="130">
        <v>2.4</v>
      </c>
      <c r="E51" s="202">
        <f>1.2+0.48</f>
        <v>1.68</v>
      </c>
      <c r="F51" s="202"/>
      <c r="G51" s="202">
        <f>F51+E51</f>
        <v>1.68</v>
      </c>
      <c r="H51" s="130">
        <v>2600</v>
      </c>
      <c r="I51" s="130">
        <f t="shared" ref="I51:I61" si="8">D51*H51</f>
        <v>6240</v>
      </c>
      <c r="J51" s="130">
        <f>H51*E51</f>
        <v>4368</v>
      </c>
      <c r="K51" s="203">
        <f t="shared" ref="K51:K61" si="9">H51*F51</f>
        <v>0</v>
      </c>
      <c r="L51" s="368">
        <f>K51+J51</f>
        <v>4368</v>
      </c>
    </row>
    <row r="52" spans="1:30" x14ac:dyDescent="0.2">
      <c r="A52" s="434"/>
      <c r="B52" s="370" t="s">
        <v>74</v>
      </c>
      <c r="C52" s="202" t="s">
        <v>12</v>
      </c>
      <c r="D52" s="130">
        <v>9.99</v>
      </c>
      <c r="E52" s="202">
        <v>6.54</v>
      </c>
      <c r="F52" s="202"/>
      <c r="G52" s="202">
        <f t="shared" ref="G52:G61" si="10">F52+E52</f>
        <v>6.54</v>
      </c>
      <c r="H52" s="130">
        <v>2600</v>
      </c>
      <c r="I52" s="130">
        <f t="shared" si="8"/>
        <v>25974</v>
      </c>
      <c r="J52" s="130">
        <f t="shared" ref="J52:J61" si="11">H52*E52</f>
        <v>17004</v>
      </c>
      <c r="K52" s="203">
        <f t="shared" si="9"/>
        <v>0</v>
      </c>
      <c r="L52" s="368">
        <f t="shared" ref="L52:L61" si="12">K52+J52</f>
        <v>17004</v>
      </c>
    </row>
    <row r="53" spans="1:30" x14ac:dyDescent="0.2">
      <c r="A53" s="434"/>
      <c r="B53" s="370" t="s">
        <v>78</v>
      </c>
      <c r="C53" s="202" t="s">
        <v>12</v>
      </c>
      <c r="D53" s="130">
        <v>0.9</v>
      </c>
      <c r="E53" s="202"/>
      <c r="F53" s="202"/>
      <c r="G53" s="202">
        <f t="shared" si="10"/>
        <v>0</v>
      </c>
      <c r="H53" s="130">
        <v>2600</v>
      </c>
      <c r="I53" s="130">
        <f t="shared" si="8"/>
        <v>2340</v>
      </c>
      <c r="J53" s="130">
        <f t="shared" si="11"/>
        <v>0</v>
      </c>
      <c r="K53" s="203">
        <f t="shared" si="9"/>
        <v>0</v>
      </c>
      <c r="L53" s="368">
        <f t="shared" si="12"/>
        <v>0</v>
      </c>
    </row>
    <row r="54" spans="1:30" x14ac:dyDescent="0.2">
      <c r="A54" s="465">
        <v>1.2</v>
      </c>
      <c r="B54" s="366" t="s">
        <v>121</v>
      </c>
      <c r="C54" s="208"/>
      <c r="D54" s="207"/>
      <c r="E54" s="208"/>
      <c r="F54" s="202"/>
      <c r="G54" s="202">
        <f t="shared" si="10"/>
        <v>0</v>
      </c>
      <c r="H54" s="207"/>
      <c r="I54" s="130">
        <f t="shared" si="8"/>
        <v>0</v>
      </c>
      <c r="J54" s="130">
        <f t="shared" si="11"/>
        <v>0</v>
      </c>
      <c r="K54" s="203">
        <f t="shared" si="9"/>
        <v>0</v>
      </c>
      <c r="L54" s="368">
        <f t="shared" si="12"/>
        <v>0</v>
      </c>
    </row>
    <row r="55" spans="1:30" x14ac:dyDescent="0.2">
      <c r="A55" s="434"/>
      <c r="B55" s="370" t="s">
        <v>77</v>
      </c>
      <c r="C55" s="202" t="s">
        <v>11</v>
      </c>
      <c r="D55" s="130">
        <v>26.4</v>
      </c>
      <c r="E55" s="202">
        <f>24+9.6</f>
        <v>33.6</v>
      </c>
      <c r="F55" s="202"/>
      <c r="G55" s="202">
        <f t="shared" si="10"/>
        <v>33.6</v>
      </c>
      <c r="H55" s="130">
        <v>85</v>
      </c>
      <c r="I55" s="130">
        <f t="shared" si="8"/>
        <v>2244</v>
      </c>
      <c r="J55" s="130">
        <f t="shared" si="11"/>
        <v>2856</v>
      </c>
      <c r="K55" s="203">
        <f t="shared" si="9"/>
        <v>0</v>
      </c>
      <c r="L55" s="368">
        <f t="shared" si="12"/>
        <v>2856</v>
      </c>
    </row>
    <row r="56" spans="1:30" x14ac:dyDescent="0.2">
      <c r="A56" s="435"/>
      <c r="B56" s="370" t="s">
        <v>74</v>
      </c>
      <c r="C56" s="202" t="s">
        <v>11</v>
      </c>
      <c r="D56" s="130">
        <v>44.4</v>
      </c>
      <c r="E56" s="202">
        <v>84.08</v>
      </c>
      <c r="F56" s="202"/>
      <c r="G56" s="202">
        <f t="shared" si="10"/>
        <v>84.08</v>
      </c>
      <c r="H56" s="130">
        <v>85</v>
      </c>
      <c r="I56" s="130">
        <f t="shared" si="8"/>
        <v>3774</v>
      </c>
      <c r="J56" s="130">
        <f t="shared" si="11"/>
        <v>7146.8</v>
      </c>
      <c r="K56" s="203">
        <f t="shared" si="9"/>
        <v>0</v>
      </c>
      <c r="L56" s="368">
        <f t="shared" si="12"/>
        <v>7146.8</v>
      </c>
    </row>
    <row r="57" spans="1:30" x14ac:dyDescent="0.2">
      <c r="A57" s="434"/>
      <c r="B57" s="370" t="s">
        <v>78</v>
      </c>
      <c r="C57" s="202" t="s">
        <v>11</v>
      </c>
      <c r="D57" s="130">
        <v>9.3000000000000007</v>
      </c>
      <c r="E57" s="202"/>
      <c r="F57" s="202"/>
      <c r="G57" s="202">
        <f t="shared" si="10"/>
        <v>0</v>
      </c>
      <c r="H57" s="130">
        <v>85</v>
      </c>
      <c r="I57" s="130">
        <f t="shared" si="8"/>
        <v>790.50000000000011</v>
      </c>
      <c r="J57" s="130">
        <f t="shared" si="11"/>
        <v>0</v>
      </c>
      <c r="K57" s="203">
        <f t="shared" si="9"/>
        <v>0</v>
      </c>
      <c r="L57" s="368">
        <f t="shared" si="12"/>
        <v>0</v>
      </c>
    </row>
    <row r="58" spans="1:30" x14ac:dyDescent="0.2">
      <c r="A58" s="434">
        <v>1.3</v>
      </c>
      <c r="B58" s="366" t="s">
        <v>15</v>
      </c>
      <c r="C58" s="202"/>
      <c r="D58" s="130"/>
      <c r="E58" s="202"/>
      <c r="F58" s="202"/>
      <c r="G58" s="202">
        <f t="shared" si="10"/>
        <v>0</v>
      </c>
      <c r="H58" s="130"/>
      <c r="I58" s="130">
        <f t="shared" si="8"/>
        <v>0</v>
      </c>
      <c r="J58" s="130">
        <f t="shared" si="11"/>
        <v>0</v>
      </c>
      <c r="K58" s="203">
        <f t="shared" si="9"/>
        <v>0</v>
      </c>
      <c r="L58" s="368">
        <f t="shared" si="12"/>
        <v>0</v>
      </c>
    </row>
    <row r="59" spans="1:30" x14ac:dyDescent="0.2">
      <c r="A59" s="434"/>
      <c r="B59" s="370" t="s">
        <v>85</v>
      </c>
      <c r="C59" s="202" t="s">
        <v>16</v>
      </c>
      <c r="D59" s="130">
        <v>0</v>
      </c>
      <c r="E59" s="202"/>
      <c r="F59" s="202"/>
      <c r="G59" s="202">
        <f t="shared" si="10"/>
        <v>0</v>
      </c>
      <c r="H59" s="130"/>
      <c r="I59" s="130">
        <f t="shared" si="8"/>
        <v>0</v>
      </c>
      <c r="J59" s="130">
        <f t="shared" si="11"/>
        <v>0</v>
      </c>
      <c r="K59" s="203">
        <f t="shared" si="9"/>
        <v>0</v>
      </c>
      <c r="L59" s="368">
        <f t="shared" si="12"/>
        <v>0</v>
      </c>
    </row>
    <row r="60" spans="1:30" x14ac:dyDescent="0.2">
      <c r="A60" s="434"/>
      <c r="B60" s="370" t="s">
        <v>25</v>
      </c>
      <c r="C60" s="202" t="s">
        <v>16</v>
      </c>
      <c r="D60" s="130">
        <v>696.41</v>
      </c>
      <c r="E60" s="202">
        <v>804.95</v>
      </c>
      <c r="F60" s="202">
        <v>9.17</v>
      </c>
      <c r="G60" s="202">
        <f t="shared" si="10"/>
        <v>814.12</v>
      </c>
      <c r="H60" s="130">
        <v>34</v>
      </c>
      <c r="I60" s="130">
        <f t="shared" si="8"/>
        <v>23677.94</v>
      </c>
      <c r="J60" s="130">
        <f t="shared" si="11"/>
        <v>27368.300000000003</v>
      </c>
      <c r="K60" s="203">
        <f t="shared" si="9"/>
        <v>311.77999999999997</v>
      </c>
      <c r="L60" s="368">
        <f t="shared" si="12"/>
        <v>27680.080000000002</v>
      </c>
    </row>
    <row r="61" spans="1:30" x14ac:dyDescent="0.2">
      <c r="A61" s="436"/>
      <c r="B61" s="372" t="s">
        <v>26</v>
      </c>
      <c r="C61" s="205" t="s">
        <v>16</v>
      </c>
      <c r="D61" s="140">
        <v>276.31</v>
      </c>
      <c r="E61" s="205">
        <v>217.61</v>
      </c>
      <c r="F61" s="202">
        <v>26.26</v>
      </c>
      <c r="G61" s="202">
        <f t="shared" si="10"/>
        <v>243.87</v>
      </c>
      <c r="H61" s="140">
        <v>34</v>
      </c>
      <c r="I61" s="130">
        <f t="shared" si="8"/>
        <v>9394.5400000000009</v>
      </c>
      <c r="J61" s="130">
        <f t="shared" si="11"/>
        <v>7398.7400000000007</v>
      </c>
      <c r="K61" s="203">
        <f t="shared" si="9"/>
        <v>892.84</v>
      </c>
      <c r="L61" s="368">
        <f t="shared" si="12"/>
        <v>8291.58</v>
      </c>
    </row>
    <row r="62" spans="1:30" s="587" customFormat="1" ht="25.5" customHeight="1" thickBot="1" x14ac:dyDescent="0.25">
      <c r="A62" s="585"/>
      <c r="B62" s="1174" t="s">
        <v>64</v>
      </c>
      <c r="C62" s="1175"/>
      <c r="D62" s="1175"/>
      <c r="E62" s="1175"/>
      <c r="F62" s="1175"/>
      <c r="G62" s="1175"/>
      <c r="H62" s="1176"/>
      <c r="I62" s="586">
        <f>SUM(I49:I61)</f>
        <v>74434.98000000001</v>
      </c>
      <c r="J62" s="586">
        <f>SUM(J49:J61)</f>
        <v>66141.840000000011</v>
      </c>
      <c r="K62" s="586">
        <f>SUM(K49:K61)</f>
        <v>1204.6199999999999</v>
      </c>
      <c r="L62" s="586">
        <f>SUM(L49:L61)</f>
        <v>67346.460000000006</v>
      </c>
      <c r="M62" s="638"/>
      <c r="N62" s="638"/>
      <c r="O62" s="638"/>
      <c r="P62" s="638"/>
      <c r="Q62" s="638"/>
      <c r="R62" s="638"/>
      <c r="S62" s="638"/>
      <c r="T62" s="638"/>
      <c r="U62" s="638"/>
      <c r="V62" s="638"/>
      <c r="W62" s="638"/>
      <c r="X62" s="638"/>
      <c r="Y62" s="638"/>
      <c r="Z62" s="638"/>
      <c r="AA62" s="638"/>
      <c r="AB62" s="638"/>
      <c r="AC62" s="638"/>
      <c r="AD62" s="638"/>
    </row>
    <row r="63" spans="1:30" s="332" customFormat="1" ht="26.25" customHeight="1" x14ac:dyDescent="0.2">
      <c r="A63" s="710"/>
      <c r="B63" s="711" t="s">
        <v>292</v>
      </c>
      <c r="C63" s="712"/>
      <c r="D63" s="712"/>
      <c r="E63" s="712"/>
      <c r="F63" s="712"/>
      <c r="G63" s="712"/>
      <c r="H63" s="713"/>
      <c r="I63" s="713"/>
      <c r="J63" s="713"/>
      <c r="K63" s="713"/>
      <c r="L63" s="713"/>
      <c r="M63" s="629"/>
      <c r="N63" s="629"/>
      <c r="O63" s="629"/>
      <c r="P63" s="629"/>
      <c r="Q63" s="629"/>
      <c r="R63" s="629"/>
      <c r="S63" s="629"/>
      <c r="T63" s="629"/>
      <c r="U63" s="629"/>
      <c r="V63" s="629"/>
      <c r="W63" s="629"/>
      <c r="X63" s="629"/>
    </row>
    <row r="64" spans="1:30" s="332" customFormat="1" ht="21" customHeight="1" x14ac:dyDescent="0.2">
      <c r="A64" s="714"/>
      <c r="B64" s="715" t="s">
        <v>293</v>
      </c>
      <c r="C64" s="716"/>
      <c r="D64" s="716"/>
      <c r="E64" s="716"/>
      <c r="F64" s="716"/>
      <c r="G64" s="716"/>
      <c r="H64" s="422"/>
      <c r="I64" s="422"/>
      <c r="J64" s="422"/>
      <c r="K64" s="422"/>
      <c r="L64" s="717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</row>
    <row r="65" spans="1:32" s="332" customFormat="1" ht="21" customHeight="1" x14ac:dyDescent="0.2">
      <c r="A65" s="714"/>
      <c r="B65" s="715" t="s">
        <v>294</v>
      </c>
      <c r="C65" s="716" t="s">
        <v>11</v>
      </c>
      <c r="D65" s="716">
        <v>171.04</v>
      </c>
      <c r="E65" s="422">
        <v>180.45</v>
      </c>
      <c r="F65" s="716"/>
      <c r="G65" s="716">
        <f>F65+E65</f>
        <v>180.45</v>
      </c>
      <c r="H65" s="716">
        <v>310</v>
      </c>
      <c r="I65" s="130">
        <f>D65*H65</f>
        <v>53022.399999999994</v>
      </c>
      <c r="J65" s="422">
        <f>H65*E65</f>
        <v>55939.5</v>
      </c>
      <c r="K65" s="422">
        <f>H65*F65</f>
        <v>0</v>
      </c>
      <c r="L65" s="717">
        <f>K65+J65</f>
        <v>55939.5</v>
      </c>
      <c r="M65" s="629"/>
      <c r="N65" s="629"/>
      <c r="O65" s="629"/>
      <c r="P65" s="629"/>
      <c r="Q65" s="629"/>
      <c r="R65" s="629"/>
      <c r="S65" s="629"/>
      <c r="T65" s="629"/>
      <c r="U65" s="629"/>
      <c r="V65" s="629"/>
      <c r="W65" s="629"/>
      <c r="X65" s="629"/>
    </row>
    <row r="66" spans="1:32" s="332" customFormat="1" ht="21" customHeight="1" x14ac:dyDescent="0.2">
      <c r="A66" s="714"/>
      <c r="B66" s="718" t="s">
        <v>295</v>
      </c>
      <c r="C66" s="716" t="s">
        <v>11</v>
      </c>
      <c r="D66" s="716">
        <v>40.5</v>
      </c>
      <c r="E66" s="422"/>
      <c r="F66" s="719">
        <v>45.28</v>
      </c>
      <c r="G66" s="719"/>
      <c r="H66" s="716">
        <v>295</v>
      </c>
      <c r="I66" s="130">
        <f>D66*H66</f>
        <v>11947.5</v>
      </c>
      <c r="J66" s="422">
        <f>H66*E66</f>
        <v>0</v>
      </c>
      <c r="K66" s="422">
        <f>H66*F66</f>
        <v>13357.6</v>
      </c>
      <c r="L66" s="717">
        <f>K66+J66</f>
        <v>13357.6</v>
      </c>
      <c r="M66" s="629"/>
      <c r="N66" s="629"/>
      <c r="O66" s="629"/>
      <c r="P66" s="629"/>
      <c r="Q66" s="629"/>
      <c r="R66" s="629"/>
      <c r="S66" s="629"/>
      <c r="T66" s="629"/>
      <c r="U66" s="629"/>
      <c r="V66" s="629"/>
      <c r="W66" s="629"/>
      <c r="X66" s="629"/>
    </row>
    <row r="67" spans="1:32" s="581" customFormat="1" ht="26.25" customHeight="1" thickBot="1" x14ac:dyDescent="0.2">
      <c r="A67" s="579"/>
      <c r="B67" s="1101" t="s">
        <v>64</v>
      </c>
      <c r="C67" s="1102"/>
      <c r="D67" s="1102"/>
      <c r="E67" s="1102"/>
      <c r="F67" s="1102"/>
      <c r="G67" s="1102"/>
      <c r="H67" s="1103"/>
      <c r="I67" s="568">
        <f>SUM(I65:I66)</f>
        <v>64969.899999999994</v>
      </c>
      <c r="J67" s="568">
        <f>SUM(J65:J66)</f>
        <v>55939.5</v>
      </c>
      <c r="K67" s="568">
        <f>SUM(K65:K66)</f>
        <v>13357.6</v>
      </c>
      <c r="L67" s="568">
        <f>SUM(L65:L66)</f>
        <v>69297.100000000006</v>
      </c>
      <c r="M67" s="626"/>
      <c r="N67" s="626"/>
      <c r="O67" s="626"/>
      <c r="P67" s="626"/>
      <c r="Q67" s="626"/>
      <c r="R67" s="626"/>
      <c r="S67" s="626"/>
      <c r="T67" s="626"/>
      <c r="U67" s="626"/>
      <c r="V67" s="626"/>
      <c r="W67" s="626"/>
      <c r="X67" s="626"/>
    </row>
    <row r="68" spans="1:32" s="278" customFormat="1" x14ac:dyDescent="0.2">
      <c r="A68" s="491"/>
      <c r="B68" s="492" t="s">
        <v>167</v>
      </c>
      <c r="C68" s="234"/>
      <c r="D68" s="233"/>
      <c r="E68" s="234"/>
      <c r="F68" s="234"/>
      <c r="G68" s="234"/>
      <c r="H68" s="233"/>
      <c r="I68" s="233"/>
      <c r="J68" s="233"/>
      <c r="K68" s="233"/>
      <c r="L68" s="493"/>
      <c r="M68" s="622"/>
      <c r="N68" s="622"/>
      <c r="O68" s="622"/>
      <c r="P68" s="622"/>
      <c r="Q68" s="622"/>
      <c r="R68" s="622"/>
      <c r="S68" s="622"/>
      <c r="T68" s="622"/>
      <c r="U68" s="622"/>
      <c r="V68" s="622"/>
      <c r="W68" s="622"/>
      <c r="X68" s="622"/>
      <c r="Y68" s="622"/>
      <c r="Z68" s="622"/>
      <c r="AA68" s="622"/>
      <c r="AB68" s="622"/>
      <c r="AC68" s="622"/>
      <c r="AD68" s="622"/>
      <c r="AE68" s="622"/>
      <c r="AF68" s="622"/>
    </row>
    <row r="69" spans="1:32" s="278" customFormat="1" x14ac:dyDescent="0.2">
      <c r="A69" s="494">
        <v>3.1</v>
      </c>
      <c r="B69" s="495" t="s">
        <v>166</v>
      </c>
      <c r="C69" s="236" t="s">
        <v>11</v>
      </c>
      <c r="D69" s="235">
        <v>106.25</v>
      </c>
      <c r="E69" s="236">
        <v>106.26</v>
      </c>
      <c r="F69" s="236"/>
      <c r="G69" s="236">
        <f>F69+E69</f>
        <v>106.26</v>
      </c>
      <c r="H69" s="235">
        <v>245</v>
      </c>
      <c r="I69" s="235">
        <f>D69*H69</f>
        <v>26031.25</v>
      </c>
      <c r="J69" s="972">
        <f>H69*E69</f>
        <v>26033.7</v>
      </c>
      <c r="K69" s="235">
        <f>H69*F69</f>
        <v>0</v>
      </c>
      <c r="L69" s="869">
        <f>K69+J69</f>
        <v>26033.7</v>
      </c>
      <c r="M69" s="622"/>
      <c r="N69" s="622"/>
      <c r="O69" s="622"/>
      <c r="P69" s="622"/>
      <c r="Q69" s="622"/>
      <c r="R69" s="622"/>
      <c r="S69" s="622"/>
      <c r="T69" s="622"/>
      <c r="U69" s="622"/>
      <c r="V69" s="622"/>
      <c r="W69" s="622"/>
      <c r="X69" s="622"/>
      <c r="Y69" s="622"/>
      <c r="Z69" s="622"/>
      <c r="AA69" s="622"/>
      <c r="AB69" s="622"/>
      <c r="AC69" s="622"/>
      <c r="AD69" s="622"/>
      <c r="AE69" s="622"/>
      <c r="AF69" s="622"/>
    </row>
    <row r="70" spans="1:32" s="278" customFormat="1" ht="22.5" customHeight="1" x14ac:dyDescent="0.2">
      <c r="A70" s="967">
        <v>3.2</v>
      </c>
      <c r="B70" s="960" t="s">
        <v>558</v>
      </c>
      <c r="C70" s="236" t="s">
        <v>11</v>
      </c>
      <c r="D70" s="960">
        <v>26.76</v>
      </c>
      <c r="E70" s="968"/>
      <c r="F70" s="968"/>
      <c r="G70" s="236">
        <f>F70+E70</f>
        <v>0</v>
      </c>
      <c r="H70" s="960">
        <v>220</v>
      </c>
      <c r="I70" s="235">
        <f>D70*H70</f>
        <v>5887.2000000000007</v>
      </c>
      <c r="J70" s="972">
        <f>H70*E70</f>
        <v>0</v>
      </c>
      <c r="K70" s="235">
        <f>H70*F70</f>
        <v>0</v>
      </c>
      <c r="L70" s="869">
        <f>K70+J70</f>
        <v>0</v>
      </c>
      <c r="M70" s="622"/>
      <c r="N70" s="622"/>
      <c r="O70" s="622"/>
      <c r="P70" s="622"/>
      <c r="Q70" s="622"/>
      <c r="R70" s="622"/>
      <c r="S70" s="622"/>
      <c r="T70" s="622"/>
      <c r="U70" s="622"/>
      <c r="V70" s="622"/>
      <c r="W70" s="622"/>
      <c r="X70" s="622"/>
      <c r="Y70" s="622"/>
      <c r="Z70" s="622"/>
      <c r="AA70" s="622"/>
      <c r="AB70" s="622"/>
      <c r="AC70" s="622"/>
      <c r="AD70" s="622"/>
      <c r="AE70" s="622"/>
      <c r="AF70" s="622"/>
    </row>
    <row r="71" spans="1:32" s="574" customFormat="1" ht="21.75" customHeight="1" thickBot="1" x14ac:dyDescent="0.25">
      <c r="A71" s="585"/>
      <c r="B71" s="1174" t="s">
        <v>64</v>
      </c>
      <c r="C71" s="1175"/>
      <c r="D71" s="1175"/>
      <c r="E71" s="1175"/>
      <c r="F71" s="1175"/>
      <c r="G71" s="1175"/>
      <c r="H71" s="1176"/>
      <c r="I71" s="586">
        <f>SUM(I69:I70)</f>
        <v>31918.45</v>
      </c>
      <c r="J71" s="586">
        <f>SUM(J69:J70)</f>
        <v>26033.7</v>
      </c>
      <c r="K71" s="586">
        <f>SUM(K69:K70)</f>
        <v>0</v>
      </c>
      <c r="L71" s="586">
        <f>SUM(L69:L70)</f>
        <v>26033.7</v>
      </c>
      <c r="M71" s="622"/>
      <c r="N71" s="622"/>
      <c r="O71" s="622"/>
      <c r="P71" s="622"/>
      <c r="Q71" s="622"/>
      <c r="R71" s="622"/>
      <c r="S71" s="622"/>
      <c r="T71" s="622"/>
      <c r="U71" s="622"/>
      <c r="V71" s="622"/>
      <c r="W71" s="622"/>
      <c r="X71" s="622"/>
      <c r="Y71" s="622"/>
      <c r="Z71" s="622"/>
      <c r="AA71" s="622"/>
      <c r="AB71" s="622"/>
      <c r="AC71" s="622"/>
      <c r="AD71" s="622"/>
      <c r="AE71" s="622"/>
      <c r="AF71" s="622"/>
    </row>
    <row r="72" spans="1:32" s="470" customFormat="1" x14ac:dyDescent="0.2">
      <c r="A72" s="813"/>
      <c r="B72" s="814" t="s">
        <v>324</v>
      </c>
      <c r="C72" s="217"/>
      <c r="D72" s="843"/>
      <c r="E72" s="815"/>
      <c r="F72" s="477"/>
      <c r="G72" s="477"/>
      <c r="H72" s="477"/>
      <c r="I72" s="815"/>
      <c r="J72" s="815"/>
      <c r="K72" s="477"/>
      <c r="L72" s="817"/>
    </row>
    <row r="73" spans="1:32" s="470" customFormat="1" x14ac:dyDescent="0.2">
      <c r="A73" s="449">
        <v>4.01</v>
      </c>
      <c r="B73" s="442" t="s">
        <v>425</v>
      </c>
      <c r="C73" s="218"/>
      <c r="D73" s="443"/>
      <c r="E73" s="243"/>
      <c r="F73" s="239"/>
      <c r="G73" s="232"/>
      <c r="H73" s="232"/>
      <c r="I73" s="243"/>
      <c r="J73" s="243"/>
      <c r="K73" s="844"/>
      <c r="L73" s="398"/>
    </row>
    <row r="74" spans="1:32" s="470" customFormat="1" x14ac:dyDescent="0.2">
      <c r="A74" s="449" t="s">
        <v>325</v>
      </c>
      <c r="B74" s="442" t="s">
        <v>338</v>
      </c>
      <c r="C74" s="218" t="s">
        <v>174</v>
      </c>
      <c r="D74" s="443">
        <v>226</v>
      </c>
      <c r="E74" s="682">
        <v>141.47999999999999</v>
      </c>
      <c r="F74" s="239"/>
      <c r="G74" s="232">
        <f>F74+E74</f>
        <v>141.47999999999999</v>
      </c>
      <c r="H74" s="232">
        <v>20</v>
      </c>
      <c r="I74" s="239">
        <f>H74*D74</f>
        <v>4520</v>
      </c>
      <c r="J74" s="239">
        <f>H74*E74</f>
        <v>2829.6</v>
      </c>
      <c r="K74" s="232">
        <f>H74*F74</f>
        <v>0</v>
      </c>
      <c r="L74" s="845">
        <f>K74+J74</f>
        <v>2829.6</v>
      </c>
    </row>
    <row r="75" spans="1:32" s="470" customFormat="1" x14ac:dyDescent="0.2">
      <c r="A75" s="449" t="s">
        <v>326</v>
      </c>
      <c r="B75" s="442" t="s">
        <v>426</v>
      </c>
      <c r="C75" s="218" t="s">
        <v>174</v>
      </c>
      <c r="D75" s="443">
        <v>201</v>
      </c>
      <c r="E75" s="682">
        <v>151.9</v>
      </c>
      <c r="F75" s="239"/>
      <c r="G75" s="232">
        <f>F75+E75</f>
        <v>151.9</v>
      </c>
      <c r="H75" s="232">
        <v>19</v>
      </c>
      <c r="I75" s="239">
        <f>H75*D75</f>
        <v>3819</v>
      </c>
      <c r="J75" s="239">
        <f>H75*E75</f>
        <v>2886.1</v>
      </c>
      <c r="K75" s="232">
        <f>H75*F75</f>
        <v>0</v>
      </c>
      <c r="L75" s="845">
        <f>K75+J75</f>
        <v>2886.1</v>
      </c>
    </row>
    <row r="76" spans="1:32" s="470" customFormat="1" x14ac:dyDescent="0.2">
      <c r="A76" s="450">
        <v>4.0199999999999996</v>
      </c>
      <c r="B76" s="446" t="s">
        <v>427</v>
      </c>
      <c r="C76" s="236" t="s">
        <v>174</v>
      </c>
      <c r="D76" s="447">
        <v>316</v>
      </c>
      <c r="E76" s="823">
        <v>112</v>
      </c>
      <c r="F76" s="240"/>
      <c r="G76" s="232">
        <f>F76+E76</f>
        <v>112</v>
      </c>
      <c r="H76" s="235">
        <v>45</v>
      </c>
      <c r="I76" s="239">
        <f>H76*D76</f>
        <v>14220</v>
      </c>
      <c r="J76" s="239">
        <f>H76*E76</f>
        <v>5040</v>
      </c>
      <c r="K76" s="232">
        <f>H76*F76</f>
        <v>0</v>
      </c>
      <c r="L76" s="845">
        <f>K76+J76</f>
        <v>5040</v>
      </c>
    </row>
    <row r="77" spans="1:32" s="846" customFormat="1" x14ac:dyDescent="0.2">
      <c r="A77" s="436">
        <v>4.2</v>
      </c>
      <c r="B77" s="371" t="s">
        <v>238</v>
      </c>
      <c r="C77" s="205" t="s">
        <v>174</v>
      </c>
      <c r="D77" s="140">
        <v>23</v>
      </c>
      <c r="E77" s="205">
        <v>15.4</v>
      </c>
      <c r="F77" s="878"/>
      <c r="G77" s="232">
        <f>F77+E77</f>
        <v>15.4</v>
      </c>
      <c r="H77" s="140">
        <v>105</v>
      </c>
      <c r="I77" s="239">
        <f>H77*D77</f>
        <v>2415</v>
      </c>
      <c r="J77" s="239">
        <f>H77*E77</f>
        <v>1617</v>
      </c>
      <c r="K77" s="232">
        <f>H77*F77</f>
        <v>0</v>
      </c>
      <c r="L77" s="845">
        <f>K77+J77</f>
        <v>1617</v>
      </c>
    </row>
    <row r="78" spans="1:32" s="574" customFormat="1" ht="27.75" customHeight="1" thickBot="1" x14ac:dyDescent="0.25">
      <c r="A78" s="585"/>
      <c r="B78" s="1174" t="s">
        <v>64</v>
      </c>
      <c r="C78" s="1175"/>
      <c r="D78" s="1175"/>
      <c r="E78" s="1175"/>
      <c r="F78" s="1175"/>
      <c r="G78" s="1175"/>
      <c r="H78" s="1176"/>
      <c r="I78" s="586">
        <f>SUM(I74:I77)</f>
        <v>24974</v>
      </c>
      <c r="J78" s="586">
        <f>SUM(J74:J77)</f>
        <v>12372.7</v>
      </c>
      <c r="K78" s="586">
        <f>SUM(K74:K77)</f>
        <v>0</v>
      </c>
      <c r="L78" s="586">
        <f>SUM(L74:L77)</f>
        <v>12372.7</v>
      </c>
      <c r="M78" s="622"/>
      <c r="N78" s="622"/>
      <c r="O78" s="622"/>
      <c r="P78" s="622"/>
      <c r="Q78" s="622"/>
      <c r="R78" s="622"/>
      <c r="S78" s="622"/>
      <c r="T78" s="622"/>
      <c r="U78" s="622"/>
      <c r="V78" s="622"/>
      <c r="W78" s="622"/>
      <c r="X78" s="622"/>
      <c r="Y78" s="622"/>
      <c r="Z78" s="622"/>
      <c r="AA78" s="622"/>
      <c r="AB78" s="622"/>
      <c r="AC78" s="622"/>
      <c r="AD78" s="622"/>
      <c r="AE78" s="622"/>
      <c r="AF78" s="622"/>
    </row>
    <row r="79" spans="1:32" s="848" customFormat="1" ht="25.5" customHeight="1" x14ac:dyDescent="0.25">
      <c r="A79" s="847"/>
      <c r="B79" s="814" t="s">
        <v>428</v>
      </c>
      <c r="C79" s="477"/>
      <c r="D79" s="477"/>
      <c r="E79" s="477"/>
      <c r="F79" s="477"/>
      <c r="G79" s="477"/>
      <c r="H79" s="477"/>
      <c r="I79" s="815"/>
      <c r="J79" s="815"/>
      <c r="K79" s="477"/>
      <c r="L79" s="817"/>
    </row>
    <row r="80" spans="1:32" s="848" customFormat="1" ht="24.75" customHeight="1" x14ac:dyDescent="0.25">
      <c r="A80" s="449">
        <v>6.1</v>
      </c>
      <c r="B80" s="442" t="s">
        <v>429</v>
      </c>
      <c r="C80" s="218" t="s">
        <v>303</v>
      </c>
      <c r="D80" s="232">
        <v>169.32</v>
      </c>
      <c r="E80" s="232"/>
      <c r="F80" s="232">
        <v>355.26</v>
      </c>
      <c r="G80" s="232">
        <f>F80+E80</f>
        <v>355.26</v>
      </c>
      <c r="H80" s="443">
        <v>110</v>
      </c>
      <c r="I80" s="239">
        <f>H80*D80</f>
        <v>18625.2</v>
      </c>
      <c r="J80" s="239">
        <f>H80*E80</f>
        <v>0</v>
      </c>
      <c r="K80" s="232">
        <f>H80*F80</f>
        <v>39078.6</v>
      </c>
      <c r="L80" s="845">
        <f>K80+J80</f>
        <v>39078.6</v>
      </c>
    </row>
    <row r="81" spans="1:32" s="848" customFormat="1" ht="24.75" customHeight="1" x14ac:dyDescent="0.25">
      <c r="A81" s="450">
        <v>6.2</v>
      </c>
      <c r="B81" s="446" t="s">
        <v>430</v>
      </c>
      <c r="C81" s="236" t="s">
        <v>303</v>
      </c>
      <c r="D81" s="235">
        <v>229.98</v>
      </c>
      <c r="E81" s="235">
        <v>171.62</v>
      </c>
      <c r="F81" s="235"/>
      <c r="G81" s="232">
        <f>F81+E81</f>
        <v>171.62</v>
      </c>
      <c r="H81" s="447">
        <v>115</v>
      </c>
      <c r="I81" s="239">
        <f>H81*D81</f>
        <v>26447.699999999997</v>
      </c>
      <c r="J81" s="976">
        <f>H81*E81</f>
        <v>19736.3</v>
      </c>
      <c r="K81" s="232">
        <f t="shared" ref="K81:K89" si="13">H81*F81</f>
        <v>0</v>
      </c>
      <c r="L81" s="845">
        <f>K81+J81</f>
        <v>19736.3</v>
      </c>
    </row>
    <row r="82" spans="1:32" s="848" customFormat="1" ht="24.75" customHeight="1" x14ac:dyDescent="0.25">
      <c r="A82" s="449">
        <v>6.3</v>
      </c>
      <c r="B82" s="442" t="s">
        <v>513</v>
      </c>
      <c r="C82" s="218" t="s">
        <v>11</v>
      </c>
      <c r="D82" s="232">
        <v>73.14</v>
      </c>
      <c r="E82" s="232"/>
      <c r="F82" s="232"/>
      <c r="G82" s="232">
        <f t="shared" ref="G82:G89" si="14">F82+E82</f>
        <v>0</v>
      </c>
      <c r="H82" s="443">
        <v>280</v>
      </c>
      <c r="I82" s="239">
        <f t="shared" ref="I82:I89" si="15">H82*D82</f>
        <v>20479.2</v>
      </c>
      <c r="J82" s="239">
        <f t="shared" ref="J82:J89" si="16">H82*E82</f>
        <v>0</v>
      </c>
      <c r="K82" s="232">
        <f t="shared" si="13"/>
        <v>0</v>
      </c>
      <c r="L82" s="845">
        <f t="shared" ref="L82:L89" si="17">K82+J82</f>
        <v>0</v>
      </c>
    </row>
    <row r="83" spans="1:32" s="848" customFormat="1" ht="24.75" customHeight="1" x14ac:dyDescent="0.25">
      <c r="A83" s="450">
        <v>6.5</v>
      </c>
      <c r="B83" s="446" t="s">
        <v>483</v>
      </c>
      <c r="C83" s="236" t="s">
        <v>11</v>
      </c>
      <c r="D83" s="235">
        <v>288</v>
      </c>
      <c r="E83" s="235"/>
      <c r="F83" s="235"/>
      <c r="G83" s="232">
        <f t="shared" si="14"/>
        <v>0</v>
      </c>
      <c r="H83" s="447">
        <v>380</v>
      </c>
      <c r="I83" s="239">
        <f t="shared" si="15"/>
        <v>109440</v>
      </c>
      <c r="J83" s="239">
        <f t="shared" si="16"/>
        <v>0</v>
      </c>
      <c r="K83" s="232">
        <f t="shared" si="13"/>
        <v>0</v>
      </c>
      <c r="L83" s="845">
        <f t="shared" si="17"/>
        <v>0</v>
      </c>
    </row>
    <row r="84" spans="1:32" s="848" customFormat="1" ht="24.75" customHeight="1" x14ac:dyDescent="0.25">
      <c r="A84" s="450">
        <v>6.6</v>
      </c>
      <c r="B84" s="446" t="s">
        <v>515</v>
      </c>
      <c r="C84" s="236" t="s">
        <v>174</v>
      </c>
      <c r="D84" s="235">
        <v>60</v>
      </c>
      <c r="E84" s="235"/>
      <c r="F84" s="235"/>
      <c r="G84" s="232">
        <f t="shared" si="14"/>
        <v>0</v>
      </c>
      <c r="H84" s="447">
        <v>50</v>
      </c>
      <c r="I84" s="239">
        <f t="shared" si="15"/>
        <v>3000</v>
      </c>
      <c r="J84" s="239">
        <f t="shared" si="16"/>
        <v>0</v>
      </c>
      <c r="K84" s="232">
        <f t="shared" si="13"/>
        <v>0</v>
      </c>
      <c r="L84" s="845">
        <f t="shared" si="17"/>
        <v>0</v>
      </c>
    </row>
    <row r="85" spans="1:32" s="848" customFormat="1" ht="24.75" customHeight="1" x14ac:dyDescent="0.25">
      <c r="A85" s="450">
        <v>6.7</v>
      </c>
      <c r="B85" s="446" t="s">
        <v>499</v>
      </c>
      <c r="C85" s="236" t="s">
        <v>174</v>
      </c>
      <c r="D85" s="235">
        <v>12</v>
      </c>
      <c r="E85" s="235"/>
      <c r="F85" s="235"/>
      <c r="G85" s="232">
        <f t="shared" si="14"/>
        <v>0</v>
      </c>
      <c r="H85" s="447">
        <v>275</v>
      </c>
      <c r="I85" s="239">
        <f t="shared" si="15"/>
        <v>3300</v>
      </c>
      <c r="J85" s="239">
        <f t="shared" si="16"/>
        <v>0</v>
      </c>
      <c r="K85" s="232">
        <f t="shared" si="13"/>
        <v>0</v>
      </c>
      <c r="L85" s="845">
        <f t="shared" si="17"/>
        <v>0</v>
      </c>
    </row>
    <row r="86" spans="1:32" s="848" customFormat="1" ht="24.75" customHeight="1" x14ac:dyDescent="0.25">
      <c r="A86" s="450">
        <v>6.8</v>
      </c>
      <c r="B86" s="446" t="s">
        <v>500</v>
      </c>
      <c r="C86" s="236" t="s">
        <v>174</v>
      </c>
      <c r="D86" s="235">
        <v>1</v>
      </c>
      <c r="E86" s="235"/>
      <c r="F86" s="235"/>
      <c r="G86" s="232">
        <f t="shared" si="14"/>
        <v>0</v>
      </c>
      <c r="H86" s="447">
        <v>195</v>
      </c>
      <c r="I86" s="239">
        <f t="shared" si="15"/>
        <v>195</v>
      </c>
      <c r="J86" s="239">
        <f t="shared" si="16"/>
        <v>0</v>
      </c>
      <c r="K86" s="232">
        <f t="shared" si="13"/>
        <v>0</v>
      </c>
      <c r="L86" s="845">
        <f t="shared" si="17"/>
        <v>0</v>
      </c>
    </row>
    <row r="87" spans="1:32" s="848" customFormat="1" ht="24.75" customHeight="1" x14ac:dyDescent="0.25">
      <c r="A87" s="450">
        <v>6.9</v>
      </c>
      <c r="B87" s="446" t="s">
        <v>521</v>
      </c>
      <c r="C87" s="236" t="s">
        <v>487</v>
      </c>
      <c r="D87" s="235">
        <v>24.3</v>
      </c>
      <c r="E87" s="235"/>
      <c r="F87" s="235"/>
      <c r="G87" s="232">
        <f t="shared" si="14"/>
        <v>0</v>
      </c>
      <c r="H87" s="447">
        <v>450</v>
      </c>
      <c r="I87" s="239">
        <f t="shared" si="15"/>
        <v>10935</v>
      </c>
      <c r="J87" s="239">
        <f t="shared" si="16"/>
        <v>0</v>
      </c>
      <c r="K87" s="232">
        <f t="shared" si="13"/>
        <v>0</v>
      </c>
      <c r="L87" s="845">
        <f t="shared" si="17"/>
        <v>0</v>
      </c>
    </row>
    <row r="88" spans="1:32" s="848" customFormat="1" ht="24.75" customHeight="1" x14ac:dyDescent="0.25">
      <c r="A88" s="450">
        <v>6.1</v>
      </c>
      <c r="B88" s="446" t="s">
        <v>511</v>
      </c>
      <c r="C88" s="236" t="s">
        <v>174</v>
      </c>
      <c r="D88" s="235">
        <v>21.9</v>
      </c>
      <c r="E88" s="235"/>
      <c r="F88" s="235"/>
      <c r="G88" s="232">
        <f t="shared" si="14"/>
        <v>0</v>
      </c>
      <c r="H88" s="447">
        <v>160</v>
      </c>
      <c r="I88" s="239">
        <f t="shared" si="15"/>
        <v>3504</v>
      </c>
      <c r="J88" s="239">
        <f t="shared" si="16"/>
        <v>0</v>
      </c>
      <c r="K88" s="232">
        <f t="shared" si="13"/>
        <v>0</v>
      </c>
      <c r="L88" s="845">
        <f t="shared" si="17"/>
        <v>0</v>
      </c>
    </row>
    <row r="89" spans="1:32" s="848" customFormat="1" ht="24.75" customHeight="1" x14ac:dyDescent="0.25">
      <c r="A89" s="449">
        <v>6.11</v>
      </c>
      <c r="B89" s="442" t="s">
        <v>503</v>
      </c>
      <c r="C89" s="218" t="s">
        <v>174</v>
      </c>
      <c r="D89" s="232">
        <v>97</v>
      </c>
      <c r="E89" s="232"/>
      <c r="F89" s="232"/>
      <c r="G89" s="232">
        <f t="shared" si="14"/>
        <v>0</v>
      </c>
      <c r="H89" s="443">
        <v>155</v>
      </c>
      <c r="I89" s="239">
        <f t="shared" si="15"/>
        <v>15035</v>
      </c>
      <c r="J89" s="239">
        <f t="shared" si="16"/>
        <v>0</v>
      </c>
      <c r="K89" s="232">
        <f t="shared" si="13"/>
        <v>0</v>
      </c>
      <c r="L89" s="845">
        <f t="shared" si="17"/>
        <v>0</v>
      </c>
    </row>
    <row r="90" spans="1:32" s="574" customFormat="1" ht="27" customHeight="1" thickBot="1" x14ac:dyDescent="0.25">
      <c r="A90" s="585"/>
      <c r="B90" s="1174" t="s">
        <v>64</v>
      </c>
      <c r="C90" s="1175"/>
      <c r="D90" s="1175"/>
      <c r="E90" s="1175"/>
      <c r="F90" s="1175"/>
      <c r="G90" s="1175"/>
      <c r="H90" s="1176"/>
      <c r="I90" s="586">
        <f>SUM(I80:I89)</f>
        <v>210961.09999999998</v>
      </c>
      <c r="J90" s="586">
        <f>SUM(J80:J89)</f>
        <v>19736.3</v>
      </c>
      <c r="K90" s="586">
        <f>SUM(K80:K89)</f>
        <v>39078.6</v>
      </c>
      <c r="L90" s="586">
        <f>SUM(L80:L89)</f>
        <v>58814.899999999994</v>
      </c>
      <c r="M90" s="622"/>
      <c r="N90" s="622"/>
      <c r="O90" s="622"/>
      <c r="P90" s="622"/>
      <c r="Q90" s="622"/>
      <c r="R90" s="622"/>
      <c r="S90" s="622"/>
      <c r="T90" s="622"/>
      <c r="U90" s="622"/>
      <c r="V90" s="622"/>
      <c r="W90" s="622"/>
      <c r="X90" s="622"/>
      <c r="Y90" s="622"/>
      <c r="Z90" s="622"/>
      <c r="AA90" s="622"/>
      <c r="AB90" s="622"/>
      <c r="AC90" s="622"/>
      <c r="AD90" s="622"/>
      <c r="AE90" s="622"/>
      <c r="AF90" s="622"/>
    </row>
    <row r="91" spans="1:32" s="574" customFormat="1" ht="27" customHeight="1" x14ac:dyDescent="0.2">
      <c r="A91" s="722"/>
      <c r="B91" s="723"/>
      <c r="C91" s="723"/>
      <c r="D91" s="723"/>
      <c r="E91" s="723"/>
      <c r="F91" s="723"/>
      <c r="G91" s="723"/>
      <c r="H91" s="723"/>
      <c r="I91" s="723"/>
      <c r="J91" s="723"/>
      <c r="K91" s="723"/>
      <c r="L91" s="723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22"/>
      <c r="AB91" s="622"/>
      <c r="AC91" s="622"/>
      <c r="AD91" s="622"/>
      <c r="AE91" s="622"/>
      <c r="AF91" s="622"/>
    </row>
    <row r="92" spans="1:32" s="574" customFormat="1" ht="27" customHeight="1" x14ac:dyDescent="0.2">
      <c r="A92" s="722"/>
      <c r="B92" s="723"/>
      <c r="C92" s="723"/>
      <c r="D92" s="723"/>
      <c r="E92" s="723"/>
      <c r="F92" s="723"/>
      <c r="G92" s="723"/>
      <c r="H92" s="723"/>
      <c r="I92" s="723"/>
      <c r="J92" s="723"/>
      <c r="K92" s="723"/>
      <c r="L92" s="723"/>
      <c r="M92" s="622"/>
      <c r="N92" s="622"/>
      <c r="O92" s="622"/>
      <c r="P92" s="622"/>
      <c r="Q92" s="622"/>
      <c r="R92" s="622"/>
      <c r="S92" s="622"/>
      <c r="T92" s="622"/>
      <c r="U92" s="622"/>
      <c r="V92" s="622"/>
      <c r="W92" s="622"/>
      <c r="X92" s="622"/>
      <c r="Y92" s="622"/>
      <c r="Z92" s="622"/>
      <c r="AA92" s="622"/>
      <c r="AB92" s="622"/>
      <c r="AC92" s="622"/>
      <c r="AD92" s="622"/>
      <c r="AE92" s="622"/>
      <c r="AF92" s="622"/>
    </row>
    <row r="93" spans="1:32" ht="18.75" x14ac:dyDescent="0.25">
      <c r="A93" s="482"/>
      <c r="B93" s="482" t="s">
        <v>235</v>
      </c>
      <c r="C93" s="482"/>
      <c r="D93" s="482"/>
      <c r="E93" s="482"/>
      <c r="F93" s="482"/>
      <c r="G93" s="432"/>
      <c r="H93" s="482"/>
      <c r="I93" s="482"/>
      <c r="J93" s="482"/>
      <c r="K93" s="482" t="s">
        <v>236</v>
      </c>
      <c r="L93" s="482"/>
    </row>
  </sheetData>
  <mergeCells count="33">
    <mergeCell ref="B78:H78"/>
    <mergeCell ref="B90:H90"/>
    <mergeCell ref="A44:A46"/>
    <mergeCell ref="B44:B46"/>
    <mergeCell ref="C44:C46"/>
    <mergeCell ref="D44:F44"/>
    <mergeCell ref="H44:H46"/>
    <mergeCell ref="B71:H71"/>
    <mergeCell ref="B67:H67"/>
    <mergeCell ref="A2:A4"/>
    <mergeCell ref="B2:B4"/>
    <mergeCell ref="C2:C4"/>
    <mergeCell ref="D2:F2"/>
    <mergeCell ref="H2:H4"/>
    <mergeCell ref="G2:G4"/>
    <mergeCell ref="D3:D4"/>
    <mergeCell ref="B1:K1"/>
    <mergeCell ref="L45:L46"/>
    <mergeCell ref="I44:K44"/>
    <mergeCell ref="I45:I46"/>
    <mergeCell ref="J45:K45"/>
    <mergeCell ref="I2:K2"/>
    <mergeCell ref="G44:G46"/>
    <mergeCell ref="I3:I4"/>
    <mergeCell ref="J3:K3"/>
    <mergeCell ref="B42:H42"/>
    <mergeCell ref="D45:D46"/>
    <mergeCell ref="E45:F45"/>
    <mergeCell ref="L3:L4"/>
    <mergeCell ref="B17:H17"/>
    <mergeCell ref="B38:H38"/>
    <mergeCell ref="B62:H62"/>
    <mergeCell ref="E3:F3"/>
  </mergeCells>
  <pageMargins left="0.7" right="0.7" top="0.75" bottom="0.75" header="0.3" footer="0.3"/>
  <pageSetup paperSize="9" scale="45" orientation="landscape" r:id="rId1"/>
  <rowBreaks count="1" manualBreakCount="1">
    <brk id="4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81"/>
  <sheetViews>
    <sheetView topLeftCell="A73" zoomScale="60" zoomScaleNormal="60" workbookViewId="0">
      <selection activeCell="F89" sqref="F89"/>
    </sheetView>
  </sheetViews>
  <sheetFormatPr defaultRowHeight="18" x14ac:dyDescent="0.2"/>
  <cols>
    <col min="1" max="1" width="12.10546875" style="170" customWidth="1"/>
    <col min="2" max="2" width="54.48046875" customWidth="1"/>
    <col min="3" max="3" width="16.0078125" customWidth="1"/>
    <col min="4" max="4" width="22.59765625" customWidth="1"/>
    <col min="5" max="5" width="20.3125" customWidth="1"/>
    <col min="6" max="6" width="18.6953125" style="172" customWidth="1"/>
    <col min="7" max="7" width="17.75390625" style="127" customWidth="1"/>
    <col min="8" max="8" width="16.94921875" style="172" customWidth="1"/>
    <col min="9" max="9" width="19.234375" style="172" customWidth="1"/>
    <col min="10" max="10" width="16.94921875" style="172" customWidth="1"/>
    <col min="11" max="11" width="20.04296875" style="172" customWidth="1"/>
    <col min="12" max="12" width="25.421875" style="565" customWidth="1"/>
    <col min="13" max="32" width="9.14453125" style="645"/>
  </cols>
  <sheetData>
    <row r="1" spans="1:32" ht="19.5" thickBot="1" x14ac:dyDescent="0.3">
      <c r="A1" s="42"/>
      <c r="B1" s="1215" t="s">
        <v>273</v>
      </c>
      <c r="C1" s="1215"/>
      <c r="D1" s="1215"/>
      <c r="E1" s="1215"/>
      <c r="F1" s="1215"/>
      <c r="G1" s="1215"/>
      <c r="H1" s="1215"/>
      <c r="I1" s="1215"/>
      <c r="J1" s="1215"/>
      <c r="K1" s="1215"/>
      <c r="L1" s="561"/>
    </row>
    <row r="2" spans="1:32" s="7" customFormat="1" ht="21.75" customHeight="1" x14ac:dyDescent="0.15">
      <c r="A2" s="1224" t="s">
        <v>61</v>
      </c>
      <c r="B2" s="1217" t="s">
        <v>54</v>
      </c>
      <c r="C2" s="1217" t="s">
        <v>5</v>
      </c>
      <c r="D2" s="1220" t="s">
        <v>4</v>
      </c>
      <c r="E2" s="1221"/>
      <c r="F2" s="1222"/>
      <c r="G2" s="1153" t="s">
        <v>334</v>
      </c>
      <c r="H2" s="1110" t="s">
        <v>8</v>
      </c>
      <c r="I2" s="1136" t="s">
        <v>50</v>
      </c>
      <c r="J2" s="1118"/>
      <c r="K2" s="1119"/>
      <c r="L2" s="562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</row>
    <row r="3" spans="1:32" s="7" customFormat="1" ht="19.5" customHeight="1" x14ac:dyDescent="0.15">
      <c r="A3" s="1225"/>
      <c r="B3" s="1218"/>
      <c r="C3" s="1218"/>
      <c r="D3" s="1213" t="s">
        <v>62</v>
      </c>
      <c r="E3" s="1210" t="s">
        <v>63</v>
      </c>
      <c r="F3" s="1211"/>
      <c r="G3" s="1154"/>
      <c r="H3" s="1111"/>
      <c r="I3" s="1122" t="s">
        <v>6</v>
      </c>
      <c r="J3" s="1134" t="s">
        <v>7</v>
      </c>
      <c r="K3" s="1135"/>
      <c r="L3" s="1208" t="s">
        <v>336</v>
      </c>
      <c r="M3" s="646"/>
      <c r="N3" s="646"/>
      <c r="O3" s="646"/>
      <c r="P3" s="646"/>
      <c r="Q3" s="646"/>
      <c r="R3" s="646"/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6"/>
      <c r="AF3" s="646"/>
    </row>
    <row r="4" spans="1:32" s="7" customFormat="1" ht="21" customHeight="1" thickBot="1" x14ac:dyDescent="0.2">
      <c r="A4" s="1226"/>
      <c r="B4" s="1219"/>
      <c r="C4" s="1219"/>
      <c r="D4" s="1214"/>
      <c r="E4" s="246" t="s">
        <v>98</v>
      </c>
      <c r="F4" s="255" t="s">
        <v>99</v>
      </c>
      <c r="G4" s="1154"/>
      <c r="H4" s="1112"/>
      <c r="I4" s="1123"/>
      <c r="J4" s="255" t="s">
        <v>98</v>
      </c>
      <c r="K4" s="255" t="s">
        <v>99</v>
      </c>
      <c r="L4" s="1209"/>
      <c r="M4" s="646"/>
      <c r="N4" s="646"/>
      <c r="O4" s="646"/>
      <c r="P4" s="646"/>
      <c r="Q4" s="646"/>
      <c r="R4" s="646"/>
      <c r="S4" s="646"/>
      <c r="T4" s="646"/>
      <c r="U4" s="646"/>
      <c r="V4" s="646"/>
      <c r="W4" s="646"/>
      <c r="X4" s="646"/>
      <c r="Y4" s="646"/>
      <c r="Z4" s="646"/>
      <c r="AA4" s="646"/>
      <c r="AB4" s="646"/>
      <c r="AC4" s="646"/>
      <c r="AD4" s="646"/>
      <c r="AE4" s="646"/>
      <c r="AF4" s="646"/>
    </row>
    <row r="5" spans="1:32" s="7" customFormat="1" ht="30.75" customHeight="1" thickBot="1" x14ac:dyDescent="0.2">
      <c r="A5" s="484" t="s">
        <v>102</v>
      </c>
      <c r="B5" s="247" t="s">
        <v>103</v>
      </c>
      <c r="C5" s="247" t="s">
        <v>104</v>
      </c>
      <c r="D5" s="248" t="s">
        <v>105</v>
      </c>
      <c r="E5" s="248" t="s">
        <v>106</v>
      </c>
      <c r="F5" s="258" t="s">
        <v>107</v>
      </c>
      <c r="G5" s="355"/>
      <c r="H5" s="259" t="s">
        <v>108</v>
      </c>
      <c r="I5" s="257" t="s">
        <v>116</v>
      </c>
      <c r="J5" s="258" t="s">
        <v>115</v>
      </c>
      <c r="K5" s="258" t="s">
        <v>114</v>
      </c>
      <c r="L5" s="563" t="s">
        <v>113</v>
      </c>
      <c r="M5" s="646"/>
      <c r="N5" s="646"/>
      <c r="O5" s="646"/>
      <c r="P5" s="646"/>
      <c r="Q5" s="646"/>
      <c r="R5" s="646"/>
      <c r="S5" s="646"/>
      <c r="T5" s="646"/>
      <c r="U5" s="646"/>
      <c r="V5" s="646"/>
      <c r="W5" s="646"/>
      <c r="X5" s="646"/>
      <c r="Y5" s="646"/>
      <c r="Z5" s="646"/>
      <c r="AA5" s="646"/>
      <c r="AB5" s="646"/>
      <c r="AC5" s="646"/>
      <c r="AD5" s="646"/>
      <c r="AE5" s="646"/>
      <c r="AF5" s="646"/>
    </row>
    <row r="6" spans="1:32" ht="22.5" customHeight="1" x14ac:dyDescent="0.3">
      <c r="A6" s="900">
        <v>1.01</v>
      </c>
      <c r="B6" s="652" t="s">
        <v>249</v>
      </c>
      <c r="C6" s="653" t="s">
        <v>275</v>
      </c>
      <c r="D6" s="654">
        <v>14</v>
      </c>
      <c r="E6" s="655">
        <v>49.28</v>
      </c>
      <c r="F6" s="679"/>
      <c r="G6" s="901">
        <f>F6+E6</f>
        <v>49.28</v>
      </c>
      <c r="H6" s="656">
        <v>6</v>
      </c>
      <c r="I6" s="656">
        <f>H6*D6</f>
        <v>84</v>
      </c>
      <c r="J6" s="656">
        <f t="shared" ref="J6:J13" si="0">H6*E6</f>
        <v>295.68</v>
      </c>
      <c r="K6" s="679"/>
      <c r="L6" s="902">
        <f>K6+J6</f>
        <v>295.68</v>
      </c>
    </row>
    <row r="7" spans="1:32" ht="22.5" customHeight="1" x14ac:dyDescent="0.3">
      <c r="A7" s="903">
        <v>1.02</v>
      </c>
      <c r="B7" s="657" t="s">
        <v>250</v>
      </c>
      <c r="C7" s="658" t="s">
        <v>276</v>
      </c>
      <c r="D7" s="659">
        <v>18</v>
      </c>
      <c r="E7" s="660">
        <v>14.78</v>
      </c>
      <c r="F7" s="674"/>
      <c r="G7" s="675">
        <f t="shared" ref="G7:G13" si="1">F7+E7</f>
        <v>14.78</v>
      </c>
      <c r="H7" s="661">
        <v>38</v>
      </c>
      <c r="I7" s="661">
        <f t="shared" ref="I7:I13" si="2">D7*H7</f>
        <v>684</v>
      </c>
      <c r="J7" s="661">
        <f t="shared" si="0"/>
        <v>561.64</v>
      </c>
      <c r="K7" s="674"/>
      <c r="L7" s="891">
        <f>K7+J7</f>
        <v>561.64</v>
      </c>
    </row>
    <row r="8" spans="1:32" ht="22.5" customHeight="1" x14ac:dyDescent="0.3">
      <c r="A8" s="903">
        <v>1.03</v>
      </c>
      <c r="B8" s="662" t="s">
        <v>251</v>
      </c>
      <c r="C8" s="658" t="s">
        <v>276</v>
      </c>
      <c r="D8" s="659">
        <v>7</v>
      </c>
      <c r="E8" s="660">
        <v>10.68</v>
      </c>
      <c r="F8" s="674"/>
      <c r="G8" s="675">
        <f t="shared" si="1"/>
        <v>10.68</v>
      </c>
      <c r="H8" s="661">
        <v>30</v>
      </c>
      <c r="I8" s="661">
        <f t="shared" si="2"/>
        <v>210</v>
      </c>
      <c r="J8" s="661">
        <f t="shared" si="0"/>
        <v>320.39999999999998</v>
      </c>
      <c r="K8" s="674"/>
      <c r="L8" s="891">
        <f t="shared" ref="L8:L36" si="3">K8+J8</f>
        <v>320.39999999999998</v>
      </c>
    </row>
    <row r="9" spans="1:32" ht="22.5" customHeight="1" x14ac:dyDescent="0.3">
      <c r="A9" s="903">
        <v>1.04</v>
      </c>
      <c r="B9" s="662" t="s">
        <v>252</v>
      </c>
      <c r="C9" s="658" t="s">
        <v>12</v>
      </c>
      <c r="D9" s="659">
        <v>11</v>
      </c>
      <c r="E9" s="660">
        <v>8.7899999999999991</v>
      </c>
      <c r="F9" s="674"/>
      <c r="G9" s="675">
        <f t="shared" si="1"/>
        <v>8.7899999999999991</v>
      </c>
      <c r="H9" s="661">
        <v>6</v>
      </c>
      <c r="I9" s="661">
        <f t="shared" si="2"/>
        <v>66</v>
      </c>
      <c r="J9" s="661">
        <f t="shared" si="0"/>
        <v>52.739999999999995</v>
      </c>
      <c r="K9" s="674"/>
      <c r="L9" s="891">
        <f t="shared" si="3"/>
        <v>52.739999999999995</v>
      </c>
    </row>
    <row r="10" spans="1:32" ht="22.5" customHeight="1" x14ac:dyDescent="0.3">
      <c r="A10" s="903">
        <v>1.05</v>
      </c>
      <c r="B10" s="662" t="s">
        <v>253</v>
      </c>
      <c r="C10" s="658" t="s">
        <v>12</v>
      </c>
      <c r="D10" s="659">
        <v>11</v>
      </c>
      <c r="E10" s="660"/>
      <c r="F10" s="674"/>
      <c r="G10" s="675">
        <f t="shared" si="1"/>
        <v>0</v>
      </c>
      <c r="H10" s="661">
        <v>30</v>
      </c>
      <c r="I10" s="661">
        <f t="shared" si="2"/>
        <v>330</v>
      </c>
      <c r="J10" s="661">
        <f t="shared" si="0"/>
        <v>0</v>
      </c>
      <c r="K10" s="674"/>
      <c r="L10" s="891">
        <f t="shared" si="3"/>
        <v>0</v>
      </c>
    </row>
    <row r="11" spans="1:32" ht="22.5" customHeight="1" x14ac:dyDescent="0.3">
      <c r="A11" s="903">
        <v>1.06</v>
      </c>
      <c r="B11" s="663" t="s">
        <v>254</v>
      </c>
      <c r="C11" s="658" t="s">
        <v>276</v>
      </c>
      <c r="D11" s="659">
        <v>26</v>
      </c>
      <c r="E11" s="660">
        <v>41.62</v>
      </c>
      <c r="F11" s="674"/>
      <c r="G11" s="675">
        <f t="shared" si="1"/>
        <v>41.62</v>
      </c>
      <c r="H11" s="661">
        <v>40</v>
      </c>
      <c r="I11" s="661">
        <f t="shared" si="2"/>
        <v>1040</v>
      </c>
      <c r="J11" s="661">
        <f t="shared" si="0"/>
        <v>1664.8</v>
      </c>
      <c r="K11" s="674"/>
      <c r="L11" s="891">
        <f t="shared" si="3"/>
        <v>1664.8</v>
      </c>
    </row>
    <row r="12" spans="1:32" ht="22.5" customHeight="1" x14ac:dyDescent="0.3">
      <c r="A12" s="903">
        <v>1.07</v>
      </c>
      <c r="B12" s="663" t="s">
        <v>255</v>
      </c>
      <c r="C12" s="658" t="s">
        <v>276</v>
      </c>
      <c r="D12" s="659">
        <v>40</v>
      </c>
      <c r="E12" s="660">
        <v>44.1</v>
      </c>
      <c r="F12" s="674"/>
      <c r="G12" s="675">
        <f t="shared" si="1"/>
        <v>44.1</v>
      </c>
      <c r="H12" s="661">
        <v>25</v>
      </c>
      <c r="I12" s="661">
        <f t="shared" si="2"/>
        <v>1000</v>
      </c>
      <c r="J12" s="661">
        <f t="shared" si="0"/>
        <v>1102.5</v>
      </c>
      <c r="K12" s="674"/>
      <c r="L12" s="891">
        <f t="shared" si="3"/>
        <v>1102.5</v>
      </c>
    </row>
    <row r="13" spans="1:32" ht="22.5" customHeight="1" thickBot="1" x14ac:dyDescent="0.35">
      <c r="A13" s="904">
        <v>1.08</v>
      </c>
      <c r="B13" s="664" t="s">
        <v>256</v>
      </c>
      <c r="C13" s="665" t="s">
        <v>275</v>
      </c>
      <c r="D13" s="666">
        <v>12</v>
      </c>
      <c r="E13" s="667"/>
      <c r="F13" s="677"/>
      <c r="G13" s="678">
        <f t="shared" si="1"/>
        <v>0</v>
      </c>
      <c r="H13" s="668">
        <v>105</v>
      </c>
      <c r="I13" s="668">
        <f t="shared" si="2"/>
        <v>1260</v>
      </c>
      <c r="J13" s="668">
        <f t="shared" si="0"/>
        <v>0</v>
      </c>
      <c r="K13" s="677"/>
      <c r="L13" s="905">
        <f t="shared" si="3"/>
        <v>0</v>
      </c>
    </row>
    <row r="14" spans="1:32" s="612" customFormat="1" ht="31.5" customHeight="1" thickBot="1" x14ac:dyDescent="0.25">
      <c r="A14" s="606"/>
      <c r="B14" s="607" t="s">
        <v>64</v>
      </c>
      <c r="C14" s="608"/>
      <c r="D14" s="608"/>
      <c r="E14" s="607"/>
      <c r="F14" s="609"/>
      <c r="G14" s="610"/>
      <c r="H14" s="611"/>
      <c r="I14" s="611">
        <f>SUM(I6:I13)</f>
        <v>4674</v>
      </c>
      <c r="J14" s="611">
        <f>SUM(J6:J13)</f>
        <v>3997.7599999999998</v>
      </c>
      <c r="K14" s="611">
        <f>SUM(K6:K13)</f>
        <v>0</v>
      </c>
      <c r="L14" s="906">
        <f>SUM(L6:L13)</f>
        <v>3997.7599999999998</v>
      </c>
      <c r="M14" s="647"/>
      <c r="N14" s="647"/>
      <c r="O14" s="647"/>
      <c r="P14" s="647"/>
      <c r="Q14" s="647"/>
      <c r="R14" s="647"/>
      <c r="S14" s="647"/>
      <c r="T14" s="647"/>
      <c r="U14" s="647"/>
      <c r="V14" s="647"/>
      <c r="W14" s="647"/>
      <c r="X14" s="647"/>
      <c r="Y14" s="647"/>
      <c r="Z14" s="647"/>
      <c r="AA14" s="647"/>
      <c r="AB14" s="647"/>
      <c r="AC14" s="647"/>
      <c r="AD14" s="647"/>
      <c r="AE14" s="647"/>
      <c r="AF14" s="647"/>
    </row>
    <row r="15" spans="1:32" ht="22.5" customHeight="1" x14ac:dyDescent="0.2">
      <c r="A15" s="907"/>
      <c r="B15" s="669" t="s">
        <v>257</v>
      </c>
      <c r="C15" s="670"/>
      <c r="D15" s="670"/>
      <c r="E15" s="670"/>
      <c r="F15" s="671"/>
      <c r="G15" s="672"/>
      <c r="H15" s="656"/>
      <c r="I15" s="656"/>
      <c r="J15" s="656"/>
      <c r="K15" s="673"/>
      <c r="L15" s="902">
        <f t="shared" si="3"/>
        <v>0</v>
      </c>
    </row>
    <row r="16" spans="1:32" ht="22.5" customHeight="1" x14ac:dyDescent="0.3">
      <c r="A16" s="908">
        <v>3.01</v>
      </c>
      <c r="B16" s="662" t="s">
        <v>258</v>
      </c>
      <c r="C16" s="658" t="s">
        <v>276</v>
      </c>
      <c r="D16" s="659">
        <v>5</v>
      </c>
      <c r="E16" s="660">
        <v>8.11</v>
      </c>
      <c r="F16" s="674"/>
      <c r="G16" s="675">
        <f>F16+E16</f>
        <v>8.11</v>
      </c>
      <c r="H16" s="661">
        <v>800</v>
      </c>
      <c r="I16" s="661">
        <f>D16*H16</f>
        <v>4000</v>
      </c>
      <c r="J16" s="661">
        <f>H16*E16</f>
        <v>6488</v>
      </c>
      <c r="K16" s="674"/>
      <c r="L16" s="891">
        <f t="shared" si="3"/>
        <v>6488</v>
      </c>
    </row>
    <row r="17" spans="1:32" ht="22.5" customHeight="1" thickBot="1" x14ac:dyDescent="0.35">
      <c r="A17" s="909">
        <v>3.02</v>
      </c>
      <c r="B17" s="676" t="s">
        <v>259</v>
      </c>
      <c r="C17" s="665" t="s">
        <v>276</v>
      </c>
      <c r="D17" s="666">
        <v>8</v>
      </c>
      <c r="E17" s="667">
        <v>1.42</v>
      </c>
      <c r="F17" s="677"/>
      <c r="G17" s="678">
        <f>F17+E17</f>
        <v>1.42</v>
      </c>
      <c r="H17" s="668">
        <v>880</v>
      </c>
      <c r="I17" s="668">
        <f>D17*H17</f>
        <v>7040</v>
      </c>
      <c r="J17" s="668">
        <f>H17*E17</f>
        <v>1249.5999999999999</v>
      </c>
      <c r="K17" s="677"/>
      <c r="L17" s="905">
        <f t="shared" si="3"/>
        <v>1249.5999999999999</v>
      </c>
    </row>
    <row r="18" spans="1:32" s="612" customFormat="1" ht="31.5" customHeight="1" thickBot="1" x14ac:dyDescent="0.25">
      <c r="A18" s="606"/>
      <c r="B18" s="607" t="s">
        <v>64</v>
      </c>
      <c r="C18" s="608"/>
      <c r="D18" s="608"/>
      <c r="E18" s="607"/>
      <c r="F18" s="609"/>
      <c r="G18" s="610"/>
      <c r="H18" s="611"/>
      <c r="I18" s="611">
        <f>SUM(I16:I17)</f>
        <v>11040</v>
      </c>
      <c r="J18" s="611">
        <f>SUM(J16:J17)</f>
        <v>7737.6</v>
      </c>
      <c r="K18" s="611">
        <f>SUM(K16:K17)</f>
        <v>0</v>
      </c>
      <c r="L18" s="906">
        <f>SUM(L16:L17)</f>
        <v>7737.6</v>
      </c>
      <c r="M18" s="647"/>
      <c r="N18" s="647"/>
      <c r="O18" s="647"/>
      <c r="P18" s="647"/>
      <c r="Q18" s="647"/>
      <c r="R18" s="647"/>
      <c r="S18" s="647"/>
      <c r="T18" s="647"/>
      <c r="U18" s="647"/>
      <c r="V18" s="647"/>
      <c r="W18" s="647"/>
      <c r="X18" s="647"/>
      <c r="Y18" s="647"/>
      <c r="Z18" s="647"/>
      <c r="AA18" s="647"/>
      <c r="AB18" s="647"/>
      <c r="AC18" s="647"/>
      <c r="AD18" s="647"/>
      <c r="AE18" s="647"/>
      <c r="AF18" s="647"/>
    </row>
    <row r="19" spans="1:32" ht="22.5" customHeight="1" x14ac:dyDescent="0.2">
      <c r="A19" s="910"/>
      <c r="B19" s="669" t="s">
        <v>260</v>
      </c>
      <c r="C19" s="670"/>
      <c r="D19" s="670"/>
      <c r="E19" s="670"/>
      <c r="F19" s="671"/>
      <c r="G19" s="672"/>
      <c r="H19" s="656"/>
      <c r="I19" s="656"/>
      <c r="J19" s="656"/>
      <c r="K19" s="673"/>
      <c r="L19" s="902">
        <f t="shared" si="3"/>
        <v>0</v>
      </c>
    </row>
    <row r="20" spans="1:32" ht="22.5" customHeight="1" x14ac:dyDescent="0.2">
      <c r="A20" s="911"/>
      <c r="B20" s="662" t="s">
        <v>261</v>
      </c>
      <c r="C20" s="680"/>
      <c r="D20" s="680"/>
      <c r="E20" s="680"/>
      <c r="F20" s="681"/>
      <c r="G20" s="682"/>
      <c r="H20" s="661"/>
      <c r="I20" s="661"/>
      <c r="J20" s="661"/>
      <c r="K20" s="683"/>
      <c r="L20" s="891">
        <f t="shared" si="3"/>
        <v>0</v>
      </c>
    </row>
    <row r="21" spans="1:32" ht="22.5" customHeight="1" x14ac:dyDescent="0.2">
      <c r="A21" s="912">
        <v>3.01</v>
      </c>
      <c r="B21" s="663" t="s">
        <v>277</v>
      </c>
      <c r="C21" s="658"/>
      <c r="D21" s="659"/>
      <c r="E21" s="659"/>
      <c r="F21" s="661"/>
      <c r="G21" s="684"/>
      <c r="H21" s="661"/>
      <c r="I21" s="661"/>
      <c r="J21" s="661"/>
      <c r="K21" s="683"/>
      <c r="L21" s="891">
        <f t="shared" si="3"/>
        <v>0</v>
      </c>
    </row>
    <row r="22" spans="1:32" ht="22.5" customHeight="1" x14ac:dyDescent="0.3">
      <c r="A22" s="911"/>
      <c r="B22" s="662" t="s">
        <v>262</v>
      </c>
      <c r="C22" s="658" t="s">
        <v>275</v>
      </c>
      <c r="D22" s="659">
        <v>7</v>
      </c>
      <c r="E22" s="660">
        <v>6.76</v>
      </c>
      <c r="F22" s="661"/>
      <c r="G22" s="675">
        <f>F22+E22</f>
        <v>6.76</v>
      </c>
      <c r="H22" s="661">
        <v>65</v>
      </c>
      <c r="I22" s="661">
        <f>D22*H22</f>
        <v>455</v>
      </c>
      <c r="J22" s="661">
        <f t="shared" ref="J22:J36" si="4">H22*E22</f>
        <v>439.4</v>
      </c>
      <c r="K22" s="674"/>
      <c r="L22" s="891">
        <f t="shared" si="3"/>
        <v>439.4</v>
      </c>
    </row>
    <row r="23" spans="1:32" ht="22.5" customHeight="1" x14ac:dyDescent="0.3">
      <c r="A23" s="911"/>
      <c r="B23" s="662" t="s">
        <v>263</v>
      </c>
      <c r="C23" s="658" t="s">
        <v>275</v>
      </c>
      <c r="D23" s="659">
        <v>6.25</v>
      </c>
      <c r="E23" s="660">
        <v>4</v>
      </c>
      <c r="F23" s="661"/>
      <c r="G23" s="675">
        <f t="shared" ref="G23:G36" si="5">F23+E23</f>
        <v>4</v>
      </c>
      <c r="H23" s="661">
        <v>65</v>
      </c>
      <c r="I23" s="661">
        <f t="shared" ref="I23:I35" si="6">D23*H23</f>
        <v>406.25</v>
      </c>
      <c r="J23" s="661">
        <f t="shared" si="4"/>
        <v>260</v>
      </c>
      <c r="K23" s="674"/>
      <c r="L23" s="891">
        <f t="shared" si="3"/>
        <v>260</v>
      </c>
    </row>
    <row r="24" spans="1:32" ht="22.5" customHeight="1" x14ac:dyDescent="0.3">
      <c r="A24" s="908">
        <v>3.02</v>
      </c>
      <c r="B24" s="662" t="s">
        <v>264</v>
      </c>
      <c r="C24" s="680"/>
      <c r="D24" s="659"/>
      <c r="E24" s="660"/>
      <c r="F24" s="661"/>
      <c r="G24" s="675">
        <f t="shared" si="5"/>
        <v>0</v>
      </c>
      <c r="H24" s="661"/>
      <c r="I24" s="661">
        <f t="shared" si="6"/>
        <v>0</v>
      </c>
      <c r="J24" s="661">
        <f t="shared" si="4"/>
        <v>0</v>
      </c>
      <c r="K24" s="674"/>
      <c r="L24" s="891">
        <f t="shared" si="3"/>
        <v>0</v>
      </c>
    </row>
    <row r="25" spans="1:32" ht="22.5" customHeight="1" x14ac:dyDescent="0.3">
      <c r="A25" s="908"/>
      <c r="B25" s="662" t="s">
        <v>265</v>
      </c>
      <c r="C25" s="658" t="s">
        <v>12</v>
      </c>
      <c r="D25" s="659">
        <v>1.56</v>
      </c>
      <c r="E25" s="660">
        <v>1</v>
      </c>
      <c r="F25" s="661"/>
      <c r="G25" s="675">
        <f t="shared" si="5"/>
        <v>1</v>
      </c>
      <c r="H25" s="661">
        <v>2600</v>
      </c>
      <c r="I25" s="661">
        <f t="shared" si="6"/>
        <v>4056</v>
      </c>
      <c r="J25" s="661">
        <f t="shared" si="4"/>
        <v>2600</v>
      </c>
      <c r="K25" s="674"/>
      <c r="L25" s="891">
        <f t="shared" si="3"/>
        <v>2600</v>
      </c>
    </row>
    <row r="26" spans="1:32" ht="22.5" customHeight="1" x14ac:dyDescent="0.3">
      <c r="A26" s="908"/>
      <c r="B26" s="662" t="s">
        <v>266</v>
      </c>
      <c r="C26" s="658" t="s">
        <v>12</v>
      </c>
      <c r="D26" s="659">
        <v>0.7</v>
      </c>
      <c r="E26" s="660">
        <v>0.13</v>
      </c>
      <c r="F26" s="661"/>
      <c r="G26" s="675">
        <f t="shared" si="5"/>
        <v>0.13</v>
      </c>
      <c r="H26" s="661">
        <v>2600</v>
      </c>
      <c r="I26" s="661">
        <f t="shared" si="6"/>
        <v>1819.9999999999998</v>
      </c>
      <c r="J26" s="661">
        <f t="shared" si="4"/>
        <v>338</v>
      </c>
      <c r="K26" s="674"/>
      <c r="L26" s="891">
        <f t="shared" si="3"/>
        <v>338</v>
      </c>
    </row>
    <row r="27" spans="1:32" ht="22.5" customHeight="1" x14ac:dyDescent="0.3">
      <c r="A27" s="908"/>
      <c r="B27" s="662" t="s">
        <v>267</v>
      </c>
      <c r="C27" s="658" t="s">
        <v>276</v>
      </c>
      <c r="D27" s="659">
        <v>1.2</v>
      </c>
      <c r="E27" s="660">
        <v>1.1499999999999999</v>
      </c>
      <c r="F27" s="661"/>
      <c r="G27" s="675">
        <f t="shared" si="5"/>
        <v>1.1499999999999999</v>
      </c>
      <c r="H27" s="661">
        <v>2600</v>
      </c>
      <c r="I27" s="661">
        <f t="shared" si="6"/>
        <v>3120</v>
      </c>
      <c r="J27" s="661">
        <f t="shared" si="4"/>
        <v>2989.9999999999995</v>
      </c>
      <c r="K27" s="674"/>
      <c r="L27" s="891">
        <f t="shared" si="3"/>
        <v>2989.9999999999995</v>
      </c>
    </row>
    <row r="28" spans="1:32" ht="22.5" customHeight="1" x14ac:dyDescent="0.3">
      <c r="A28" s="908">
        <v>3.03</v>
      </c>
      <c r="B28" s="662" t="s">
        <v>573</v>
      </c>
      <c r="C28" s="658" t="s">
        <v>275</v>
      </c>
      <c r="D28" s="659">
        <v>12</v>
      </c>
      <c r="E28" s="660"/>
      <c r="F28" s="661"/>
      <c r="G28" s="675">
        <f t="shared" si="5"/>
        <v>0</v>
      </c>
      <c r="H28" s="661">
        <v>260</v>
      </c>
      <c r="I28" s="661">
        <f t="shared" si="6"/>
        <v>3120</v>
      </c>
      <c r="J28" s="661">
        <f t="shared" si="4"/>
        <v>0</v>
      </c>
      <c r="K28" s="674"/>
      <c r="L28" s="891">
        <f t="shared" si="3"/>
        <v>0</v>
      </c>
    </row>
    <row r="29" spans="1:32" ht="22.5" customHeight="1" x14ac:dyDescent="0.3">
      <c r="A29" s="908">
        <v>3.04</v>
      </c>
      <c r="B29" s="663" t="s">
        <v>268</v>
      </c>
      <c r="C29" s="658"/>
      <c r="D29" s="659"/>
      <c r="E29" s="660"/>
      <c r="F29" s="661"/>
      <c r="G29" s="675">
        <f t="shared" si="5"/>
        <v>0</v>
      </c>
      <c r="H29" s="661"/>
      <c r="I29" s="661">
        <f t="shared" si="6"/>
        <v>0</v>
      </c>
      <c r="J29" s="661">
        <f t="shared" si="4"/>
        <v>0</v>
      </c>
      <c r="K29" s="674"/>
      <c r="L29" s="891">
        <f t="shared" si="3"/>
        <v>0</v>
      </c>
    </row>
    <row r="30" spans="1:32" ht="22.5" customHeight="1" x14ac:dyDescent="0.3">
      <c r="A30" s="908"/>
      <c r="B30" s="662" t="s">
        <v>265</v>
      </c>
      <c r="C30" s="658" t="s">
        <v>275</v>
      </c>
      <c r="D30" s="659">
        <v>5</v>
      </c>
      <c r="E30" s="660">
        <v>4</v>
      </c>
      <c r="F30" s="661"/>
      <c r="G30" s="675">
        <f t="shared" si="5"/>
        <v>4</v>
      </c>
      <c r="H30" s="661">
        <v>85</v>
      </c>
      <c r="I30" s="661">
        <f t="shared" si="6"/>
        <v>425</v>
      </c>
      <c r="J30" s="661">
        <f t="shared" si="4"/>
        <v>340</v>
      </c>
      <c r="K30" s="674"/>
      <c r="L30" s="891">
        <f t="shared" si="3"/>
        <v>340</v>
      </c>
    </row>
    <row r="31" spans="1:32" ht="22.5" customHeight="1" x14ac:dyDescent="0.3">
      <c r="A31" s="908"/>
      <c r="B31" s="662" t="s">
        <v>266</v>
      </c>
      <c r="C31" s="658" t="s">
        <v>275</v>
      </c>
      <c r="D31" s="659">
        <v>11</v>
      </c>
      <c r="E31" s="660">
        <v>2.56</v>
      </c>
      <c r="F31" s="661"/>
      <c r="G31" s="675">
        <f t="shared" si="5"/>
        <v>2.56</v>
      </c>
      <c r="H31" s="661">
        <v>85</v>
      </c>
      <c r="I31" s="661">
        <f t="shared" si="6"/>
        <v>935</v>
      </c>
      <c r="J31" s="661">
        <f t="shared" si="4"/>
        <v>217.6</v>
      </c>
      <c r="K31" s="674"/>
      <c r="L31" s="891">
        <f t="shared" si="3"/>
        <v>217.6</v>
      </c>
    </row>
    <row r="32" spans="1:32" ht="22.5" customHeight="1" x14ac:dyDescent="0.3">
      <c r="A32" s="911"/>
      <c r="B32" s="662" t="s">
        <v>267</v>
      </c>
      <c r="C32" s="658" t="s">
        <v>275</v>
      </c>
      <c r="D32" s="659">
        <v>12</v>
      </c>
      <c r="E32" s="660">
        <v>11.46</v>
      </c>
      <c r="F32" s="661"/>
      <c r="G32" s="675">
        <f t="shared" si="5"/>
        <v>11.46</v>
      </c>
      <c r="H32" s="661">
        <v>85</v>
      </c>
      <c r="I32" s="661">
        <f t="shared" si="6"/>
        <v>1020</v>
      </c>
      <c r="J32" s="661">
        <f t="shared" si="4"/>
        <v>974.1</v>
      </c>
      <c r="K32" s="674"/>
      <c r="L32" s="891">
        <f t="shared" si="3"/>
        <v>974.1</v>
      </c>
    </row>
    <row r="33" spans="1:32" ht="22.5" customHeight="1" x14ac:dyDescent="0.3">
      <c r="A33" s="908">
        <v>3.05</v>
      </c>
      <c r="B33" s="663" t="s">
        <v>269</v>
      </c>
      <c r="C33" s="658"/>
      <c r="D33" s="658"/>
      <c r="E33" s="660"/>
      <c r="F33" s="661"/>
      <c r="G33" s="675">
        <f t="shared" si="5"/>
        <v>0</v>
      </c>
      <c r="H33" s="661"/>
      <c r="I33" s="661">
        <f t="shared" si="6"/>
        <v>0</v>
      </c>
      <c r="J33" s="661">
        <f t="shared" si="4"/>
        <v>0</v>
      </c>
      <c r="K33" s="674"/>
      <c r="L33" s="891">
        <f t="shared" si="3"/>
        <v>0</v>
      </c>
    </row>
    <row r="34" spans="1:32" ht="22.5" customHeight="1" x14ac:dyDescent="0.3">
      <c r="A34" s="911"/>
      <c r="B34" s="685" t="s">
        <v>270</v>
      </c>
      <c r="C34" s="658" t="s">
        <v>246</v>
      </c>
      <c r="D34" s="686">
        <v>120</v>
      </c>
      <c r="E34" s="660">
        <v>47.72</v>
      </c>
      <c r="F34" s="661"/>
      <c r="G34" s="675">
        <f t="shared" si="5"/>
        <v>47.72</v>
      </c>
      <c r="H34" s="661">
        <v>34</v>
      </c>
      <c r="I34" s="661">
        <f t="shared" si="6"/>
        <v>4080</v>
      </c>
      <c r="J34" s="661">
        <f t="shared" si="4"/>
        <v>1622.48</v>
      </c>
      <c r="K34" s="674"/>
      <c r="L34" s="891">
        <f t="shared" si="3"/>
        <v>1622.48</v>
      </c>
    </row>
    <row r="35" spans="1:32" ht="22.5" customHeight="1" x14ac:dyDescent="0.3">
      <c r="A35" s="911"/>
      <c r="B35" s="685" t="s">
        <v>271</v>
      </c>
      <c r="C35" s="658" t="s">
        <v>246</v>
      </c>
      <c r="D35" s="686">
        <v>126</v>
      </c>
      <c r="E35" s="660">
        <v>204.19</v>
      </c>
      <c r="F35" s="661"/>
      <c r="G35" s="675">
        <f t="shared" si="5"/>
        <v>204.19</v>
      </c>
      <c r="H35" s="661">
        <v>34</v>
      </c>
      <c r="I35" s="661">
        <f t="shared" si="6"/>
        <v>4284</v>
      </c>
      <c r="J35" s="661">
        <f t="shared" si="4"/>
        <v>6942.46</v>
      </c>
      <c r="K35" s="674"/>
      <c r="L35" s="891">
        <f t="shared" si="3"/>
        <v>6942.46</v>
      </c>
    </row>
    <row r="36" spans="1:32" ht="22.5" customHeight="1" thickBot="1" x14ac:dyDescent="0.35">
      <c r="A36" s="913"/>
      <c r="B36" s="687" t="s">
        <v>272</v>
      </c>
      <c r="C36" s="665" t="s">
        <v>246</v>
      </c>
      <c r="D36" s="688">
        <v>200</v>
      </c>
      <c r="E36" s="667">
        <v>0</v>
      </c>
      <c r="F36" s="668"/>
      <c r="G36" s="678">
        <f t="shared" si="5"/>
        <v>0</v>
      </c>
      <c r="H36" s="668">
        <v>34</v>
      </c>
      <c r="I36" s="668">
        <f>D36*H36</f>
        <v>6800</v>
      </c>
      <c r="J36" s="668">
        <f t="shared" si="4"/>
        <v>0</v>
      </c>
      <c r="K36" s="677"/>
      <c r="L36" s="905">
        <f t="shared" si="3"/>
        <v>0</v>
      </c>
    </row>
    <row r="37" spans="1:32" s="612" customFormat="1" ht="30.75" customHeight="1" thickBot="1" x14ac:dyDescent="0.25">
      <c r="A37" s="606"/>
      <c r="B37" s="607" t="s">
        <v>64</v>
      </c>
      <c r="C37" s="608"/>
      <c r="D37" s="608"/>
      <c r="E37" s="607"/>
      <c r="F37" s="609"/>
      <c r="G37" s="610"/>
      <c r="H37" s="611"/>
      <c r="I37" s="611">
        <f>SUM(I22:I36)</f>
        <v>30521.25</v>
      </c>
      <c r="J37" s="611">
        <f>SUM(J22:J36)</f>
        <v>16724.04</v>
      </c>
      <c r="K37" s="611">
        <f>SUM(K22:K36)</f>
        <v>0</v>
      </c>
      <c r="L37" s="906">
        <f>SUM(L22:L36)</f>
        <v>16724.04</v>
      </c>
      <c r="M37" s="647"/>
      <c r="N37" s="647"/>
      <c r="O37" s="647"/>
      <c r="P37" s="647"/>
      <c r="Q37" s="647"/>
      <c r="R37" s="647"/>
      <c r="S37" s="647"/>
      <c r="T37" s="647"/>
      <c r="U37" s="647"/>
      <c r="V37" s="647"/>
      <c r="W37" s="647"/>
      <c r="X37" s="647"/>
      <c r="Y37" s="647"/>
      <c r="Z37" s="647"/>
      <c r="AA37" s="647"/>
      <c r="AB37" s="647"/>
      <c r="AC37" s="647"/>
      <c r="AD37" s="647"/>
      <c r="AE37" s="647"/>
      <c r="AF37" s="647"/>
    </row>
    <row r="38" spans="1:32" ht="18.75" x14ac:dyDescent="0.25">
      <c r="A38" s="211"/>
      <c r="B38" s="211" t="s">
        <v>235</v>
      </c>
      <c r="C38" s="211"/>
      <c r="D38" s="211"/>
      <c r="E38" s="211"/>
      <c r="F38" s="211"/>
      <c r="G38" s="125"/>
      <c r="H38" s="211"/>
      <c r="I38" s="211"/>
      <c r="J38" s="211"/>
      <c r="K38" s="211" t="s">
        <v>236</v>
      </c>
      <c r="L38" s="564"/>
    </row>
    <row r="39" spans="1:32" ht="19.5" thickBot="1" x14ac:dyDescent="0.3">
      <c r="A39" s="42"/>
      <c r="B39" s="1215" t="s">
        <v>273</v>
      </c>
      <c r="C39" s="1215"/>
      <c r="D39" s="1215"/>
      <c r="E39" s="1215"/>
      <c r="F39" s="1215"/>
      <c r="G39" s="1215"/>
      <c r="H39" s="1215"/>
      <c r="I39" s="1215"/>
      <c r="J39" s="1215"/>
      <c r="K39" s="1215"/>
      <c r="L39" s="561"/>
    </row>
    <row r="40" spans="1:32" s="7" customFormat="1" ht="21.75" customHeight="1" x14ac:dyDescent="0.15">
      <c r="A40" s="1224" t="s">
        <v>61</v>
      </c>
      <c r="B40" s="1217" t="s">
        <v>54</v>
      </c>
      <c r="C40" s="1217" t="s">
        <v>5</v>
      </c>
      <c r="D40" s="1220" t="s">
        <v>4</v>
      </c>
      <c r="E40" s="1221"/>
      <c r="F40" s="1222"/>
      <c r="G40" s="1153" t="s">
        <v>334</v>
      </c>
      <c r="H40" s="1110" t="s">
        <v>8</v>
      </c>
      <c r="I40" s="1136" t="s">
        <v>50</v>
      </c>
      <c r="J40" s="1118"/>
      <c r="K40" s="1119"/>
      <c r="L40" s="562"/>
      <c r="M40" s="646"/>
      <c r="N40" s="646"/>
      <c r="O40" s="646"/>
      <c r="P40" s="646"/>
      <c r="Q40" s="646"/>
      <c r="R40" s="646"/>
      <c r="S40" s="646"/>
      <c r="T40" s="646"/>
      <c r="U40" s="646"/>
      <c r="V40" s="646"/>
      <c r="W40" s="646"/>
      <c r="X40" s="646"/>
      <c r="Y40" s="646"/>
      <c r="Z40" s="646"/>
      <c r="AA40" s="646"/>
      <c r="AB40" s="646"/>
      <c r="AC40" s="646"/>
      <c r="AD40" s="646"/>
      <c r="AE40" s="646"/>
      <c r="AF40" s="646"/>
    </row>
    <row r="41" spans="1:32" s="7" customFormat="1" ht="19.5" customHeight="1" x14ac:dyDescent="0.15">
      <c r="A41" s="1225"/>
      <c r="B41" s="1218"/>
      <c r="C41" s="1218"/>
      <c r="D41" s="1213" t="s">
        <v>62</v>
      </c>
      <c r="E41" s="1210" t="s">
        <v>63</v>
      </c>
      <c r="F41" s="1211"/>
      <c r="G41" s="1154"/>
      <c r="H41" s="1111"/>
      <c r="I41" s="1122" t="s">
        <v>6</v>
      </c>
      <c r="J41" s="1134" t="s">
        <v>7</v>
      </c>
      <c r="K41" s="1135"/>
      <c r="L41" s="1208" t="s">
        <v>336</v>
      </c>
      <c r="M41" s="646"/>
      <c r="N41" s="646"/>
      <c r="O41" s="646"/>
      <c r="P41" s="646"/>
      <c r="Q41" s="646"/>
      <c r="R41" s="646"/>
      <c r="S41" s="646"/>
      <c r="T41" s="646"/>
      <c r="U41" s="646"/>
      <c r="V41" s="646"/>
      <c r="W41" s="646"/>
      <c r="X41" s="646"/>
      <c r="Y41" s="646"/>
      <c r="Z41" s="646"/>
      <c r="AA41" s="646"/>
      <c r="AB41" s="646"/>
      <c r="AC41" s="646"/>
      <c r="AD41" s="646"/>
      <c r="AE41" s="646"/>
      <c r="AF41" s="646"/>
    </row>
    <row r="42" spans="1:32" s="7" customFormat="1" ht="21" customHeight="1" thickBot="1" x14ac:dyDescent="0.2">
      <c r="A42" s="1226"/>
      <c r="B42" s="1219"/>
      <c r="C42" s="1219"/>
      <c r="D42" s="1214"/>
      <c r="E42" s="766" t="s">
        <v>98</v>
      </c>
      <c r="F42" s="765" t="s">
        <v>99</v>
      </c>
      <c r="G42" s="1154"/>
      <c r="H42" s="1112"/>
      <c r="I42" s="1123"/>
      <c r="J42" s="765" t="s">
        <v>98</v>
      </c>
      <c r="K42" s="765" t="s">
        <v>99</v>
      </c>
      <c r="L42" s="1209"/>
      <c r="M42" s="646"/>
      <c r="N42" s="646"/>
      <c r="O42" s="646"/>
      <c r="P42" s="646"/>
      <c r="Q42" s="646"/>
      <c r="R42" s="646"/>
      <c r="S42" s="646"/>
      <c r="T42" s="646"/>
      <c r="U42" s="646"/>
      <c r="V42" s="646"/>
      <c r="W42" s="646"/>
      <c r="X42" s="646"/>
      <c r="Y42" s="646"/>
      <c r="Z42" s="646"/>
      <c r="AA42" s="646"/>
      <c r="AB42" s="646"/>
      <c r="AC42" s="646"/>
      <c r="AD42" s="646"/>
      <c r="AE42" s="646"/>
      <c r="AF42" s="646"/>
    </row>
    <row r="43" spans="1:32" s="7" customFormat="1" ht="28.5" customHeight="1" thickBot="1" x14ac:dyDescent="0.2">
      <c r="A43" s="484" t="s">
        <v>102</v>
      </c>
      <c r="B43" s="247" t="s">
        <v>103</v>
      </c>
      <c r="C43" s="247" t="s">
        <v>104</v>
      </c>
      <c r="D43" s="248" t="s">
        <v>105</v>
      </c>
      <c r="E43" s="248" t="s">
        <v>106</v>
      </c>
      <c r="F43" s="258" t="s">
        <v>107</v>
      </c>
      <c r="G43" s="355"/>
      <c r="H43" s="259" t="s">
        <v>108</v>
      </c>
      <c r="I43" s="257" t="s">
        <v>116</v>
      </c>
      <c r="J43" s="258" t="s">
        <v>115</v>
      </c>
      <c r="K43" s="258" t="s">
        <v>114</v>
      </c>
      <c r="L43" s="563" t="s">
        <v>113</v>
      </c>
      <c r="M43" s="646"/>
      <c r="N43" s="646"/>
      <c r="O43" s="646"/>
      <c r="P43" s="646"/>
      <c r="Q43" s="646"/>
      <c r="R43" s="646"/>
      <c r="S43" s="646"/>
      <c r="T43" s="646"/>
      <c r="U43" s="646"/>
      <c r="V43" s="646"/>
      <c r="W43" s="646"/>
      <c r="X43" s="646"/>
      <c r="Y43" s="646"/>
      <c r="Z43" s="646"/>
      <c r="AA43" s="646"/>
      <c r="AB43" s="646"/>
      <c r="AC43" s="646"/>
      <c r="AD43" s="646"/>
      <c r="AE43" s="646"/>
      <c r="AF43" s="646"/>
    </row>
    <row r="44" spans="1:32" s="71" customFormat="1" ht="26.25" customHeight="1" x14ac:dyDescent="0.15">
      <c r="A44" s="882"/>
      <c r="B44" s="883" t="s">
        <v>431</v>
      </c>
      <c r="C44" s="884"/>
      <c r="D44" s="884"/>
      <c r="E44" s="884"/>
      <c r="F44" s="884"/>
      <c r="G44" s="884"/>
      <c r="H44" s="884"/>
      <c r="I44" s="884"/>
      <c r="J44" s="884"/>
      <c r="K44" s="884"/>
      <c r="L44" s="885"/>
    </row>
    <row r="45" spans="1:32" s="71" customFormat="1" ht="20.25" customHeight="1" x14ac:dyDescent="0.15">
      <c r="A45" s="886"/>
      <c r="B45" s="887" t="s">
        <v>432</v>
      </c>
      <c r="C45" s="887"/>
      <c r="D45" s="887"/>
      <c r="E45" s="887"/>
      <c r="F45" s="887"/>
      <c r="G45" s="887"/>
      <c r="H45" s="887"/>
      <c r="I45" s="887"/>
      <c r="J45" s="887"/>
      <c r="K45" s="887"/>
      <c r="L45" s="888"/>
    </row>
    <row r="46" spans="1:32" s="71" customFormat="1" x14ac:dyDescent="0.15">
      <c r="A46" s="889">
        <v>1.01</v>
      </c>
      <c r="B46" s="887" t="s">
        <v>433</v>
      </c>
      <c r="C46" s="887"/>
      <c r="D46" s="887"/>
      <c r="E46" s="887"/>
      <c r="F46" s="887"/>
      <c r="G46" s="887"/>
      <c r="H46" s="887"/>
      <c r="I46" s="887"/>
      <c r="J46" s="887"/>
      <c r="K46" s="887"/>
      <c r="L46" s="888"/>
    </row>
    <row r="47" spans="1:32" s="71" customFormat="1" ht="26.25" customHeight="1" x14ac:dyDescent="0.25">
      <c r="A47" s="889"/>
      <c r="B47" s="887" t="s">
        <v>434</v>
      </c>
      <c r="C47" s="887" t="s">
        <v>435</v>
      </c>
      <c r="D47" s="887">
        <v>1.8</v>
      </c>
      <c r="E47" s="887">
        <v>0.48</v>
      </c>
      <c r="F47" s="887"/>
      <c r="G47" s="887">
        <f>F47+E47</f>
        <v>0.48</v>
      </c>
      <c r="H47" s="887">
        <v>2600</v>
      </c>
      <c r="I47" s="661">
        <f>D47*H47</f>
        <v>4680</v>
      </c>
      <c r="J47" s="661">
        <f>H47*E47</f>
        <v>1248</v>
      </c>
      <c r="K47" s="890">
        <f>H47*F47</f>
        <v>0</v>
      </c>
      <c r="L47" s="891">
        <f>K47+J47</f>
        <v>1248</v>
      </c>
    </row>
    <row r="48" spans="1:32" s="71" customFormat="1" ht="26.25" customHeight="1" x14ac:dyDescent="0.25">
      <c r="A48" s="886"/>
      <c r="B48" s="887" t="s">
        <v>436</v>
      </c>
      <c r="C48" s="887" t="s">
        <v>435</v>
      </c>
      <c r="D48" s="887">
        <v>1.4</v>
      </c>
      <c r="E48" s="887">
        <v>0.94</v>
      </c>
      <c r="F48" s="887"/>
      <c r="G48" s="887">
        <f t="shared" ref="G48:G60" si="7">F48+E48</f>
        <v>0.94</v>
      </c>
      <c r="H48" s="887">
        <v>2600</v>
      </c>
      <c r="I48" s="661">
        <f t="shared" ref="I48:I60" si="8">D48*H48</f>
        <v>3639.9999999999995</v>
      </c>
      <c r="J48" s="661">
        <f>H48*E48</f>
        <v>2444</v>
      </c>
      <c r="K48" s="890"/>
      <c r="L48" s="891">
        <f>K48+J48</f>
        <v>2444</v>
      </c>
    </row>
    <row r="49" spans="1:12" s="71" customFormat="1" ht="26.25" customHeight="1" x14ac:dyDescent="0.25">
      <c r="A49" s="886"/>
      <c r="B49" s="887" t="s">
        <v>437</v>
      </c>
      <c r="C49" s="887" t="s">
        <v>435</v>
      </c>
      <c r="D49" s="887">
        <v>22</v>
      </c>
      <c r="E49" s="887"/>
      <c r="F49" s="887"/>
      <c r="G49" s="887">
        <f t="shared" si="7"/>
        <v>0</v>
      </c>
      <c r="H49" s="887">
        <v>2600</v>
      </c>
      <c r="I49" s="661">
        <f t="shared" si="8"/>
        <v>57200</v>
      </c>
      <c r="J49" s="661">
        <f t="shared" ref="J49:J60" si="9">H49*E49</f>
        <v>0</v>
      </c>
      <c r="K49" s="890">
        <f t="shared" ref="K49:K60" si="10">H49*F49</f>
        <v>0</v>
      </c>
      <c r="L49" s="891">
        <f t="shared" ref="L49:L60" si="11">K49+J49</f>
        <v>0</v>
      </c>
    </row>
    <row r="50" spans="1:12" s="71" customFormat="1" ht="26.25" customHeight="1" x14ac:dyDescent="0.25">
      <c r="A50" s="886"/>
      <c r="B50" s="887" t="s">
        <v>438</v>
      </c>
      <c r="C50" s="887" t="s">
        <v>435</v>
      </c>
      <c r="D50" s="887">
        <v>1.06</v>
      </c>
      <c r="E50" s="887">
        <v>1.85</v>
      </c>
      <c r="F50" s="887"/>
      <c r="G50" s="887">
        <f t="shared" si="7"/>
        <v>1.85</v>
      </c>
      <c r="H50" s="887">
        <v>2600</v>
      </c>
      <c r="I50" s="661">
        <f t="shared" si="8"/>
        <v>2756</v>
      </c>
      <c r="J50" s="661">
        <f t="shared" si="9"/>
        <v>4810</v>
      </c>
      <c r="K50" s="890"/>
      <c r="L50" s="891">
        <f t="shared" si="11"/>
        <v>4810</v>
      </c>
    </row>
    <row r="51" spans="1:12" s="71" customFormat="1" ht="26.25" customHeight="1" x14ac:dyDescent="0.25">
      <c r="A51" s="889">
        <v>1.02</v>
      </c>
      <c r="B51" s="887" t="s">
        <v>439</v>
      </c>
      <c r="C51" s="887"/>
      <c r="D51" s="887"/>
      <c r="E51" s="887"/>
      <c r="F51" s="887"/>
      <c r="G51" s="887">
        <f t="shared" si="7"/>
        <v>0</v>
      </c>
      <c r="H51" s="887"/>
      <c r="I51" s="661">
        <f t="shared" si="8"/>
        <v>0</v>
      </c>
      <c r="J51" s="661">
        <f t="shared" si="9"/>
        <v>0</v>
      </c>
      <c r="K51" s="890">
        <f t="shared" si="10"/>
        <v>0</v>
      </c>
      <c r="L51" s="891">
        <f t="shared" si="11"/>
        <v>0</v>
      </c>
    </row>
    <row r="52" spans="1:12" s="71" customFormat="1" ht="26.25" customHeight="1" x14ac:dyDescent="0.25">
      <c r="A52" s="886"/>
      <c r="B52" s="887" t="s">
        <v>440</v>
      </c>
      <c r="C52" s="887" t="s">
        <v>400</v>
      </c>
      <c r="D52" s="887">
        <v>26</v>
      </c>
      <c r="E52" s="887">
        <v>9.6</v>
      </c>
      <c r="F52" s="887"/>
      <c r="G52" s="887">
        <f t="shared" si="7"/>
        <v>9.6</v>
      </c>
      <c r="H52" s="887">
        <v>85</v>
      </c>
      <c r="I52" s="661">
        <f t="shared" si="8"/>
        <v>2210</v>
      </c>
      <c r="J52" s="661">
        <f t="shared" si="9"/>
        <v>816</v>
      </c>
      <c r="K52" s="890">
        <f t="shared" si="10"/>
        <v>0</v>
      </c>
      <c r="L52" s="891">
        <f t="shared" si="11"/>
        <v>816</v>
      </c>
    </row>
    <row r="53" spans="1:12" s="71" customFormat="1" ht="26.25" customHeight="1" x14ac:dyDescent="0.25">
      <c r="A53" s="886"/>
      <c r="B53" s="887" t="s">
        <v>441</v>
      </c>
      <c r="C53" s="887" t="s">
        <v>400</v>
      </c>
      <c r="D53" s="887">
        <v>18</v>
      </c>
      <c r="E53" s="887">
        <v>12.08</v>
      </c>
      <c r="F53" s="887"/>
      <c r="G53" s="887">
        <f t="shared" si="7"/>
        <v>12.08</v>
      </c>
      <c r="H53" s="887">
        <v>85</v>
      </c>
      <c r="I53" s="661">
        <f t="shared" si="8"/>
        <v>1530</v>
      </c>
      <c r="J53" s="661">
        <f t="shared" si="9"/>
        <v>1026.8</v>
      </c>
      <c r="K53" s="890">
        <f t="shared" si="10"/>
        <v>0</v>
      </c>
      <c r="L53" s="891">
        <f t="shared" si="11"/>
        <v>1026.8</v>
      </c>
    </row>
    <row r="54" spans="1:12" s="71" customFormat="1" ht="26.25" customHeight="1" x14ac:dyDescent="0.25">
      <c r="A54" s="886"/>
      <c r="B54" s="887" t="s">
        <v>442</v>
      </c>
      <c r="C54" s="887" t="s">
        <v>400</v>
      </c>
      <c r="D54" s="887">
        <v>20</v>
      </c>
      <c r="E54" s="887"/>
      <c r="F54" s="887"/>
      <c r="G54" s="887">
        <f t="shared" si="7"/>
        <v>0</v>
      </c>
      <c r="H54" s="887">
        <v>85</v>
      </c>
      <c r="I54" s="661">
        <f t="shared" si="8"/>
        <v>1700</v>
      </c>
      <c r="J54" s="661">
        <f t="shared" si="9"/>
        <v>0</v>
      </c>
      <c r="K54" s="890">
        <f t="shared" si="10"/>
        <v>0</v>
      </c>
      <c r="L54" s="891">
        <f t="shared" si="11"/>
        <v>0</v>
      </c>
    </row>
    <row r="55" spans="1:12" s="71" customFormat="1" ht="26.25" customHeight="1" x14ac:dyDescent="0.25">
      <c r="A55" s="886"/>
      <c r="B55" s="887" t="s">
        <v>438</v>
      </c>
      <c r="C55" s="887" t="s">
        <v>400</v>
      </c>
      <c r="D55" s="887">
        <v>26</v>
      </c>
      <c r="E55" s="887">
        <v>36.96</v>
      </c>
      <c r="F55" s="887"/>
      <c r="G55" s="887">
        <f t="shared" si="7"/>
        <v>36.96</v>
      </c>
      <c r="H55" s="887">
        <v>125</v>
      </c>
      <c r="I55" s="661">
        <f t="shared" si="8"/>
        <v>3250</v>
      </c>
      <c r="J55" s="661">
        <f t="shared" si="9"/>
        <v>4620</v>
      </c>
      <c r="K55" s="890">
        <f>H55*F55</f>
        <v>0</v>
      </c>
      <c r="L55" s="891">
        <f t="shared" si="11"/>
        <v>4620</v>
      </c>
    </row>
    <row r="56" spans="1:12" s="71" customFormat="1" ht="26.25" customHeight="1" x14ac:dyDescent="0.25">
      <c r="A56" s="889">
        <v>1.03</v>
      </c>
      <c r="B56" s="887" t="s">
        <v>443</v>
      </c>
      <c r="C56" s="887"/>
      <c r="D56" s="887"/>
      <c r="E56" s="887"/>
      <c r="F56" s="887"/>
      <c r="G56" s="887">
        <f t="shared" si="7"/>
        <v>0</v>
      </c>
      <c r="H56" s="887"/>
      <c r="I56" s="661">
        <f t="shared" si="8"/>
        <v>0</v>
      </c>
      <c r="J56" s="661">
        <f t="shared" si="9"/>
        <v>0</v>
      </c>
      <c r="K56" s="890">
        <f t="shared" si="10"/>
        <v>0</v>
      </c>
      <c r="L56" s="891">
        <f t="shared" si="11"/>
        <v>0</v>
      </c>
    </row>
    <row r="57" spans="1:12" s="71" customFormat="1" ht="26.25" customHeight="1" x14ac:dyDescent="0.25">
      <c r="A57" s="886"/>
      <c r="B57" s="887" t="s">
        <v>444</v>
      </c>
      <c r="C57" s="887" t="s">
        <v>246</v>
      </c>
      <c r="D57" s="887">
        <v>43</v>
      </c>
      <c r="E57" s="887"/>
      <c r="F57" s="887"/>
      <c r="G57" s="887">
        <f t="shared" si="7"/>
        <v>0</v>
      </c>
      <c r="H57" s="887">
        <v>34</v>
      </c>
      <c r="I57" s="661">
        <f t="shared" si="8"/>
        <v>1462</v>
      </c>
      <c r="J57" s="661">
        <f t="shared" si="9"/>
        <v>0</v>
      </c>
      <c r="K57" s="890">
        <f t="shared" si="10"/>
        <v>0</v>
      </c>
      <c r="L57" s="891">
        <f t="shared" si="11"/>
        <v>0</v>
      </c>
    </row>
    <row r="58" spans="1:12" s="71" customFormat="1" ht="18.75" x14ac:dyDescent="0.25">
      <c r="A58" s="886"/>
      <c r="B58" s="887" t="s">
        <v>445</v>
      </c>
      <c r="C58" s="887" t="s">
        <v>246</v>
      </c>
      <c r="D58" s="887">
        <v>176</v>
      </c>
      <c r="E58" s="887">
        <v>97.33</v>
      </c>
      <c r="F58" s="887"/>
      <c r="G58" s="887">
        <f t="shared" si="7"/>
        <v>97.33</v>
      </c>
      <c r="H58" s="887">
        <v>34</v>
      </c>
      <c r="I58" s="661">
        <f t="shared" si="8"/>
        <v>5984</v>
      </c>
      <c r="J58" s="661">
        <f t="shared" si="9"/>
        <v>3309.22</v>
      </c>
      <c r="K58" s="890">
        <f>H58*F58</f>
        <v>0</v>
      </c>
      <c r="L58" s="891">
        <f>K58+J58</f>
        <v>3309.22</v>
      </c>
    </row>
    <row r="59" spans="1:12" s="71" customFormat="1" ht="26.25" customHeight="1" x14ac:dyDescent="0.25">
      <c r="A59" s="886"/>
      <c r="B59" s="887" t="s">
        <v>446</v>
      </c>
      <c r="C59" s="887" t="s">
        <v>246</v>
      </c>
      <c r="D59" s="887">
        <v>110</v>
      </c>
      <c r="E59" s="887"/>
      <c r="F59" s="887"/>
      <c r="G59" s="887"/>
      <c r="H59" s="887">
        <v>34</v>
      </c>
      <c r="I59" s="661">
        <f t="shared" si="8"/>
        <v>3740</v>
      </c>
      <c r="J59" s="661">
        <f t="shared" si="9"/>
        <v>0</v>
      </c>
      <c r="K59" s="890">
        <f t="shared" si="10"/>
        <v>0</v>
      </c>
      <c r="L59" s="891">
        <f t="shared" si="11"/>
        <v>0</v>
      </c>
    </row>
    <row r="60" spans="1:12" s="71" customFormat="1" ht="18.75" x14ac:dyDescent="0.25">
      <c r="A60" s="886"/>
      <c r="B60" s="887" t="s">
        <v>447</v>
      </c>
      <c r="C60" s="887" t="s">
        <v>246</v>
      </c>
      <c r="D60" s="887">
        <v>475</v>
      </c>
      <c r="E60" s="887">
        <v>127.67</v>
      </c>
      <c r="F60" s="887"/>
      <c r="G60" s="887">
        <f t="shared" si="7"/>
        <v>127.67</v>
      </c>
      <c r="H60" s="887">
        <v>34</v>
      </c>
      <c r="I60" s="661">
        <f t="shared" si="8"/>
        <v>16150</v>
      </c>
      <c r="J60" s="661">
        <f t="shared" si="9"/>
        <v>4340.78</v>
      </c>
      <c r="K60" s="890">
        <f t="shared" si="10"/>
        <v>0</v>
      </c>
      <c r="L60" s="891">
        <f t="shared" si="11"/>
        <v>4340.78</v>
      </c>
    </row>
    <row r="61" spans="1:12" s="849" customFormat="1" ht="30.75" customHeight="1" thickBot="1" x14ac:dyDescent="0.2">
      <c r="A61" s="857"/>
      <c r="B61" s="1223" t="s">
        <v>64</v>
      </c>
      <c r="C61" s="1223"/>
      <c r="D61" s="1223"/>
      <c r="E61" s="1223"/>
      <c r="F61" s="1223"/>
      <c r="G61" s="1223"/>
      <c r="H61" s="1223"/>
      <c r="I61" s="858">
        <f>SUM(I47:I60)</f>
        <v>104302</v>
      </c>
      <c r="J61" s="858">
        <f>SUM(J47:J60)</f>
        <v>22614.799999999999</v>
      </c>
      <c r="K61" s="858">
        <f>SUM(K47:K60)</f>
        <v>0</v>
      </c>
      <c r="L61" s="892">
        <f>SUM(L47:L60)</f>
        <v>22614.799999999999</v>
      </c>
    </row>
    <row r="62" spans="1:12" s="71" customFormat="1" ht="26.25" customHeight="1" x14ac:dyDescent="0.15">
      <c r="A62" s="893"/>
      <c r="B62" s="887" t="s">
        <v>448</v>
      </c>
      <c r="C62" s="887"/>
      <c r="D62" s="887"/>
      <c r="E62" s="887"/>
      <c r="F62" s="887"/>
      <c r="G62" s="887"/>
      <c r="H62" s="887"/>
      <c r="I62" s="887"/>
      <c r="J62" s="887"/>
      <c r="K62" s="887"/>
      <c r="L62" s="888"/>
    </row>
    <row r="63" spans="1:12" s="71" customFormat="1" ht="26.25" customHeight="1" x14ac:dyDescent="0.25">
      <c r="A63" s="894">
        <v>2.0099999999999998</v>
      </c>
      <c r="B63" s="887" t="s">
        <v>449</v>
      </c>
      <c r="C63" s="887" t="s">
        <v>400</v>
      </c>
      <c r="D63" s="887">
        <v>40</v>
      </c>
      <c r="E63" s="887">
        <v>60.1</v>
      </c>
      <c r="F63" s="887"/>
      <c r="G63" s="887">
        <f>F63+E63</f>
        <v>60.1</v>
      </c>
      <c r="H63" s="887">
        <v>245</v>
      </c>
      <c r="I63" s="661">
        <f>D63*H63</f>
        <v>9800</v>
      </c>
      <c r="J63" s="661">
        <f>H63*E63</f>
        <v>14724.5</v>
      </c>
      <c r="K63" s="890">
        <f>H63*F63</f>
        <v>0</v>
      </c>
      <c r="L63" s="891">
        <f>K63+J63</f>
        <v>14724.5</v>
      </c>
    </row>
    <row r="64" spans="1:12" s="71" customFormat="1" ht="26.25" customHeight="1" x14ac:dyDescent="0.25">
      <c r="A64" s="895">
        <v>2.02</v>
      </c>
      <c r="B64" s="887" t="s">
        <v>450</v>
      </c>
      <c r="C64" s="887" t="s">
        <v>400</v>
      </c>
      <c r="D64" s="887">
        <v>6</v>
      </c>
      <c r="E64" s="887">
        <v>0</v>
      </c>
      <c r="F64" s="887">
        <v>36.67</v>
      </c>
      <c r="G64" s="887">
        <f>F64+E64</f>
        <v>36.67</v>
      </c>
      <c r="H64" s="887">
        <v>295</v>
      </c>
      <c r="I64" s="661">
        <f>D64*H64</f>
        <v>1770</v>
      </c>
      <c r="J64" s="661">
        <f>H64*E64</f>
        <v>0</v>
      </c>
      <c r="K64" s="890">
        <f>H64*F64</f>
        <v>10817.65</v>
      </c>
      <c r="L64" s="891">
        <f>K64+J64</f>
        <v>10817.65</v>
      </c>
    </row>
    <row r="65" spans="1:24" s="849" customFormat="1" ht="32.25" customHeight="1" thickBot="1" x14ac:dyDescent="0.2">
      <c r="A65" s="857"/>
      <c r="B65" s="1223" t="s">
        <v>64</v>
      </c>
      <c r="C65" s="1223"/>
      <c r="D65" s="1223"/>
      <c r="E65" s="1223"/>
      <c r="F65" s="1223"/>
      <c r="G65" s="1223"/>
      <c r="H65" s="1223"/>
      <c r="I65" s="858">
        <f>SUM(I62:I64)</f>
        <v>11570</v>
      </c>
      <c r="J65" s="858">
        <f>SUM(J62:J64)</f>
        <v>14724.5</v>
      </c>
      <c r="K65" s="858">
        <f>SUM(K62:K64)</f>
        <v>10817.65</v>
      </c>
      <c r="L65" s="892">
        <f>SUM(L62:L64)</f>
        <v>25542.15</v>
      </c>
    </row>
    <row r="66" spans="1:24" s="71" customFormat="1" x14ac:dyDescent="0.15">
      <c r="A66" s="467"/>
      <c r="B66" s="887" t="s">
        <v>322</v>
      </c>
      <c r="C66" s="887"/>
      <c r="D66" s="887"/>
      <c r="E66" s="887"/>
      <c r="F66" s="887"/>
      <c r="G66" s="887"/>
      <c r="H66" s="887"/>
      <c r="I66" s="887"/>
      <c r="J66" s="887"/>
      <c r="K66" s="887"/>
      <c r="L66" s="888"/>
      <c r="M66" s="84"/>
      <c r="N66" s="84"/>
      <c r="O66" s="84"/>
      <c r="P66" s="84"/>
      <c r="Q66" s="84"/>
      <c r="R66" s="84"/>
      <c r="S66" s="84"/>
      <c r="T66" s="84"/>
      <c r="U66" s="84"/>
      <c r="V66" s="84" t="s">
        <v>236</v>
      </c>
      <c r="W66" s="84"/>
      <c r="X66" s="84"/>
    </row>
    <row r="67" spans="1:24" s="71" customFormat="1" ht="20.25" x14ac:dyDescent="0.25">
      <c r="A67" s="850">
        <v>3.01</v>
      </c>
      <c r="B67" s="887" t="s">
        <v>323</v>
      </c>
      <c r="C67" s="887" t="s">
        <v>300</v>
      </c>
      <c r="D67" s="887">
        <v>20</v>
      </c>
      <c r="E67" s="887">
        <v>24.68</v>
      </c>
      <c r="F67" s="896"/>
      <c r="G67" s="887">
        <f>F67+E67</f>
        <v>24.68</v>
      </c>
      <c r="H67" s="887">
        <v>245</v>
      </c>
      <c r="I67" s="661">
        <f>D67*H67</f>
        <v>4900</v>
      </c>
      <c r="J67" s="661">
        <f>H67*E67</f>
        <v>6046.6</v>
      </c>
      <c r="K67" s="890">
        <f>H67*F67</f>
        <v>0</v>
      </c>
      <c r="L67" s="891">
        <f>K67+J67</f>
        <v>6046.6</v>
      </c>
    </row>
    <row r="68" spans="1:24" s="71" customFormat="1" x14ac:dyDescent="0.15">
      <c r="A68" s="897">
        <v>3.2</v>
      </c>
      <c r="B68" s="887" t="s">
        <v>451</v>
      </c>
      <c r="C68" s="887" t="s">
        <v>11</v>
      </c>
      <c r="D68" s="887"/>
      <c r="E68" s="887"/>
      <c r="F68" s="887"/>
      <c r="G68" s="887"/>
      <c r="H68" s="887"/>
      <c r="I68" s="887"/>
      <c r="J68" s="887"/>
      <c r="K68" s="887"/>
      <c r="L68" s="888"/>
    </row>
    <row r="69" spans="1:24" s="71" customFormat="1" ht="24" customHeight="1" thickBot="1" x14ac:dyDescent="0.2">
      <c r="A69" s="859"/>
      <c r="B69" s="1212" t="s">
        <v>64</v>
      </c>
      <c r="C69" s="1212"/>
      <c r="D69" s="1212"/>
      <c r="E69" s="1212"/>
      <c r="F69" s="1212"/>
      <c r="G69" s="1212"/>
      <c r="H69" s="1212"/>
      <c r="I69" s="860">
        <f>SUM(I67)</f>
        <v>4900</v>
      </c>
      <c r="J69" s="860">
        <f>SUM(J67)</f>
        <v>6046.6</v>
      </c>
      <c r="K69" s="860">
        <f>SUM(K67)</f>
        <v>0</v>
      </c>
      <c r="L69" s="898">
        <f>SUM(L67)</f>
        <v>6046.6</v>
      </c>
    </row>
    <row r="70" spans="1:24" s="71" customFormat="1" x14ac:dyDescent="0.15">
      <c r="A70" s="467"/>
      <c r="B70" s="887" t="s">
        <v>324</v>
      </c>
      <c r="C70" s="887"/>
      <c r="D70" s="887"/>
      <c r="E70" s="887"/>
      <c r="F70" s="887"/>
      <c r="G70" s="887"/>
      <c r="H70" s="887"/>
      <c r="I70" s="887"/>
      <c r="J70" s="887"/>
      <c r="K70" s="887"/>
      <c r="L70" s="888"/>
    </row>
    <row r="71" spans="1:24" s="71" customFormat="1" ht="24" customHeight="1" x14ac:dyDescent="0.15">
      <c r="A71" s="841">
        <v>4.01</v>
      </c>
      <c r="B71" s="887" t="s">
        <v>425</v>
      </c>
      <c r="C71" s="887"/>
      <c r="D71" s="887"/>
      <c r="E71" s="887"/>
      <c r="F71" s="887"/>
      <c r="G71" s="887"/>
      <c r="H71" s="887"/>
      <c r="I71" s="887"/>
      <c r="J71" s="887"/>
      <c r="K71" s="887"/>
      <c r="L71" s="888"/>
    </row>
    <row r="72" spans="1:24" s="71" customFormat="1" ht="24" customHeight="1" x14ac:dyDescent="0.25">
      <c r="A72" s="841" t="s">
        <v>325</v>
      </c>
      <c r="B72" s="887" t="s">
        <v>338</v>
      </c>
      <c r="C72" s="887" t="s">
        <v>174</v>
      </c>
      <c r="D72" s="887">
        <v>43</v>
      </c>
      <c r="E72" s="887">
        <v>67.900000000000006</v>
      </c>
      <c r="F72" s="887"/>
      <c r="G72" s="887">
        <f>F72+E72</f>
        <v>67.900000000000006</v>
      </c>
      <c r="H72" s="887">
        <v>20</v>
      </c>
      <c r="I72" s="661">
        <f>D72*H72</f>
        <v>860</v>
      </c>
      <c r="J72" s="661">
        <f>H72*E72</f>
        <v>1358</v>
      </c>
      <c r="K72" s="890">
        <f>H72*F72</f>
        <v>0</v>
      </c>
      <c r="L72" s="891">
        <f>K72+J72</f>
        <v>1358</v>
      </c>
    </row>
    <row r="73" spans="1:24" s="71" customFormat="1" ht="24" customHeight="1" x14ac:dyDescent="0.25">
      <c r="A73" s="841" t="s">
        <v>326</v>
      </c>
      <c r="B73" s="887" t="s">
        <v>422</v>
      </c>
      <c r="C73" s="887" t="s">
        <v>174</v>
      </c>
      <c r="D73" s="887">
        <v>27</v>
      </c>
      <c r="E73" s="887">
        <v>81.34</v>
      </c>
      <c r="F73" s="887"/>
      <c r="G73" s="887">
        <f>F73+E73</f>
        <v>81.34</v>
      </c>
      <c r="H73" s="887">
        <v>19</v>
      </c>
      <c r="I73" s="661">
        <f>D73*H73</f>
        <v>513</v>
      </c>
      <c r="J73" s="661">
        <f>H73*E73</f>
        <v>1545.46</v>
      </c>
      <c r="K73" s="890">
        <f>H73*F73</f>
        <v>0</v>
      </c>
      <c r="L73" s="891">
        <f>K73+J73</f>
        <v>1545.46</v>
      </c>
    </row>
    <row r="74" spans="1:24" s="71" customFormat="1" ht="24" customHeight="1" x14ac:dyDescent="0.25">
      <c r="A74" s="842">
        <v>4.0199999999999996</v>
      </c>
      <c r="B74" s="887" t="s">
        <v>427</v>
      </c>
      <c r="C74" s="887" t="s">
        <v>174</v>
      </c>
      <c r="D74" s="887">
        <v>36</v>
      </c>
      <c r="E74" s="887">
        <v>54.4</v>
      </c>
      <c r="F74" s="887"/>
      <c r="G74" s="887">
        <f>F74+E74</f>
        <v>54.4</v>
      </c>
      <c r="H74" s="887">
        <v>45</v>
      </c>
      <c r="I74" s="661">
        <f>D74*H74</f>
        <v>1620</v>
      </c>
      <c r="J74" s="661">
        <f>H74*E74</f>
        <v>2448</v>
      </c>
      <c r="K74" s="890">
        <f>H74*F74</f>
        <v>0</v>
      </c>
      <c r="L74" s="891">
        <f>K74+J74</f>
        <v>2448</v>
      </c>
    </row>
    <row r="75" spans="1:24" s="71" customFormat="1" ht="33" customHeight="1" thickBot="1" x14ac:dyDescent="0.2">
      <c r="A75" s="859"/>
      <c r="B75" s="1212" t="s">
        <v>64</v>
      </c>
      <c r="C75" s="1212"/>
      <c r="D75" s="1212"/>
      <c r="E75" s="1212"/>
      <c r="F75" s="1212"/>
      <c r="G75" s="1212"/>
      <c r="H75" s="1212"/>
      <c r="I75" s="860">
        <f>SUM(I72:I74)</f>
        <v>2993</v>
      </c>
      <c r="J75" s="860">
        <f>SUM(J72:J74)</f>
        <v>5351.46</v>
      </c>
      <c r="K75" s="860">
        <f>SUM(K72:K74)</f>
        <v>0</v>
      </c>
      <c r="L75" s="898">
        <f>SUM(L72:L74)</f>
        <v>5351.46</v>
      </c>
    </row>
    <row r="76" spans="1:24" s="71" customFormat="1" ht="14.25" x14ac:dyDescent="0.15">
      <c r="A76" s="851"/>
      <c r="B76" s="852" t="s">
        <v>428</v>
      </c>
      <c r="C76" s="56"/>
      <c r="D76" s="56"/>
      <c r="E76" s="56"/>
      <c r="F76" s="56"/>
      <c r="G76" s="56"/>
      <c r="H76" s="56"/>
      <c r="I76" s="853"/>
      <c r="J76" s="853"/>
      <c r="K76" s="56"/>
      <c r="L76" s="854"/>
    </row>
    <row r="77" spans="1:24" s="71" customFormat="1" ht="21" customHeight="1" x14ac:dyDescent="0.25">
      <c r="A77" s="855">
        <v>6.01</v>
      </c>
      <c r="B77" s="887" t="s">
        <v>452</v>
      </c>
      <c r="C77" s="887" t="s">
        <v>400</v>
      </c>
      <c r="D77" s="887">
        <v>30</v>
      </c>
      <c r="E77" s="887">
        <v>47.5</v>
      </c>
      <c r="F77" s="887"/>
      <c r="G77" s="887">
        <f>F77+E77</f>
        <v>47.5</v>
      </c>
      <c r="H77" s="887">
        <v>110</v>
      </c>
      <c r="I77" s="661">
        <f>D77*H77</f>
        <v>3300</v>
      </c>
      <c r="J77" s="661">
        <f>H77*E77</f>
        <v>5225</v>
      </c>
      <c r="K77" s="890">
        <f>H77*F77</f>
        <v>0</v>
      </c>
      <c r="L77" s="891">
        <f>K77+J77</f>
        <v>5225</v>
      </c>
    </row>
    <row r="78" spans="1:24" s="71" customFormat="1" ht="21" customHeight="1" x14ac:dyDescent="0.25">
      <c r="A78" s="856">
        <v>6.02</v>
      </c>
      <c r="B78" s="887" t="s">
        <v>453</v>
      </c>
      <c r="C78" s="887" t="s">
        <v>400</v>
      </c>
      <c r="D78" s="887">
        <v>50</v>
      </c>
      <c r="E78" s="887"/>
      <c r="F78" s="887">
        <v>67.180000000000007</v>
      </c>
      <c r="G78" s="887">
        <f>F78+E78</f>
        <v>67.180000000000007</v>
      </c>
      <c r="H78" s="887">
        <v>140</v>
      </c>
      <c r="I78" s="661">
        <f>D78*H78</f>
        <v>7000</v>
      </c>
      <c r="J78" s="661">
        <f>H78*E78</f>
        <v>0</v>
      </c>
      <c r="K78" s="890">
        <f>H78*F78</f>
        <v>9405.2000000000007</v>
      </c>
      <c r="L78" s="891">
        <f>K78+J78</f>
        <v>9405.2000000000007</v>
      </c>
    </row>
    <row r="79" spans="1:24" s="71" customFormat="1" ht="21" customHeight="1" thickBot="1" x14ac:dyDescent="0.3">
      <c r="A79" s="856"/>
      <c r="B79" s="887" t="s">
        <v>454</v>
      </c>
      <c r="C79" s="887" t="s">
        <v>11</v>
      </c>
      <c r="D79" s="887">
        <v>8</v>
      </c>
      <c r="E79" s="887"/>
      <c r="F79" s="887"/>
      <c r="G79" s="887">
        <f>F79+E79</f>
        <v>0</v>
      </c>
      <c r="H79" s="887">
        <v>145</v>
      </c>
      <c r="I79" s="661">
        <f>D79*H79</f>
        <v>1160</v>
      </c>
      <c r="J79" s="661">
        <f>H79*E79</f>
        <v>0</v>
      </c>
      <c r="K79" s="890">
        <f>H79*F79</f>
        <v>0</v>
      </c>
      <c r="L79" s="891">
        <f>K79+J79</f>
        <v>0</v>
      </c>
    </row>
    <row r="80" spans="1:24" s="71" customFormat="1" ht="30" customHeight="1" thickBot="1" x14ac:dyDescent="0.2">
      <c r="A80" s="861"/>
      <c r="B80" s="1216" t="s">
        <v>64</v>
      </c>
      <c r="C80" s="1216"/>
      <c r="D80" s="1216"/>
      <c r="E80" s="1216"/>
      <c r="F80" s="1216"/>
      <c r="G80" s="1216"/>
      <c r="H80" s="1216"/>
      <c r="I80" s="862">
        <f>SUM(I77:I79)</f>
        <v>11460</v>
      </c>
      <c r="J80" s="862">
        <f>SUM(J77:J79)</f>
        <v>5225</v>
      </c>
      <c r="K80" s="862">
        <f>SUM(K77:K79)</f>
        <v>9405.2000000000007</v>
      </c>
      <c r="L80" s="899">
        <f>SUM(L77:L79)</f>
        <v>14630.2</v>
      </c>
    </row>
    <row r="81" spans="1:12" ht="18.75" x14ac:dyDescent="0.25">
      <c r="A81" s="211"/>
      <c r="B81" s="211" t="s">
        <v>235</v>
      </c>
      <c r="C81" s="211"/>
      <c r="D81" s="211"/>
      <c r="E81" s="211"/>
      <c r="F81" s="211"/>
      <c r="G81" s="125"/>
      <c r="H81" s="211"/>
      <c r="I81" s="211"/>
      <c r="J81" s="211"/>
      <c r="K81" s="211" t="s">
        <v>236</v>
      </c>
      <c r="L81" s="564"/>
    </row>
  </sheetData>
  <mergeCells count="31">
    <mergeCell ref="A40:A42"/>
    <mergeCell ref="A2:A4"/>
    <mergeCell ref="B2:B4"/>
    <mergeCell ref="C2:C4"/>
    <mergeCell ref="H2:H4"/>
    <mergeCell ref="D2:F2"/>
    <mergeCell ref="B1:K1"/>
    <mergeCell ref="B80:H80"/>
    <mergeCell ref="B39:K39"/>
    <mergeCell ref="B40:B42"/>
    <mergeCell ref="C40:C42"/>
    <mergeCell ref="D40:F40"/>
    <mergeCell ref="E41:F41"/>
    <mergeCell ref="B61:H61"/>
    <mergeCell ref="J41:K41"/>
    <mergeCell ref="B65:H65"/>
    <mergeCell ref="B75:H75"/>
    <mergeCell ref="E3:F3"/>
    <mergeCell ref="G2:G4"/>
    <mergeCell ref="I2:K2"/>
    <mergeCell ref="I3:I4"/>
    <mergeCell ref="B69:H69"/>
    <mergeCell ref="H40:H42"/>
    <mergeCell ref="I40:K40"/>
    <mergeCell ref="D41:D42"/>
    <mergeCell ref="D3:D4"/>
    <mergeCell ref="L41:L42"/>
    <mergeCell ref="G40:G42"/>
    <mergeCell ref="L3:L4"/>
    <mergeCell ref="J3:K3"/>
    <mergeCell ref="I41:I42"/>
  </mergeCells>
  <pageMargins left="0.7" right="0.7" top="0.75" bottom="0.75" header="0.3" footer="0.3"/>
  <pageSetup paperSize="9" scale="49" orientation="landscape" r:id="rId1"/>
  <rowBreaks count="2" manualBreakCount="2">
    <brk id="38" max="11" man="1"/>
    <brk id="80" max="11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60"/>
  <sheetViews>
    <sheetView topLeftCell="A31" zoomScale="85" zoomScaleNormal="80" zoomScaleSheetLayoutView="85" workbookViewId="0">
      <selection activeCell="K48" sqref="K48"/>
    </sheetView>
  </sheetViews>
  <sheetFormatPr defaultRowHeight="15" x14ac:dyDescent="0.2"/>
  <cols>
    <col min="1" max="1" width="8.609375" customWidth="1"/>
    <col min="2" max="2" width="39.953125" customWidth="1"/>
    <col min="4" max="4" width="12.5078125" bestFit="1" customWidth="1"/>
    <col min="5" max="5" width="11.1640625" customWidth="1"/>
    <col min="6" max="6" width="11.97265625" bestFit="1" customWidth="1"/>
    <col min="7" max="7" width="14.796875" customWidth="1"/>
    <col min="8" max="8" width="13.046875" bestFit="1" customWidth="1"/>
    <col min="9" max="9" width="19.234375" customWidth="1"/>
    <col min="10" max="10" width="18.16015625" customWidth="1"/>
    <col min="11" max="11" width="16.0078125" customWidth="1"/>
    <col min="12" max="12" width="17.21875" customWidth="1"/>
    <col min="14" max="14" width="13.31640625" bestFit="1" customWidth="1"/>
  </cols>
  <sheetData>
    <row r="1" spans="1:12" ht="15.75" thickBot="1" x14ac:dyDescent="0.25">
      <c r="A1" s="8"/>
      <c r="B1" s="1215" t="s">
        <v>214</v>
      </c>
      <c r="C1" s="1215"/>
      <c r="D1" s="1215"/>
      <c r="E1" s="1215"/>
      <c r="F1" s="1215"/>
      <c r="G1" s="1215"/>
      <c r="H1" s="1215"/>
      <c r="I1" s="1215"/>
      <c r="J1" s="1215"/>
      <c r="K1" s="1215"/>
      <c r="L1" s="10"/>
    </row>
    <row r="2" spans="1:12" s="7" customFormat="1" ht="21.75" customHeight="1" x14ac:dyDescent="0.15">
      <c r="A2" s="1237" t="s">
        <v>61</v>
      </c>
      <c r="B2" s="1217" t="s">
        <v>54</v>
      </c>
      <c r="C2" s="1217" t="s">
        <v>5</v>
      </c>
      <c r="D2" s="1220" t="s">
        <v>4</v>
      </c>
      <c r="E2" s="1221"/>
      <c r="F2" s="1222"/>
      <c r="G2" s="1153" t="s">
        <v>334</v>
      </c>
      <c r="H2" s="1240" t="s">
        <v>8</v>
      </c>
      <c r="I2" s="1243" t="s">
        <v>50</v>
      </c>
      <c r="J2" s="1244"/>
      <c r="K2" s="1245"/>
      <c r="L2" s="504"/>
    </row>
    <row r="3" spans="1:12" s="7" customFormat="1" ht="19.5" customHeight="1" x14ac:dyDescent="0.15">
      <c r="A3" s="1238"/>
      <c r="B3" s="1218"/>
      <c r="C3" s="1218"/>
      <c r="D3" s="1213" t="s">
        <v>62</v>
      </c>
      <c r="E3" s="1210" t="s">
        <v>63</v>
      </c>
      <c r="F3" s="1211"/>
      <c r="G3" s="1154"/>
      <c r="H3" s="1241"/>
      <c r="I3" s="1230" t="s">
        <v>6</v>
      </c>
      <c r="J3" s="1232" t="s">
        <v>7</v>
      </c>
      <c r="K3" s="1233"/>
      <c r="L3" s="1132" t="s">
        <v>336</v>
      </c>
    </row>
    <row r="4" spans="1:12" s="7" customFormat="1" ht="21" customHeight="1" thickBot="1" x14ac:dyDescent="0.2">
      <c r="A4" s="1239"/>
      <c r="B4" s="1219"/>
      <c r="C4" s="1219"/>
      <c r="D4" s="1214"/>
      <c r="E4" s="246" t="s">
        <v>98</v>
      </c>
      <c r="F4" s="246" t="s">
        <v>99</v>
      </c>
      <c r="G4" s="1154"/>
      <c r="H4" s="1242"/>
      <c r="I4" s="1231"/>
      <c r="J4" s="246" t="s">
        <v>98</v>
      </c>
      <c r="K4" s="246" t="s">
        <v>99</v>
      </c>
      <c r="L4" s="1133"/>
    </row>
    <row r="5" spans="1:12" s="7" customFormat="1" ht="21" customHeight="1" thickBot="1" x14ac:dyDescent="0.2">
      <c r="A5" s="252" t="s">
        <v>102</v>
      </c>
      <c r="B5" s="247" t="s">
        <v>103</v>
      </c>
      <c r="C5" s="247" t="s">
        <v>104</v>
      </c>
      <c r="D5" s="248" t="s">
        <v>105</v>
      </c>
      <c r="E5" s="248" t="s">
        <v>106</v>
      </c>
      <c r="F5" s="248" t="s">
        <v>107</v>
      </c>
      <c r="G5" s="248"/>
      <c r="H5" s="249" t="s">
        <v>108</v>
      </c>
      <c r="I5" s="250" t="s">
        <v>116</v>
      </c>
      <c r="J5" s="248" t="s">
        <v>115</v>
      </c>
      <c r="K5" s="248" t="s">
        <v>114</v>
      </c>
      <c r="L5" s="251" t="s">
        <v>113</v>
      </c>
    </row>
    <row r="6" spans="1:12" ht="25.5" customHeight="1" x14ac:dyDescent="0.2">
      <c r="A6" s="48"/>
      <c r="B6" s="54" t="s">
        <v>242</v>
      </c>
      <c r="C6" s="55"/>
      <c r="D6" s="56"/>
      <c r="E6" s="57"/>
      <c r="F6" s="162"/>
      <c r="G6" s="57"/>
      <c r="H6" s="56"/>
      <c r="I6" s="56"/>
      <c r="J6" s="56"/>
      <c r="K6" s="58"/>
      <c r="L6" s="59"/>
    </row>
    <row r="7" spans="1:12" ht="25.5" customHeight="1" x14ac:dyDescent="0.2">
      <c r="A7" s="72">
        <v>2.1</v>
      </c>
      <c r="B7" s="73" t="s">
        <v>243</v>
      </c>
      <c r="C7" s="38" t="s">
        <v>12</v>
      </c>
      <c r="D7" s="74">
        <v>150</v>
      </c>
      <c r="E7" s="163">
        <v>80</v>
      </c>
      <c r="F7" s="40"/>
      <c r="G7" s="75">
        <f>F7+E7</f>
        <v>80</v>
      </c>
      <c r="H7" s="74">
        <v>25</v>
      </c>
      <c r="I7" s="31">
        <f>D7*H7</f>
        <v>3750</v>
      </c>
      <c r="J7" s="44">
        <f>H7*E7</f>
        <v>2000</v>
      </c>
      <c r="K7" s="58">
        <f>H7*F7</f>
        <v>0</v>
      </c>
      <c r="L7" s="566">
        <f>K7+J7</f>
        <v>2000</v>
      </c>
    </row>
    <row r="8" spans="1:12" ht="25.5" customHeight="1" x14ac:dyDescent="0.2">
      <c r="A8" s="72">
        <v>2.2000000000000002</v>
      </c>
      <c r="B8" s="73" t="s">
        <v>244</v>
      </c>
      <c r="C8" s="38" t="s">
        <v>12</v>
      </c>
      <c r="D8" s="74">
        <v>150</v>
      </c>
      <c r="E8" s="163">
        <v>80</v>
      </c>
      <c r="F8" s="40"/>
      <c r="G8" s="75">
        <f>F8+E8</f>
        <v>80</v>
      </c>
      <c r="H8" s="74">
        <v>35</v>
      </c>
      <c r="I8" s="31">
        <f>D8*H8</f>
        <v>5250</v>
      </c>
      <c r="J8" s="44">
        <f>H8*E8</f>
        <v>2800</v>
      </c>
      <c r="K8" s="58">
        <f>H8*F8</f>
        <v>0</v>
      </c>
      <c r="L8" s="566">
        <f>K8+J8</f>
        <v>2800</v>
      </c>
    </row>
    <row r="9" spans="1:12" ht="25.5" customHeight="1" x14ac:dyDescent="0.2">
      <c r="A9" s="41">
        <v>2.2999999999999998</v>
      </c>
      <c r="B9" s="30" t="s">
        <v>124</v>
      </c>
      <c r="C9" s="38" t="s">
        <v>12</v>
      </c>
      <c r="D9" s="31">
        <v>150</v>
      </c>
      <c r="E9" s="163">
        <v>40</v>
      </c>
      <c r="F9" s="40"/>
      <c r="G9" s="75">
        <f>F9+E9</f>
        <v>40</v>
      </c>
      <c r="H9" s="31">
        <v>800</v>
      </c>
      <c r="I9" s="31">
        <f>D9*H9</f>
        <v>120000</v>
      </c>
      <c r="J9" s="44">
        <f>H9*E9</f>
        <v>32000</v>
      </c>
      <c r="K9" s="58">
        <f>H9*F9</f>
        <v>0</v>
      </c>
      <c r="L9" s="566">
        <f>K9+J9</f>
        <v>32000</v>
      </c>
    </row>
    <row r="10" spans="1:12" ht="25.5" customHeight="1" x14ac:dyDescent="0.2">
      <c r="A10" s="41">
        <v>2.4</v>
      </c>
      <c r="B10" s="30" t="s">
        <v>247</v>
      </c>
      <c r="C10" s="38" t="s">
        <v>12</v>
      </c>
      <c r="D10" s="31">
        <v>150</v>
      </c>
      <c r="E10" s="163">
        <v>39.200000000000003</v>
      </c>
      <c r="F10" s="40"/>
      <c r="G10" s="75">
        <f>F10+E10</f>
        <v>39.200000000000003</v>
      </c>
      <c r="H10" s="31">
        <v>900</v>
      </c>
      <c r="I10" s="31">
        <f>D10*H10</f>
        <v>135000</v>
      </c>
      <c r="J10" s="44">
        <f>H10*E10</f>
        <v>35280</v>
      </c>
      <c r="K10" s="58">
        <f>H10*F10</f>
        <v>0</v>
      </c>
      <c r="L10" s="566">
        <f>K10+J10</f>
        <v>35280</v>
      </c>
    </row>
    <row r="11" spans="1:12" ht="25.5" customHeight="1" x14ac:dyDescent="0.2">
      <c r="A11" s="220">
        <v>2.5</v>
      </c>
      <c r="B11" s="220" t="s">
        <v>282</v>
      </c>
      <c r="C11" s="38" t="s">
        <v>12</v>
      </c>
      <c r="D11" s="31">
        <v>190</v>
      </c>
      <c r="E11" s="163">
        <v>17.5</v>
      </c>
      <c r="F11" s="245"/>
      <c r="G11" s="75">
        <f>F11+E11</f>
        <v>17.5</v>
      </c>
      <c r="H11" s="31">
        <v>900</v>
      </c>
      <c r="I11" s="31">
        <f>D11*H11</f>
        <v>171000</v>
      </c>
      <c r="J11" s="221">
        <f>H11*E11</f>
        <v>15750</v>
      </c>
      <c r="K11" s="58">
        <f>H11*F11</f>
        <v>0</v>
      </c>
      <c r="L11" s="566">
        <f>K11+J11</f>
        <v>15750</v>
      </c>
    </row>
    <row r="12" spans="1:12" s="615" customFormat="1" ht="23.25" customHeight="1" thickBot="1" x14ac:dyDescent="0.25">
      <c r="A12" s="613"/>
      <c r="B12" s="1234" t="s">
        <v>64</v>
      </c>
      <c r="C12" s="1235"/>
      <c r="D12" s="1235"/>
      <c r="E12" s="1235"/>
      <c r="F12" s="1235"/>
      <c r="G12" s="1235"/>
      <c r="H12" s="1236"/>
      <c r="I12" s="614">
        <f>SUM(I7:I11)</f>
        <v>435000</v>
      </c>
      <c r="J12" s="614">
        <f>SUM(J7:J11)</f>
        <v>87830</v>
      </c>
      <c r="K12" s="614">
        <f>SUM(K7:K11)</f>
        <v>0</v>
      </c>
      <c r="L12" s="614">
        <f>SUM(L7:L11)</f>
        <v>87830</v>
      </c>
    </row>
    <row r="13" spans="1:12" s="375" customFormat="1" ht="18" x14ac:dyDescent="0.2">
      <c r="A13" s="727"/>
      <c r="B13" s="728" t="s">
        <v>362</v>
      </c>
      <c r="C13" s="729"/>
      <c r="D13" s="729"/>
      <c r="E13" s="330"/>
      <c r="F13" s="330"/>
      <c r="G13" s="330"/>
      <c r="H13" s="730"/>
      <c r="I13" s="731"/>
      <c r="J13" s="731"/>
      <c r="K13" s="732"/>
      <c r="L13" s="733"/>
    </row>
    <row r="14" spans="1:12" s="375" customFormat="1" ht="16.5" x14ac:dyDescent="0.2">
      <c r="A14" s="734"/>
      <c r="B14" s="735" t="s">
        <v>363</v>
      </c>
      <c r="C14" s="736"/>
      <c r="D14" s="736"/>
      <c r="E14" s="333"/>
      <c r="F14" s="333"/>
      <c r="G14" s="333"/>
      <c r="H14" s="737"/>
      <c r="I14" s="149"/>
      <c r="J14" s="149"/>
      <c r="K14" s="738"/>
      <c r="L14" s="739"/>
    </row>
    <row r="15" spans="1:12" s="375" customFormat="1" ht="16.5" x14ac:dyDescent="0.2">
      <c r="A15" s="740"/>
      <c r="B15" s="741" t="s">
        <v>364</v>
      </c>
      <c r="C15" s="742"/>
      <c r="D15" s="742"/>
      <c r="E15" s="231"/>
      <c r="F15" s="231"/>
      <c r="G15" s="231"/>
      <c r="H15" s="737"/>
      <c r="I15" s="149"/>
      <c r="J15" s="149"/>
      <c r="K15" s="738"/>
      <c r="L15" s="739"/>
    </row>
    <row r="16" spans="1:12" s="375" customFormat="1" x14ac:dyDescent="0.2">
      <c r="A16" s="740">
        <v>1.1000000000000001</v>
      </c>
      <c r="B16" s="741" t="s">
        <v>365</v>
      </c>
      <c r="C16" s="742" t="s">
        <v>11</v>
      </c>
      <c r="D16" s="742">
        <v>375</v>
      </c>
      <c r="E16" s="743">
        <v>573.25</v>
      </c>
      <c r="F16" s="743">
        <f>'[1]Civil RD ,FN,ST,RET &amp; COV'!$C$372</f>
        <v>152.96000000000004</v>
      </c>
      <c r="G16" s="743">
        <f t="shared" ref="G16:G21" si="0">F16+E16</f>
        <v>726.21</v>
      </c>
      <c r="H16" s="231">
        <v>6</v>
      </c>
      <c r="I16" s="707">
        <f t="shared" ref="I16:I21" si="1">H16*D16</f>
        <v>2250</v>
      </c>
      <c r="J16" s="12">
        <f t="shared" ref="J16:J21" si="2">H16*E16</f>
        <v>3439.5</v>
      </c>
      <c r="K16" s="517">
        <f t="shared" ref="K16:K21" si="3">H16*F16</f>
        <v>917.76000000000022</v>
      </c>
      <c r="L16" s="744">
        <f t="shared" ref="L16:L21" si="4">K16+J16</f>
        <v>4357.26</v>
      </c>
    </row>
    <row r="17" spans="1:12" s="375" customFormat="1" ht="18" customHeight="1" x14ac:dyDescent="0.2">
      <c r="A17" s="740">
        <v>1.2</v>
      </c>
      <c r="B17" s="741" t="s">
        <v>366</v>
      </c>
      <c r="C17" s="742" t="s">
        <v>12</v>
      </c>
      <c r="D17" s="742">
        <v>135</v>
      </c>
      <c r="E17" s="743">
        <v>120.38</v>
      </c>
      <c r="F17" s="743">
        <f>'[1]Civil RD ,FN,ST,RET &amp; COV'!$C$380</f>
        <v>23.049999999999983</v>
      </c>
      <c r="G17" s="743">
        <f t="shared" si="0"/>
        <v>143.42999999999998</v>
      </c>
      <c r="H17" s="231">
        <v>25</v>
      </c>
      <c r="I17" s="707">
        <f t="shared" si="1"/>
        <v>3375</v>
      </c>
      <c r="J17" s="12">
        <f t="shared" si="2"/>
        <v>3009.5</v>
      </c>
      <c r="K17" s="517">
        <f t="shared" si="3"/>
        <v>576.24999999999955</v>
      </c>
      <c r="L17" s="744">
        <f t="shared" si="4"/>
        <v>3585.7499999999995</v>
      </c>
    </row>
    <row r="18" spans="1:12" s="375" customFormat="1" x14ac:dyDescent="0.2">
      <c r="A18" s="740">
        <v>1.3</v>
      </c>
      <c r="B18" s="741" t="s">
        <v>367</v>
      </c>
      <c r="C18" s="742" t="s">
        <v>12</v>
      </c>
      <c r="D18" s="742">
        <v>150</v>
      </c>
      <c r="E18" s="743">
        <v>183.44</v>
      </c>
      <c r="F18" s="743">
        <f>'[1]Civil RD ,FN,ST,RET &amp; COV'!$C$387</f>
        <v>35.120000000000005</v>
      </c>
      <c r="G18" s="743">
        <f t="shared" si="0"/>
        <v>218.56</v>
      </c>
      <c r="H18" s="231">
        <v>35</v>
      </c>
      <c r="I18" s="707">
        <f t="shared" si="1"/>
        <v>5250</v>
      </c>
      <c r="J18" s="12">
        <f t="shared" si="2"/>
        <v>6420.4</v>
      </c>
      <c r="K18" s="517">
        <f t="shared" si="3"/>
        <v>1229.2000000000003</v>
      </c>
      <c r="L18" s="744">
        <f t="shared" si="4"/>
        <v>7649.6</v>
      </c>
    </row>
    <row r="19" spans="1:12" s="375" customFormat="1" x14ac:dyDescent="0.2">
      <c r="A19" s="740">
        <v>1.4</v>
      </c>
      <c r="B19" s="741" t="s">
        <v>368</v>
      </c>
      <c r="C19" s="742" t="s">
        <v>12</v>
      </c>
      <c r="D19" s="742">
        <v>90</v>
      </c>
      <c r="E19" s="743">
        <v>115.97</v>
      </c>
      <c r="F19" s="743">
        <f>'[1]Civil RD ,FN,ST,RET &amp; COV'!$C$393</f>
        <v>-34.009999999999991</v>
      </c>
      <c r="G19" s="743">
        <f t="shared" si="0"/>
        <v>81.960000000000008</v>
      </c>
      <c r="H19" s="231">
        <v>90</v>
      </c>
      <c r="I19" s="707">
        <f t="shared" si="1"/>
        <v>8100</v>
      </c>
      <c r="J19" s="12">
        <f t="shared" si="2"/>
        <v>10437.299999999999</v>
      </c>
      <c r="K19" s="517">
        <f t="shared" si="3"/>
        <v>-3060.8999999999992</v>
      </c>
      <c r="L19" s="744">
        <f t="shared" si="4"/>
        <v>7376.4</v>
      </c>
    </row>
    <row r="20" spans="1:12" s="375" customFormat="1" x14ac:dyDescent="0.2">
      <c r="A20" s="740">
        <v>1.5</v>
      </c>
      <c r="B20" s="741" t="s">
        <v>369</v>
      </c>
      <c r="C20" s="742" t="s">
        <v>12</v>
      </c>
      <c r="D20" s="742">
        <v>397.5</v>
      </c>
      <c r="E20" s="743">
        <v>418.47</v>
      </c>
      <c r="F20" s="871">
        <v>80</v>
      </c>
      <c r="G20" s="743">
        <f t="shared" si="0"/>
        <v>498.47</v>
      </c>
      <c r="H20" s="231">
        <v>35</v>
      </c>
      <c r="I20" s="707">
        <f t="shared" si="1"/>
        <v>13912.5</v>
      </c>
      <c r="J20" s="12">
        <f t="shared" si="2"/>
        <v>14646.45</v>
      </c>
      <c r="K20" s="517">
        <f t="shared" si="3"/>
        <v>2800</v>
      </c>
      <c r="L20" s="744">
        <f t="shared" si="4"/>
        <v>17446.45</v>
      </c>
    </row>
    <row r="21" spans="1:12" s="375" customFormat="1" x14ac:dyDescent="0.2">
      <c r="A21" s="745">
        <v>1.6</v>
      </c>
      <c r="B21" s="746" t="s">
        <v>370</v>
      </c>
      <c r="C21" s="747" t="s">
        <v>11</v>
      </c>
      <c r="D21" s="747">
        <v>300</v>
      </c>
      <c r="E21" s="748">
        <v>458.6</v>
      </c>
      <c r="F21" s="870">
        <f>'[1]Civil RD ,FN,ST,RET &amp; COV'!$C$408</f>
        <v>87.799999999999955</v>
      </c>
      <c r="G21" s="743">
        <f t="shared" si="0"/>
        <v>546.4</v>
      </c>
      <c r="H21" s="707">
        <v>105</v>
      </c>
      <c r="I21" s="707">
        <f t="shared" si="1"/>
        <v>31500</v>
      </c>
      <c r="J21" s="12">
        <f t="shared" si="2"/>
        <v>48153</v>
      </c>
      <c r="K21" s="517">
        <f t="shared" si="3"/>
        <v>9218.9999999999945</v>
      </c>
      <c r="L21" s="744">
        <f t="shared" si="4"/>
        <v>57371.999999999993</v>
      </c>
    </row>
    <row r="22" spans="1:12" s="375" customFormat="1" ht="26.25" customHeight="1" thickBot="1" x14ac:dyDescent="0.25">
      <c r="A22" s="749"/>
      <c r="B22" s="1227" t="s">
        <v>64</v>
      </c>
      <c r="C22" s="1228"/>
      <c r="D22" s="1228"/>
      <c r="E22" s="1228"/>
      <c r="F22" s="1228"/>
      <c r="G22" s="1228"/>
      <c r="H22" s="1229"/>
      <c r="I22" s="750">
        <f>SUM(I16:I21)</f>
        <v>64387.5</v>
      </c>
      <c r="J22" s="750">
        <f>SUM(J16:J21)</f>
        <v>86106.15</v>
      </c>
      <c r="K22" s="750">
        <f>SUM(K16:K21)</f>
        <v>11681.309999999996</v>
      </c>
      <c r="L22" s="750">
        <f>SUM(L16:L21)</f>
        <v>97787.459999999992</v>
      </c>
    </row>
    <row r="23" spans="1:12" s="375" customFormat="1" ht="32.25" customHeight="1" x14ac:dyDescent="0.2">
      <c r="A23" s="751"/>
      <c r="B23" s="752" t="s">
        <v>372</v>
      </c>
      <c r="C23" s="753"/>
      <c r="D23" s="753"/>
      <c r="E23" s="754"/>
      <c r="F23" s="879"/>
      <c r="G23" s="754"/>
      <c r="H23" s="755"/>
      <c r="I23" s="11"/>
      <c r="J23" s="11"/>
      <c r="K23" s="756"/>
      <c r="L23" s="757"/>
    </row>
    <row r="24" spans="1:12" s="375" customFormat="1" x14ac:dyDescent="0.2">
      <c r="A24" s="740">
        <v>2.1</v>
      </c>
      <c r="B24" s="741" t="s">
        <v>373</v>
      </c>
      <c r="C24" s="742" t="s">
        <v>11</v>
      </c>
      <c r="D24" s="742">
        <v>150</v>
      </c>
      <c r="E24" s="743">
        <v>229.3</v>
      </c>
      <c r="F24" s="871">
        <f>'[1]Civil RD ,FN,ST,RET &amp; COV'!$C$417</f>
        <v>43.899999999999977</v>
      </c>
      <c r="G24" s="743">
        <f>F24+E24</f>
        <v>273.2</v>
      </c>
      <c r="H24" s="231">
        <v>65</v>
      </c>
      <c r="I24" s="707">
        <f>H24*D24</f>
        <v>9750</v>
      </c>
      <c r="J24" s="707">
        <f>H24*E24</f>
        <v>14904.5</v>
      </c>
      <c r="K24" s="707">
        <f>H24*F24</f>
        <v>2853.4999999999986</v>
      </c>
      <c r="L24" s="744">
        <f>J24+K24</f>
        <v>17758</v>
      </c>
    </row>
    <row r="25" spans="1:12" s="375" customFormat="1" x14ac:dyDescent="0.2">
      <c r="A25" s="740">
        <v>2.2000000000000002</v>
      </c>
      <c r="B25" s="741" t="s">
        <v>374</v>
      </c>
      <c r="C25" s="742" t="s">
        <v>12</v>
      </c>
      <c r="D25" s="742">
        <v>15</v>
      </c>
      <c r="E25" s="743">
        <v>28.66</v>
      </c>
      <c r="F25" s="871">
        <f>'[1]Civil RD ,FN,ST,RET &amp; COV'!$G$368</f>
        <v>5.4899999999999984</v>
      </c>
      <c r="G25" s="743">
        <v>28.66</v>
      </c>
      <c r="H25" s="231">
        <v>2600</v>
      </c>
      <c r="I25" s="707">
        <f t="shared" ref="I25:I32" si="5">H25*D25</f>
        <v>39000</v>
      </c>
      <c r="J25" s="707">
        <f t="shared" ref="J25:J32" si="6">H25*E25</f>
        <v>74516</v>
      </c>
      <c r="K25" s="707">
        <f t="shared" ref="K25:K32" si="7">H25*F25</f>
        <v>14273.999999999996</v>
      </c>
      <c r="L25" s="744">
        <f>H25*G25</f>
        <v>74516</v>
      </c>
    </row>
    <row r="26" spans="1:12" s="375" customFormat="1" ht="27.75" x14ac:dyDescent="0.2">
      <c r="A26" s="740">
        <v>2.2999999999999998</v>
      </c>
      <c r="B26" s="741" t="s">
        <v>375</v>
      </c>
      <c r="C26" s="742" t="s">
        <v>11</v>
      </c>
      <c r="D26" s="742">
        <v>300</v>
      </c>
      <c r="E26" s="743">
        <v>229.3</v>
      </c>
      <c r="F26" s="871">
        <f>'[1]Civil RD ,FN,ST,RET &amp; COV'!$G$373</f>
        <v>43.899999999999977</v>
      </c>
      <c r="G26" s="743">
        <f t="shared" ref="G26:G32" si="8">F26+E26</f>
        <v>273.2</v>
      </c>
      <c r="H26" s="231">
        <v>260</v>
      </c>
      <c r="I26" s="707">
        <f t="shared" si="5"/>
        <v>78000</v>
      </c>
      <c r="J26" s="707">
        <f t="shared" si="6"/>
        <v>59618</v>
      </c>
      <c r="K26" s="707">
        <f t="shared" si="7"/>
        <v>11413.999999999995</v>
      </c>
      <c r="L26" s="744">
        <f t="shared" ref="L26:L32" si="9">J26+K26</f>
        <v>71032</v>
      </c>
    </row>
    <row r="27" spans="1:12" s="375" customFormat="1" x14ac:dyDescent="0.2">
      <c r="A27" s="740">
        <v>2.4</v>
      </c>
      <c r="B27" s="741" t="s">
        <v>376</v>
      </c>
      <c r="C27" s="742" t="s">
        <v>11</v>
      </c>
      <c r="D27" s="742">
        <v>150</v>
      </c>
      <c r="E27" s="743">
        <v>229.3</v>
      </c>
      <c r="F27" s="871">
        <f>'[1]Civil RD ,FN,ST,RET &amp; COV'!$G$379</f>
        <v>43.899999999999977</v>
      </c>
      <c r="G27" s="743">
        <f t="shared" si="8"/>
        <v>273.2</v>
      </c>
      <c r="H27" s="231">
        <v>85</v>
      </c>
      <c r="I27" s="707">
        <f t="shared" si="5"/>
        <v>12750</v>
      </c>
      <c r="J27" s="707">
        <f t="shared" si="6"/>
        <v>19490.5</v>
      </c>
      <c r="K27" s="707">
        <f t="shared" si="7"/>
        <v>3731.4999999999982</v>
      </c>
      <c r="L27" s="744">
        <f t="shared" si="9"/>
        <v>23222</v>
      </c>
    </row>
    <row r="28" spans="1:12" s="375" customFormat="1" x14ac:dyDescent="0.2">
      <c r="A28" s="740">
        <v>2.5</v>
      </c>
      <c r="B28" s="741" t="s">
        <v>377</v>
      </c>
      <c r="C28" s="742"/>
      <c r="D28" s="742"/>
      <c r="E28" s="743"/>
      <c r="F28" s="871"/>
      <c r="G28" s="743">
        <f t="shared" si="8"/>
        <v>0</v>
      </c>
      <c r="H28" s="231"/>
      <c r="I28" s="707">
        <f t="shared" si="5"/>
        <v>0</v>
      </c>
      <c r="J28" s="707">
        <f t="shared" si="6"/>
        <v>0</v>
      </c>
      <c r="K28" s="707">
        <f t="shared" si="7"/>
        <v>0</v>
      </c>
      <c r="L28" s="744">
        <f t="shared" si="9"/>
        <v>0</v>
      </c>
    </row>
    <row r="29" spans="1:12" s="375" customFormat="1" x14ac:dyDescent="0.2">
      <c r="A29" s="740"/>
      <c r="B29" s="741" t="s">
        <v>378</v>
      </c>
      <c r="C29" s="742" t="s">
        <v>16</v>
      </c>
      <c r="D29" s="742">
        <v>1100</v>
      </c>
      <c r="E29" s="743">
        <v>2642.69</v>
      </c>
      <c r="F29" s="871">
        <f>'[1]Civil RD ,FN,ST,RET &amp; COV'!$G$393</f>
        <v>331.75999999999976</v>
      </c>
      <c r="G29" s="743">
        <f t="shared" si="8"/>
        <v>2974.45</v>
      </c>
      <c r="H29" s="231">
        <v>34</v>
      </c>
      <c r="I29" s="707">
        <f t="shared" si="5"/>
        <v>37400</v>
      </c>
      <c r="J29" s="707">
        <f t="shared" si="6"/>
        <v>89851.46</v>
      </c>
      <c r="K29" s="707">
        <f t="shared" si="7"/>
        <v>11279.839999999993</v>
      </c>
      <c r="L29" s="744">
        <f t="shared" si="9"/>
        <v>101131.3</v>
      </c>
    </row>
    <row r="30" spans="1:12" s="375" customFormat="1" x14ac:dyDescent="0.2">
      <c r="A30" s="740"/>
      <c r="B30" s="741" t="s">
        <v>379</v>
      </c>
      <c r="C30" s="742" t="s">
        <v>16</v>
      </c>
      <c r="D30" s="742">
        <v>1250</v>
      </c>
      <c r="E30" s="743">
        <v>1954.58</v>
      </c>
      <c r="F30" s="871">
        <f>'[1]Civil RD ,FN,ST,RET &amp; COV'!$G$407</f>
        <v>374.18200000000024</v>
      </c>
      <c r="G30" s="743">
        <f t="shared" si="8"/>
        <v>2328.7620000000002</v>
      </c>
      <c r="H30" s="231">
        <v>34</v>
      </c>
      <c r="I30" s="707">
        <f t="shared" si="5"/>
        <v>42500</v>
      </c>
      <c r="J30" s="707">
        <f t="shared" si="6"/>
        <v>66455.72</v>
      </c>
      <c r="K30" s="707">
        <f t="shared" si="7"/>
        <v>12722.188000000009</v>
      </c>
      <c r="L30" s="744">
        <v>66455.72</v>
      </c>
    </row>
    <row r="31" spans="1:12" s="375" customFormat="1" x14ac:dyDescent="0.2">
      <c r="A31" s="740"/>
      <c r="B31" s="741" t="s">
        <v>380</v>
      </c>
      <c r="C31" s="742" t="s">
        <v>16</v>
      </c>
      <c r="D31" s="742">
        <v>270</v>
      </c>
      <c r="E31" s="743">
        <v>772.83</v>
      </c>
      <c r="F31" s="871">
        <f>'[1]Civil RD ,FN,ST,RET &amp; COV'!$G$416</f>
        <v>-226.97640000000001</v>
      </c>
      <c r="G31" s="743">
        <f t="shared" si="8"/>
        <v>545.85360000000003</v>
      </c>
      <c r="H31" s="231">
        <v>34</v>
      </c>
      <c r="I31" s="707">
        <f t="shared" si="5"/>
        <v>9180</v>
      </c>
      <c r="J31" s="707">
        <f t="shared" si="6"/>
        <v>26276.22</v>
      </c>
      <c r="K31" s="707">
        <f t="shared" si="7"/>
        <v>-7717.1976000000004</v>
      </c>
      <c r="L31" s="744">
        <f t="shared" si="9"/>
        <v>18559.022400000002</v>
      </c>
    </row>
    <row r="32" spans="1:12" s="375" customFormat="1" ht="27.75" x14ac:dyDescent="0.2">
      <c r="A32" s="745">
        <v>2.6</v>
      </c>
      <c r="B32" s="746" t="s">
        <v>381</v>
      </c>
      <c r="C32" s="747" t="s">
        <v>12</v>
      </c>
      <c r="D32" s="747">
        <v>150</v>
      </c>
      <c r="E32" s="743">
        <v>183.44</v>
      </c>
      <c r="F32" s="870">
        <v>35.119999999999997</v>
      </c>
      <c r="G32" s="743">
        <f t="shared" si="8"/>
        <v>218.56</v>
      </c>
      <c r="H32" s="707">
        <v>800</v>
      </c>
      <c r="I32" s="707">
        <f t="shared" si="5"/>
        <v>120000</v>
      </c>
      <c r="J32" s="707">
        <f t="shared" si="6"/>
        <v>146752</v>
      </c>
      <c r="K32" s="707">
        <f t="shared" si="7"/>
        <v>28095.999999999996</v>
      </c>
      <c r="L32" s="744">
        <f t="shared" si="9"/>
        <v>174848</v>
      </c>
    </row>
    <row r="33" spans="1:14" s="375" customFormat="1" ht="24.75" customHeight="1" thickBot="1" x14ac:dyDescent="0.25">
      <c r="A33" s="749"/>
      <c r="B33" s="1227" t="s">
        <v>64</v>
      </c>
      <c r="C33" s="1228"/>
      <c r="D33" s="1228"/>
      <c r="E33" s="1228"/>
      <c r="F33" s="1228"/>
      <c r="G33" s="1228"/>
      <c r="H33" s="1229"/>
      <c r="I33" s="750">
        <f>SUM(I24:I32)</f>
        <v>348580</v>
      </c>
      <c r="J33" s="750">
        <f>SUM(J24:J32)</f>
        <v>497864.4</v>
      </c>
      <c r="K33" s="750">
        <f>SUM(K24:K32)</f>
        <v>76653.830399999992</v>
      </c>
      <c r="L33" s="750">
        <f>SUM(L24:L32)</f>
        <v>547522.04240000003</v>
      </c>
    </row>
    <row r="34" spans="1:14" s="351" customFormat="1" ht="16.5" x14ac:dyDescent="0.2">
      <c r="A34" s="751"/>
      <c r="B34" s="752" t="s">
        <v>559</v>
      </c>
      <c r="C34" s="753"/>
      <c r="D34" s="753"/>
      <c r="E34" s="754"/>
      <c r="F34" s="879"/>
      <c r="G34" s="754"/>
      <c r="H34" s="755"/>
      <c r="I34" s="11"/>
      <c r="J34" s="11"/>
      <c r="K34" s="756"/>
      <c r="L34" s="757"/>
    </row>
    <row r="35" spans="1:14" s="351" customFormat="1" ht="25.5" customHeight="1" x14ac:dyDescent="0.2">
      <c r="A35" s="740"/>
      <c r="B35" s="741" t="s">
        <v>560</v>
      </c>
      <c r="C35" s="742"/>
      <c r="D35" s="742"/>
      <c r="E35" s="743"/>
      <c r="F35" s="871"/>
      <c r="G35" s="743">
        <f>F35+E35</f>
        <v>0</v>
      </c>
      <c r="H35" s="231"/>
      <c r="I35" s="707">
        <f>H35*D35</f>
        <v>0</v>
      </c>
      <c r="J35" s="707">
        <f>H35*E35</f>
        <v>0</v>
      </c>
      <c r="K35" s="707">
        <f>H35*F35</f>
        <v>0</v>
      </c>
      <c r="L35" s="744">
        <f>J35+K35</f>
        <v>0</v>
      </c>
      <c r="N35" s="351">
        <f>K22+K33+K47</f>
        <v>602724.26040000003</v>
      </c>
    </row>
    <row r="36" spans="1:14" s="351" customFormat="1" ht="25.5" customHeight="1" x14ac:dyDescent="0.2">
      <c r="A36" s="740">
        <v>1.1000000000000001</v>
      </c>
      <c r="B36" s="741" t="s">
        <v>561</v>
      </c>
      <c r="C36" s="742" t="s">
        <v>246</v>
      </c>
      <c r="D36" s="742">
        <v>1450</v>
      </c>
      <c r="E36" s="743"/>
      <c r="F36" s="871">
        <v>1857.44</v>
      </c>
      <c r="G36" s="743">
        <f>F36+E36</f>
        <v>1857.44</v>
      </c>
      <c r="H36" s="231">
        <v>46</v>
      </c>
      <c r="I36" s="707">
        <f t="shared" ref="I36:I45" si="10">H36*D36</f>
        <v>66700</v>
      </c>
      <c r="J36" s="707">
        <f t="shared" ref="J36:J46" si="11">H36*E36</f>
        <v>0</v>
      </c>
      <c r="K36" s="707">
        <f t="shared" ref="K36:K46" si="12">H36*F36</f>
        <v>85442.240000000005</v>
      </c>
      <c r="L36" s="744">
        <f>H36*G36</f>
        <v>85442.240000000005</v>
      </c>
    </row>
    <row r="37" spans="1:14" s="351" customFormat="1" ht="25.5" customHeight="1" x14ac:dyDescent="0.2">
      <c r="A37" s="740">
        <v>1.2</v>
      </c>
      <c r="B37" s="741" t="s">
        <v>562</v>
      </c>
      <c r="C37" s="742" t="s">
        <v>142</v>
      </c>
      <c r="D37" s="742">
        <v>304</v>
      </c>
      <c r="E37" s="743"/>
      <c r="F37" s="871">
        <v>800</v>
      </c>
      <c r="G37" s="743">
        <f t="shared" ref="G37:G46" si="13">F37+E37</f>
        <v>800</v>
      </c>
      <c r="H37" s="231">
        <v>65</v>
      </c>
      <c r="I37" s="707">
        <f t="shared" si="10"/>
        <v>19760</v>
      </c>
      <c r="J37" s="707">
        <f t="shared" si="11"/>
        <v>0</v>
      </c>
      <c r="K37" s="707">
        <f t="shared" si="12"/>
        <v>52000</v>
      </c>
      <c r="L37" s="744">
        <f t="shared" ref="L37:L46" si="14">J37+K37</f>
        <v>52000</v>
      </c>
    </row>
    <row r="38" spans="1:14" s="351" customFormat="1" ht="25.5" customHeight="1" x14ac:dyDescent="0.2">
      <c r="A38" s="740">
        <v>1.3</v>
      </c>
      <c r="B38" s="741" t="s">
        <v>563</v>
      </c>
      <c r="C38" s="742"/>
      <c r="D38" s="742"/>
      <c r="E38" s="743"/>
      <c r="F38" s="871"/>
      <c r="G38" s="743">
        <f t="shared" si="13"/>
        <v>0</v>
      </c>
      <c r="H38" s="231"/>
      <c r="I38" s="707">
        <f t="shared" si="10"/>
        <v>0</v>
      </c>
      <c r="J38" s="707">
        <f t="shared" si="11"/>
        <v>0</v>
      </c>
      <c r="K38" s="707">
        <f t="shared" si="12"/>
        <v>0</v>
      </c>
      <c r="L38" s="744">
        <f t="shared" si="14"/>
        <v>0</v>
      </c>
    </row>
    <row r="39" spans="1:14" s="351" customFormat="1" ht="25.5" customHeight="1" x14ac:dyDescent="0.2">
      <c r="A39" s="740"/>
      <c r="B39" s="741" t="s">
        <v>564</v>
      </c>
      <c r="C39" s="742" t="s">
        <v>142</v>
      </c>
      <c r="D39" s="742">
        <v>1216</v>
      </c>
      <c r="E39" s="743"/>
      <c r="F39" s="871">
        <v>1600</v>
      </c>
      <c r="G39" s="743">
        <f t="shared" si="13"/>
        <v>1600</v>
      </c>
      <c r="H39" s="231">
        <v>42</v>
      </c>
      <c r="I39" s="707">
        <f t="shared" si="10"/>
        <v>51072</v>
      </c>
      <c r="J39" s="707">
        <f t="shared" si="11"/>
        <v>0</v>
      </c>
      <c r="K39" s="707">
        <f t="shared" si="12"/>
        <v>67200</v>
      </c>
      <c r="L39" s="744">
        <f t="shared" si="14"/>
        <v>67200</v>
      </c>
    </row>
    <row r="40" spans="1:14" s="351" customFormat="1" ht="25.5" customHeight="1" x14ac:dyDescent="0.2">
      <c r="A40" s="740">
        <v>1.4</v>
      </c>
      <c r="B40" s="741" t="s">
        <v>565</v>
      </c>
      <c r="C40" s="742" t="s">
        <v>246</v>
      </c>
      <c r="D40" s="742">
        <v>1080</v>
      </c>
      <c r="E40" s="743"/>
      <c r="F40" s="871">
        <v>1764</v>
      </c>
      <c r="G40" s="743">
        <f t="shared" si="13"/>
        <v>1764</v>
      </c>
      <c r="H40" s="231">
        <v>46</v>
      </c>
      <c r="I40" s="707">
        <f t="shared" si="10"/>
        <v>49680</v>
      </c>
      <c r="J40" s="707">
        <f t="shared" si="11"/>
        <v>0</v>
      </c>
      <c r="K40" s="707">
        <f t="shared" si="12"/>
        <v>81144</v>
      </c>
      <c r="L40" s="744">
        <f t="shared" si="14"/>
        <v>81144</v>
      </c>
    </row>
    <row r="41" spans="1:14" s="351" customFormat="1" ht="31.5" customHeight="1" x14ac:dyDescent="0.2">
      <c r="A41" s="740">
        <v>1.5</v>
      </c>
      <c r="B41" s="741" t="s">
        <v>566</v>
      </c>
      <c r="C41" s="742" t="s">
        <v>246</v>
      </c>
      <c r="D41" s="742">
        <v>1230</v>
      </c>
      <c r="E41" s="743"/>
      <c r="F41" s="871">
        <v>2063.98</v>
      </c>
      <c r="G41" s="743">
        <f t="shared" si="13"/>
        <v>2063.98</v>
      </c>
      <c r="H41" s="231">
        <v>46</v>
      </c>
      <c r="I41" s="707">
        <f t="shared" si="10"/>
        <v>56580</v>
      </c>
      <c r="J41" s="707">
        <f t="shared" si="11"/>
        <v>0</v>
      </c>
      <c r="K41" s="707">
        <f t="shared" si="12"/>
        <v>94943.08</v>
      </c>
      <c r="L41" s="744">
        <f t="shared" si="14"/>
        <v>94943.08</v>
      </c>
    </row>
    <row r="42" spans="1:14" ht="25.5" customHeight="1" x14ac:dyDescent="0.2">
      <c r="A42" s="740">
        <v>1.6</v>
      </c>
      <c r="B42" s="741" t="s">
        <v>567</v>
      </c>
      <c r="C42" s="742" t="s">
        <v>246</v>
      </c>
      <c r="D42" s="742">
        <v>320</v>
      </c>
      <c r="E42" s="743"/>
      <c r="F42" s="871">
        <v>898.25</v>
      </c>
      <c r="G42" s="743">
        <f t="shared" si="13"/>
        <v>898.25</v>
      </c>
      <c r="H42" s="231">
        <v>46</v>
      </c>
      <c r="I42" s="707">
        <f t="shared" si="10"/>
        <v>14720</v>
      </c>
      <c r="J42" s="707">
        <f t="shared" si="11"/>
        <v>0</v>
      </c>
      <c r="K42" s="707">
        <f t="shared" si="12"/>
        <v>41319.5</v>
      </c>
      <c r="L42" s="744">
        <f t="shared" si="14"/>
        <v>41319.5</v>
      </c>
    </row>
    <row r="43" spans="1:14" ht="25.5" customHeight="1" x14ac:dyDescent="0.2">
      <c r="A43" s="745"/>
      <c r="B43" s="746" t="s">
        <v>568</v>
      </c>
      <c r="C43" s="747"/>
      <c r="D43" s="747"/>
      <c r="E43" s="743"/>
      <c r="F43" s="870"/>
      <c r="G43" s="743">
        <f t="shared" si="13"/>
        <v>0</v>
      </c>
      <c r="H43" s="707"/>
      <c r="I43" s="707">
        <f t="shared" si="10"/>
        <v>0</v>
      </c>
      <c r="J43" s="707"/>
      <c r="K43" s="707">
        <f t="shared" si="12"/>
        <v>0</v>
      </c>
      <c r="L43" s="744">
        <f t="shared" si="14"/>
        <v>0</v>
      </c>
    </row>
    <row r="44" spans="1:14" ht="25.5" customHeight="1" x14ac:dyDescent="0.2">
      <c r="A44" s="745">
        <v>2.1</v>
      </c>
      <c r="B44" s="746" t="s">
        <v>569</v>
      </c>
      <c r="C44" s="747" t="s">
        <v>11</v>
      </c>
      <c r="D44" s="747">
        <v>525</v>
      </c>
      <c r="E44" s="743"/>
      <c r="F44" s="870">
        <v>290.94</v>
      </c>
      <c r="G44" s="743">
        <f t="shared" si="13"/>
        <v>290.94</v>
      </c>
      <c r="H44" s="707">
        <v>245</v>
      </c>
      <c r="I44" s="707">
        <f t="shared" si="10"/>
        <v>128625</v>
      </c>
      <c r="J44" s="707"/>
      <c r="K44" s="707">
        <f t="shared" si="12"/>
        <v>71280.3</v>
      </c>
      <c r="L44" s="744">
        <f t="shared" si="14"/>
        <v>71280.3</v>
      </c>
    </row>
    <row r="45" spans="1:14" ht="25.5" customHeight="1" x14ac:dyDescent="0.2">
      <c r="A45" s="745">
        <v>2.2000000000000002</v>
      </c>
      <c r="B45" s="746" t="s">
        <v>570</v>
      </c>
      <c r="C45" s="747" t="s">
        <v>174</v>
      </c>
      <c r="D45" s="747">
        <v>1100</v>
      </c>
      <c r="E45" s="743"/>
      <c r="F45" s="870">
        <v>468</v>
      </c>
      <c r="G45" s="743">
        <f t="shared" si="13"/>
        <v>468</v>
      </c>
      <c r="H45" s="707">
        <v>45</v>
      </c>
      <c r="I45" s="707">
        <f t="shared" si="10"/>
        <v>49500</v>
      </c>
      <c r="J45" s="707"/>
      <c r="K45" s="707">
        <f t="shared" si="12"/>
        <v>21060</v>
      </c>
      <c r="L45" s="744">
        <f t="shared" si="14"/>
        <v>21060</v>
      </c>
    </row>
    <row r="46" spans="1:14" ht="25.5" customHeight="1" x14ac:dyDescent="0.2">
      <c r="A46" s="745"/>
      <c r="B46" s="746"/>
      <c r="C46" s="747"/>
      <c r="D46" s="747"/>
      <c r="E46" s="743"/>
      <c r="F46" s="870"/>
      <c r="G46" s="743">
        <f t="shared" si="13"/>
        <v>0</v>
      </c>
      <c r="H46" s="707"/>
      <c r="I46" s="707">
        <f>H46*D46</f>
        <v>0</v>
      </c>
      <c r="J46" s="707">
        <f t="shared" si="11"/>
        <v>0</v>
      </c>
      <c r="K46" s="707">
        <f t="shared" si="12"/>
        <v>0</v>
      </c>
      <c r="L46" s="744">
        <f t="shared" si="14"/>
        <v>0</v>
      </c>
    </row>
    <row r="47" spans="1:14" ht="25.5" customHeight="1" thickBot="1" x14ac:dyDescent="0.25">
      <c r="A47" s="749"/>
      <c r="B47" s="1227" t="s">
        <v>64</v>
      </c>
      <c r="C47" s="1228"/>
      <c r="D47" s="1228"/>
      <c r="E47" s="1228"/>
      <c r="F47" s="1228"/>
      <c r="G47" s="1228"/>
      <c r="H47" s="1229"/>
      <c r="I47" s="750">
        <f>SUM(I35:I46)</f>
        <v>436637</v>
      </c>
      <c r="J47" s="750">
        <f>SUM(J35:J46)</f>
        <v>0</v>
      </c>
      <c r="K47" s="750">
        <f>SUM(K35:K46)</f>
        <v>514389.12</v>
      </c>
      <c r="L47" s="750">
        <f>SUM(L35:L46)</f>
        <v>514389.12</v>
      </c>
    </row>
    <row r="48" spans="1:14" x14ac:dyDescent="0.2">
      <c r="A48" s="351"/>
      <c r="B48" s="351"/>
      <c r="C48" s="351"/>
      <c r="D48" s="351"/>
      <c r="E48" s="351"/>
      <c r="F48" s="351"/>
      <c r="G48" s="351"/>
      <c r="H48" s="351"/>
      <c r="I48" s="351"/>
      <c r="J48" s="351"/>
      <c r="K48" s="351">
        <f>K22+K33+K47</f>
        <v>602724.26040000003</v>
      </c>
      <c r="L48" s="351">
        <f>L22+L33+L47</f>
        <v>1159698.6224</v>
      </c>
    </row>
    <row r="49" spans="1:12" x14ac:dyDescent="0.2">
      <c r="A49" s="351"/>
      <c r="B49" s="480" t="s">
        <v>234</v>
      </c>
      <c r="C49" s="480"/>
      <c r="D49" s="480"/>
      <c r="E49" s="480"/>
      <c r="F49" s="480"/>
      <c r="G49" s="480"/>
      <c r="H49" s="480"/>
      <c r="I49" s="480"/>
      <c r="J49" s="480" t="s">
        <v>371</v>
      </c>
      <c r="K49" s="480"/>
      <c r="L49" s="480"/>
    </row>
    <row r="50" spans="1:12" x14ac:dyDescent="0.2">
      <c r="A50" s="351"/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</row>
    <row r="51" spans="1:12" x14ac:dyDescent="0.2">
      <c r="A51" s="351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</row>
    <row r="52" spans="1:12" x14ac:dyDescent="0.2">
      <c r="A52" s="35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</row>
    <row r="53" spans="1:12" x14ac:dyDescent="0.2">
      <c r="A53" s="351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</row>
    <row r="54" spans="1:12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</row>
    <row r="55" spans="1:12" x14ac:dyDescent="0.2">
      <c r="A55" s="351"/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</row>
    <row r="58" spans="1:12" x14ac:dyDescent="0.2">
      <c r="J58" t="s">
        <v>575</v>
      </c>
    </row>
    <row r="60" spans="1:12" x14ac:dyDescent="0.2">
      <c r="J60" s="975">
        <f>K47+K33+K22</f>
        <v>602724.26039999991</v>
      </c>
      <c r="K60" s="975">
        <f>J47+J33+J22</f>
        <v>583970.55000000005</v>
      </c>
    </row>
  </sheetData>
  <mergeCells count="17">
    <mergeCell ref="L3:L4"/>
    <mergeCell ref="B1:K1"/>
    <mergeCell ref="A2:A4"/>
    <mergeCell ref="B2:B4"/>
    <mergeCell ref="C2:C4"/>
    <mergeCell ref="D2:F2"/>
    <mergeCell ref="H2:H4"/>
    <mergeCell ref="I2:K2"/>
    <mergeCell ref="B47:H47"/>
    <mergeCell ref="D3:D4"/>
    <mergeCell ref="E3:F3"/>
    <mergeCell ref="I3:I4"/>
    <mergeCell ref="J3:K3"/>
    <mergeCell ref="B12:H12"/>
    <mergeCell ref="G2:G4"/>
    <mergeCell ref="B33:H33"/>
    <mergeCell ref="B22:H22"/>
  </mergeCells>
  <pageMargins left="0.7" right="0.7" top="0.75" bottom="0.75" header="0.3" footer="0.3"/>
  <pageSetup paperSize="9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H31"/>
  <sheetViews>
    <sheetView topLeftCell="A22" zoomScaleNormal="100" zoomScaleSheetLayoutView="90" workbookViewId="0">
      <selection activeCell="C39" sqref="C39"/>
    </sheetView>
  </sheetViews>
  <sheetFormatPr defaultColWidth="9.14453125" defaultRowHeight="14.25" x14ac:dyDescent="0.15"/>
  <cols>
    <col min="1" max="1" width="7.26171875" style="3" customWidth="1"/>
    <col min="2" max="2" width="26.76953125" style="3" customWidth="1"/>
    <col min="3" max="3" width="25.55859375" style="3" customWidth="1"/>
    <col min="4" max="4" width="25.2890625" style="3" customWidth="1"/>
    <col min="5" max="5" width="23.26953125" style="3" customWidth="1"/>
    <col min="6" max="6" width="22.734375" style="3" customWidth="1"/>
    <col min="7" max="7" width="5.24609375" style="3" customWidth="1"/>
    <col min="8" max="8" width="9.14453125" style="3"/>
    <col min="9" max="9" width="19.1015625" style="3" customWidth="1"/>
    <col min="10" max="11" width="9.14453125" style="3"/>
    <col min="12" max="12" width="13.31640625" style="3" customWidth="1"/>
    <col min="13" max="16384" width="9.14453125" style="3"/>
  </cols>
  <sheetData>
    <row r="1" spans="1:7" x14ac:dyDescent="0.15">
      <c r="A1" s="1072" t="s">
        <v>27</v>
      </c>
      <c r="B1" s="1072"/>
      <c r="C1" s="1072"/>
      <c r="D1" s="1072"/>
      <c r="E1" s="1072"/>
      <c r="F1" s="1072"/>
      <c r="G1" s="111"/>
    </row>
    <row r="2" spans="1:7" ht="15" thickBot="1" x14ac:dyDescent="0.2">
      <c r="A2" s="1073"/>
      <c r="B2" s="1073"/>
      <c r="C2" s="1073"/>
      <c r="D2" s="1073"/>
      <c r="E2" s="1073"/>
      <c r="F2" s="1073"/>
      <c r="G2" s="111"/>
    </row>
    <row r="3" spans="1:7" ht="33" customHeight="1" thickBot="1" x14ac:dyDescent="0.2">
      <c r="A3" s="1074" t="s">
        <v>0</v>
      </c>
      <c r="B3" s="1076" t="s">
        <v>49</v>
      </c>
      <c r="C3" s="1078" t="s">
        <v>51</v>
      </c>
      <c r="D3" s="1079"/>
      <c r="E3" s="1079"/>
      <c r="F3" s="1080"/>
      <c r="G3" s="111"/>
    </row>
    <row r="4" spans="1:7" ht="38.25" customHeight="1" thickBot="1" x14ac:dyDescent="0.2">
      <c r="A4" s="1075"/>
      <c r="B4" s="1077"/>
      <c r="C4" s="112" t="s">
        <v>46</v>
      </c>
      <c r="D4" s="112" t="s">
        <v>456</v>
      </c>
      <c r="E4" s="112" t="s">
        <v>457</v>
      </c>
      <c r="F4" s="116" t="s">
        <v>458</v>
      </c>
      <c r="G4" s="111"/>
    </row>
    <row r="5" spans="1:7" ht="29.25" customHeight="1" x14ac:dyDescent="0.15">
      <c r="A5" s="60">
        <v>1</v>
      </c>
      <c r="B5" s="47" t="s">
        <v>2</v>
      </c>
      <c r="C5" s="47">
        <v>1623379.1</v>
      </c>
      <c r="D5" s="47">
        <f>'SUMERY OF EACH'!D19</f>
        <v>1141661.58</v>
      </c>
      <c r="E5" s="47">
        <f>'SUMERY OF EACH'!E19</f>
        <v>611153.34000000008</v>
      </c>
      <c r="F5" s="47">
        <f>E5+D5</f>
        <v>1752814.9200000002</v>
      </c>
      <c r="G5" s="111"/>
    </row>
    <row r="6" spans="1:7" ht="29.25" customHeight="1" x14ac:dyDescent="0.15">
      <c r="A6" s="60">
        <v>2</v>
      </c>
      <c r="B6" s="47" t="s">
        <v>197</v>
      </c>
      <c r="C6" s="47">
        <v>635725.71</v>
      </c>
      <c r="D6" s="47">
        <f>'SUMERY OF EACH'!D42</f>
        <v>468544.74999999994</v>
      </c>
      <c r="E6" s="47">
        <f>'SUMERY OF EACH'!E42</f>
        <v>166858.41</v>
      </c>
      <c r="F6" s="47">
        <f t="shared" ref="F6:F17" si="0">E6+D6</f>
        <v>635403.15999999992</v>
      </c>
      <c r="G6" s="111"/>
    </row>
    <row r="7" spans="1:7" ht="29.25" customHeight="1" x14ac:dyDescent="0.15">
      <c r="A7" s="60">
        <v>3</v>
      </c>
      <c r="B7" s="53" t="s">
        <v>3</v>
      </c>
      <c r="C7" s="53">
        <v>2085455</v>
      </c>
      <c r="D7" s="53">
        <f>'SUMERY OF EACH'!D89</f>
        <v>2139449.85</v>
      </c>
      <c r="E7" s="53">
        <f>'SUMERY OF EACH'!E89</f>
        <v>507717.5</v>
      </c>
      <c r="F7" s="47">
        <f t="shared" si="0"/>
        <v>2647167.35</v>
      </c>
      <c r="G7" s="111"/>
    </row>
    <row r="8" spans="1:7" ht="29.25" customHeight="1" x14ac:dyDescent="0.15">
      <c r="A8" s="60">
        <v>4</v>
      </c>
      <c r="B8" s="53" t="s">
        <v>47</v>
      </c>
      <c r="C8" s="53">
        <v>2599230.14</v>
      </c>
      <c r="D8" s="53">
        <f>'SUMERY OF EACH'!D66</f>
        <v>2307451.37</v>
      </c>
      <c r="E8" s="53">
        <f>'SUMERY OF EACH'!E66</f>
        <v>466524</v>
      </c>
      <c r="F8" s="47">
        <f t="shared" si="0"/>
        <v>2773975.37</v>
      </c>
      <c r="G8" s="111"/>
    </row>
    <row r="9" spans="1:7" ht="29.25" customHeight="1" x14ac:dyDescent="0.15">
      <c r="A9" s="60">
        <v>5</v>
      </c>
      <c r="B9" s="53" t="s">
        <v>37</v>
      </c>
      <c r="C9" s="53">
        <v>1357276.7</v>
      </c>
      <c r="D9" s="53">
        <f>'SUMERY OF EACH'!D112</f>
        <v>847336.78</v>
      </c>
      <c r="E9" s="53">
        <f>'SUMERY OF EACH'!E112</f>
        <v>251347.6</v>
      </c>
      <c r="F9" s="47">
        <f t="shared" si="0"/>
        <v>1098684.3800000001</v>
      </c>
      <c r="G9" s="111"/>
    </row>
    <row r="10" spans="1:7" ht="29.25" customHeight="1" x14ac:dyDescent="0.15">
      <c r="A10" s="60">
        <v>6</v>
      </c>
      <c r="B10" s="53" t="s">
        <v>216</v>
      </c>
      <c r="C10" s="53">
        <f>'SUMERY OF EACH'!C137</f>
        <v>1346164.24</v>
      </c>
      <c r="D10" s="53">
        <f>'SUMERY OF EACH'!D137</f>
        <v>635879.26</v>
      </c>
      <c r="E10" s="53">
        <f>'SUMERY OF EACH'!E137</f>
        <v>415472</v>
      </c>
      <c r="F10" s="47">
        <f t="shared" si="0"/>
        <v>1051351.26</v>
      </c>
      <c r="G10" s="111"/>
    </row>
    <row r="11" spans="1:7" ht="29.25" customHeight="1" x14ac:dyDescent="0.15">
      <c r="A11" s="60">
        <v>7</v>
      </c>
      <c r="B11" s="53" t="s">
        <v>48</v>
      </c>
      <c r="C11" s="53">
        <v>1063693.5</v>
      </c>
      <c r="D11" s="53">
        <f>'SUMERY OF EACH'!D159</f>
        <v>814588.04999999993</v>
      </c>
      <c r="E11" s="53">
        <f>'SUMERY OF EACH'!E159</f>
        <v>486010.6</v>
      </c>
      <c r="F11" s="47">
        <f t="shared" si="0"/>
        <v>1300598.6499999999</v>
      </c>
      <c r="G11" s="111"/>
    </row>
    <row r="12" spans="1:7" ht="29.25" customHeight="1" x14ac:dyDescent="0.15">
      <c r="A12" s="60">
        <v>8</v>
      </c>
      <c r="B12" s="53" t="s">
        <v>217</v>
      </c>
      <c r="C12" s="53">
        <v>360987</v>
      </c>
      <c r="D12" s="53">
        <f>'SUMERY OF EACH'!D181</f>
        <v>244901.15999999997</v>
      </c>
      <c r="E12" s="53">
        <f>'SUMERY OF EACH'!E181</f>
        <v>100919.35</v>
      </c>
      <c r="F12" s="47">
        <f t="shared" si="0"/>
        <v>345820.51</v>
      </c>
      <c r="G12" s="111"/>
    </row>
    <row r="13" spans="1:7" ht="29.25" customHeight="1" x14ac:dyDescent="0.15">
      <c r="A13" s="60">
        <v>9</v>
      </c>
      <c r="B13" s="53" t="s">
        <v>241</v>
      </c>
      <c r="C13" s="53">
        <v>245763.5</v>
      </c>
      <c r="D13" s="53">
        <f>'SUMERY OF EACH'!D203</f>
        <v>269691.18</v>
      </c>
      <c r="E13" s="53">
        <f>'SUMERY OF EACH'!E203</f>
        <v>20818.7</v>
      </c>
      <c r="F13" s="47">
        <f t="shared" si="0"/>
        <v>290509.88</v>
      </c>
      <c r="G13" s="111"/>
    </row>
    <row r="14" spans="1:7" ht="29.25" customHeight="1" x14ac:dyDescent="0.15">
      <c r="A14" s="60">
        <v>10</v>
      </c>
      <c r="B14" s="53" t="s">
        <v>218</v>
      </c>
      <c r="C14" s="53">
        <v>162268</v>
      </c>
      <c r="D14" s="53">
        <f>'SUMERY OF EACH'!D225</f>
        <v>93852.33</v>
      </c>
      <c r="E14" s="53">
        <f>'SUMERY OF EACH'!E225</f>
        <v>16232.099999999999</v>
      </c>
      <c r="F14" s="47">
        <f t="shared" si="0"/>
        <v>110084.43</v>
      </c>
      <c r="G14" s="111"/>
    </row>
    <row r="15" spans="1:7" ht="29.25" customHeight="1" x14ac:dyDescent="0.15">
      <c r="A15" s="60">
        <v>11</v>
      </c>
      <c r="B15" s="53" t="s">
        <v>219</v>
      </c>
      <c r="C15" s="53">
        <f>'SUMERY OF EACH'!C243</f>
        <v>129634.95</v>
      </c>
      <c r="D15" s="53">
        <f>'SUMERY OF EACH'!D243</f>
        <v>93877.76999999999</v>
      </c>
      <c r="E15" s="53">
        <f>'SUMERY OF EACH'!E243</f>
        <v>15724.829999999998</v>
      </c>
      <c r="F15" s="47">
        <f t="shared" si="0"/>
        <v>109602.59999999999</v>
      </c>
      <c r="G15" s="111"/>
    </row>
    <row r="16" spans="1:7" ht="29.25" customHeight="1" x14ac:dyDescent="0.15">
      <c r="A16" s="60">
        <v>12</v>
      </c>
      <c r="B16" s="53" t="s">
        <v>198</v>
      </c>
      <c r="C16" s="53">
        <v>920805.63</v>
      </c>
      <c r="D16" s="53">
        <f>'SUMERY OF EACH'!D265</f>
        <v>662208.15999999992</v>
      </c>
      <c r="E16" s="53">
        <f>'SUMERY OF EACH'!E265</f>
        <v>296208.88999999996</v>
      </c>
      <c r="F16" s="47">
        <f t="shared" si="0"/>
        <v>958417.04999999981</v>
      </c>
      <c r="G16" s="111"/>
    </row>
    <row r="17" spans="1:8" ht="29.25" customHeight="1" x14ac:dyDescent="0.15">
      <c r="A17" s="60">
        <v>13</v>
      </c>
      <c r="B17" s="53" t="s">
        <v>220</v>
      </c>
      <c r="C17" s="53">
        <v>399561.07</v>
      </c>
      <c r="D17" s="53">
        <f>'SUMERY OF EACH'!D287</f>
        <v>288825.09999999998</v>
      </c>
      <c r="E17" s="53">
        <f>'SUMERY OF EACH'!E287</f>
        <v>70343.22</v>
      </c>
      <c r="F17" s="47">
        <f t="shared" si="0"/>
        <v>359168.31999999995</v>
      </c>
      <c r="G17" s="111"/>
    </row>
    <row r="18" spans="1:8" ht="29.25" customHeight="1" x14ac:dyDescent="0.15">
      <c r="A18" s="60">
        <v>15</v>
      </c>
      <c r="B18" s="53" t="s">
        <v>279</v>
      </c>
      <c r="C18" s="53">
        <v>208403.15</v>
      </c>
      <c r="D18" s="53">
        <f>'SUMERY OF EACH'!D309</f>
        <v>82422.260000000009</v>
      </c>
      <c r="E18" s="53">
        <f>'SUMERY OF EACH'!E309</f>
        <v>9405.2000000000007</v>
      </c>
      <c r="F18" s="47">
        <f>E18+D18</f>
        <v>91827.46</v>
      </c>
      <c r="G18" s="111"/>
    </row>
    <row r="19" spans="1:8" ht="29.25" customHeight="1" x14ac:dyDescent="0.15">
      <c r="A19" s="60">
        <v>17</v>
      </c>
      <c r="B19" s="53" t="s">
        <v>228</v>
      </c>
      <c r="C19" s="53">
        <f>'SUMERY OF EACH'!C322</f>
        <v>847967.5</v>
      </c>
      <c r="D19" s="53">
        <v>671800.55</v>
      </c>
      <c r="E19" s="53">
        <f>'SUMERY OF EACH'!$E$322</f>
        <v>602724.26</v>
      </c>
      <c r="F19" s="47">
        <f>E19+D19</f>
        <v>1274524.81</v>
      </c>
      <c r="G19" s="111"/>
    </row>
    <row r="20" spans="1:8" ht="29.25" customHeight="1" x14ac:dyDescent="0.15">
      <c r="A20" s="61"/>
      <c r="B20" s="53" t="s">
        <v>35</v>
      </c>
      <c r="C20" s="53">
        <f>SUM(C5:C19)</f>
        <v>13986315.190000001</v>
      </c>
      <c r="D20" s="53">
        <f>SUM(D5:D19)</f>
        <v>10762490.15</v>
      </c>
      <c r="E20" s="53">
        <f>SUM(E5:E19)</f>
        <v>4037460.0000000009</v>
      </c>
      <c r="F20" s="53">
        <f>SUM(F5:F19)</f>
        <v>14799950.15</v>
      </c>
      <c r="G20" s="111"/>
    </row>
    <row r="21" spans="1:8" ht="29.25" customHeight="1" x14ac:dyDescent="0.15">
      <c r="A21" s="61"/>
      <c r="B21" s="53" t="s">
        <v>283</v>
      </c>
      <c r="C21" s="53">
        <f>0.015*C20</f>
        <v>209794.72785000002</v>
      </c>
      <c r="D21" s="53">
        <f>0.015*D20</f>
        <v>161437.35225</v>
      </c>
      <c r="E21" s="53">
        <f>0.015*E20</f>
        <v>60561.900000000009</v>
      </c>
      <c r="F21" s="53">
        <f>0.015*F20</f>
        <v>221999.25224999999</v>
      </c>
      <c r="G21" s="111"/>
    </row>
    <row r="22" spans="1:8" ht="29.25" customHeight="1" x14ac:dyDescent="0.15">
      <c r="A22" s="62"/>
      <c r="B22" s="63" t="s">
        <v>71</v>
      </c>
      <c r="C22" s="63">
        <f>C20-C21</f>
        <v>13776520.462150002</v>
      </c>
      <c r="D22" s="63">
        <f>D20-D21</f>
        <v>10601052.79775</v>
      </c>
      <c r="E22" s="63">
        <f>E20-E21</f>
        <v>3976898.100000001</v>
      </c>
      <c r="F22" s="63">
        <f>F20-F21</f>
        <v>14577950.89775</v>
      </c>
      <c r="G22" s="111"/>
    </row>
    <row r="23" spans="1:8" ht="29.25" customHeight="1" thickBot="1" x14ac:dyDescent="0.2">
      <c r="A23" s="62"/>
      <c r="B23" s="63" t="s">
        <v>36</v>
      </c>
      <c r="C23" s="63"/>
      <c r="D23" s="63"/>
      <c r="E23" s="63"/>
      <c r="F23" s="64"/>
      <c r="G23" s="111"/>
    </row>
    <row r="24" spans="1:8" ht="54" customHeight="1" thickBot="1" x14ac:dyDescent="0.25">
      <c r="A24" s="65"/>
      <c r="B24" s="66" t="s">
        <v>72</v>
      </c>
      <c r="C24" s="67">
        <f>C22</f>
        <v>13776520.462150002</v>
      </c>
      <c r="D24" s="67">
        <f>D22+D23</f>
        <v>10601052.79775</v>
      </c>
      <c r="E24" s="68">
        <f>E22</f>
        <v>3976898.100000001</v>
      </c>
      <c r="F24" s="69">
        <f>F23+F22</f>
        <v>14577950.89775</v>
      </c>
      <c r="G24" s="111"/>
    </row>
    <row r="25" spans="1:8" ht="22.5" customHeight="1" x14ac:dyDescent="0.15">
      <c r="A25" s="113"/>
      <c r="B25" s="10"/>
      <c r="C25" s="10"/>
      <c r="D25" s="10"/>
      <c r="E25" s="10"/>
      <c r="F25" s="10"/>
      <c r="G25" s="111"/>
    </row>
    <row r="26" spans="1:8" x14ac:dyDescent="0.15">
      <c r="A26" s="114" t="s">
        <v>576</v>
      </c>
      <c r="B26" s="114"/>
      <c r="C26" s="114"/>
      <c r="D26" s="114"/>
      <c r="E26" s="114"/>
      <c r="F26" s="114"/>
      <c r="G26" s="20"/>
      <c r="H26" s="4"/>
    </row>
    <row r="27" spans="1:8" ht="18" customHeight="1" x14ac:dyDescent="0.15">
      <c r="A27" s="111" t="s">
        <v>577</v>
      </c>
      <c r="B27" s="111"/>
      <c r="C27" s="145">
        <f>F24</f>
        <v>14577950.89775</v>
      </c>
      <c r="D27" s="111"/>
      <c r="E27" s="111"/>
      <c r="F27" s="111"/>
      <c r="G27" s="111"/>
      <c r="H27" s="4"/>
    </row>
    <row r="28" spans="1:8" ht="18" customHeight="1" x14ac:dyDescent="0.15">
      <c r="A28" s="111"/>
      <c r="B28" s="111"/>
      <c r="C28" s="115"/>
      <c r="D28" s="111"/>
      <c r="E28" s="111"/>
      <c r="F28" s="111"/>
      <c r="G28" s="111"/>
    </row>
    <row r="29" spans="1:8" x14ac:dyDescent="0.15">
      <c r="A29" s="111"/>
      <c r="B29" s="111"/>
      <c r="C29" s="111"/>
      <c r="D29" s="111"/>
      <c r="E29" s="111"/>
      <c r="F29" s="111"/>
      <c r="G29" s="111"/>
    </row>
    <row r="30" spans="1:8" x14ac:dyDescent="0.15">
      <c r="A30" s="111" t="s">
        <v>40</v>
      </c>
      <c r="C30" s="111"/>
      <c r="D30" s="111"/>
      <c r="E30" s="111" t="s">
        <v>41</v>
      </c>
      <c r="F30" s="111"/>
      <c r="G30" s="111"/>
    </row>
    <row r="31" spans="1:8" ht="14.25" customHeight="1" x14ac:dyDescent="0.15"/>
  </sheetData>
  <mergeCells count="4">
    <mergeCell ref="A1:F2"/>
    <mergeCell ref="A3:A4"/>
    <mergeCell ref="B3:B4"/>
    <mergeCell ref="C3:F3"/>
  </mergeCells>
  <pageMargins left="0.42" right="0.23" top="0.72" bottom="0.5" header="0.3" footer="0.3"/>
  <pageSetup scale="77" orientation="portrait" r:id="rId1"/>
  <headerFooter>
    <oddHeader>&amp;C&amp;16BRIGHT CONSTRUCTION PLC</oddHeader>
  </headerFooter>
  <colBreaks count="1" manualBreakCount="1">
    <brk id="7" max="29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O12" sqref="O12"/>
    </sheetView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zoomScale="60" zoomScaleNormal="100" workbookViewId="0">
      <selection activeCell="J25" sqref="J25"/>
    </sheetView>
  </sheetViews>
  <sheetFormatPr defaultRowHeight="15" x14ac:dyDescent="0.2"/>
  <cols>
    <col min="2" max="2" width="26.76953125" customWidth="1"/>
    <col min="3" max="3" width="18.29296875" customWidth="1"/>
    <col min="4" max="4" width="18.96484375" customWidth="1"/>
    <col min="5" max="5" width="17.890625" customWidth="1"/>
    <col min="6" max="6" width="18.0234375" customWidth="1"/>
  </cols>
  <sheetData>
    <row r="1" spans="1:6" ht="23.25" x14ac:dyDescent="0.3">
      <c r="A1" s="1081" t="s">
        <v>467</v>
      </c>
      <c r="B1" s="1081"/>
      <c r="C1" s="1081"/>
      <c r="D1" s="1081"/>
      <c r="E1" s="1081"/>
      <c r="F1" s="1081"/>
    </row>
    <row r="2" spans="1:6" ht="23.25" x14ac:dyDescent="0.3">
      <c r="A2" s="1081" t="s">
        <v>36</v>
      </c>
      <c r="B2" s="1081"/>
      <c r="C2" s="1081"/>
      <c r="D2" s="1081"/>
      <c r="E2" s="1081"/>
      <c r="F2" s="1081"/>
    </row>
    <row r="3" spans="1:6" ht="23.25" x14ac:dyDescent="0.3">
      <c r="A3" s="914" t="s">
        <v>462</v>
      </c>
      <c r="B3" s="914" t="s">
        <v>463</v>
      </c>
      <c r="C3" s="914" t="s">
        <v>5</v>
      </c>
      <c r="D3" s="915" t="s">
        <v>464</v>
      </c>
      <c r="E3" s="914" t="s">
        <v>465</v>
      </c>
      <c r="F3" s="914" t="s">
        <v>1</v>
      </c>
    </row>
    <row r="4" spans="1:6" ht="21" x14ac:dyDescent="0.3">
      <c r="A4" s="916"/>
      <c r="B4" s="916"/>
      <c r="C4" s="916"/>
      <c r="D4" s="917"/>
      <c r="E4" s="916"/>
      <c r="F4" s="917"/>
    </row>
    <row r="5" spans="1:6" ht="21" x14ac:dyDescent="0.3">
      <c r="A5" s="916">
        <v>1</v>
      </c>
      <c r="B5" s="916" t="s">
        <v>522</v>
      </c>
      <c r="C5" s="916" t="s">
        <v>11</v>
      </c>
      <c r="D5" s="917"/>
      <c r="E5" s="917"/>
      <c r="F5" s="917"/>
    </row>
    <row r="6" spans="1:6" ht="21" x14ac:dyDescent="0.3">
      <c r="A6" s="916">
        <v>2</v>
      </c>
      <c r="B6" s="916" t="s">
        <v>523</v>
      </c>
      <c r="C6" s="916" t="s">
        <v>11</v>
      </c>
      <c r="D6" s="917"/>
      <c r="E6" s="917"/>
      <c r="F6" s="917"/>
    </row>
    <row r="7" spans="1:6" ht="21" x14ac:dyDescent="0.3">
      <c r="A7" s="916"/>
      <c r="B7" s="916"/>
      <c r="C7" s="916"/>
      <c r="D7" s="918"/>
      <c r="E7" s="917"/>
      <c r="F7" s="917"/>
    </row>
    <row r="8" spans="1:6" ht="21" x14ac:dyDescent="0.3">
      <c r="A8" s="916"/>
      <c r="B8" s="916"/>
      <c r="C8" s="916"/>
      <c r="D8" s="917"/>
      <c r="E8" s="917"/>
      <c r="F8" s="917"/>
    </row>
    <row r="9" spans="1:6" ht="21" x14ac:dyDescent="0.3">
      <c r="A9" s="916"/>
      <c r="B9" s="916"/>
      <c r="C9" s="916"/>
      <c r="D9" s="916"/>
      <c r="E9" s="917"/>
      <c r="F9" s="917"/>
    </row>
    <row r="10" spans="1:6" ht="21" x14ac:dyDescent="0.3">
      <c r="A10" s="916"/>
      <c r="B10" s="916"/>
      <c r="C10" s="916"/>
      <c r="D10" s="917"/>
      <c r="E10" s="917"/>
      <c r="F10" s="917"/>
    </row>
    <row r="11" spans="1:6" ht="21" x14ac:dyDescent="0.3">
      <c r="A11" s="916"/>
      <c r="B11" s="916"/>
      <c r="C11" s="916"/>
      <c r="D11" s="917"/>
      <c r="E11" s="917"/>
      <c r="F11" s="917"/>
    </row>
    <row r="12" spans="1:6" ht="21" x14ac:dyDescent="0.3">
      <c r="A12" s="916"/>
      <c r="B12" s="916"/>
      <c r="C12" s="916"/>
      <c r="D12" s="917"/>
      <c r="E12" s="917"/>
      <c r="F12" s="917"/>
    </row>
    <row r="13" spans="1:6" ht="21" x14ac:dyDescent="0.3">
      <c r="A13" s="916"/>
      <c r="B13" s="919"/>
      <c r="C13" s="916"/>
      <c r="D13" s="917"/>
      <c r="E13" s="916"/>
      <c r="F13" s="920"/>
    </row>
    <row r="14" spans="1:6" ht="21" x14ac:dyDescent="0.3">
      <c r="A14" s="916"/>
      <c r="B14" s="921"/>
      <c r="C14" s="921"/>
      <c r="D14" s="922"/>
      <c r="E14" s="921"/>
      <c r="F14" s="923"/>
    </row>
    <row r="15" spans="1:6" ht="21" x14ac:dyDescent="0.3">
      <c r="A15" s="916"/>
      <c r="B15" s="916"/>
      <c r="C15" s="916"/>
      <c r="D15" s="917"/>
      <c r="E15" s="916"/>
      <c r="F15" s="916"/>
    </row>
    <row r="17" spans="2:5" x14ac:dyDescent="0.2">
      <c r="B17" t="s">
        <v>468</v>
      </c>
      <c r="E17" t="s">
        <v>236</v>
      </c>
    </row>
  </sheetData>
  <mergeCells count="2">
    <mergeCell ref="A2:F2"/>
    <mergeCell ref="A1:F1"/>
  </mergeCells>
  <pageMargins left="0.7" right="0.7" top="0.75" bottom="0.75" header="0.3" footer="0.3"/>
  <pageSetup scale="8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I327"/>
  <sheetViews>
    <sheetView topLeftCell="A46" zoomScale="60" zoomScaleNormal="60" workbookViewId="0">
      <selection activeCell="A62" sqref="A62:IV62"/>
    </sheetView>
  </sheetViews>
  <sheetFormatPr defaultColWidth="9.14453125" defaultRowHeight="14.25" x14ac:dyDescent="0.15"/>
  <cols>
    <col min="1" max="1" width="7.6640625" style="1" customWidth="1"/>
    <col min="2" max="2" width="46.8125" style="1" customWidth="1"/>
    <col min="3" max="3" width="28.25" style="71" customWidth="1"/>
    <col min="4" max="4" width="24.88671875" style="71" customWidth="1"/>
    <col min="5" max="5" width="32.8203125" style="71" customWidth="1"/>
    <col min="6" max="6" width="32.6875" style="71" customWidth="1"/>
    <col min="7" max="7" width="13.71875" style="71" bestFit="1" customWidth="1"/>
    <col min="8" max="16384" width="9.14453125" style="1"/>
  </cols>
  <sheetData>
    <row r="1" spans="1:7" s="4" customFormat="1" ht="15" thickBot="1" x14ac:dyDescent="0.2">
      <c r="A1" s="1082" t="s">
        <v>52</v>
      </c>
      <c r="B1" s="1082"/>
      <c r="C1" s="1082"/>
      <c r="D1" s="1082"/>
      <c r="E1" s="1082"/>
      <c r="F1" s="1082"/>
      <c r="G1" s="96"/>
    </row>
    <row r="2" spans="1:7" s="4" customFormat="1" ht="27.75" customHeight="1" thickBot="1" x14ac:dyDescent="0.2">
      <c r="A2" s="21"/>
      <c r="B2" s="22"/>
      <c r="C2" s="82"/>
      <c r="D2" s="82"/>
      <c r="E2" s="82"/>
      <c r="F2" s="83"/>
      <c r="G2" s="96"/>
    </row>
    <row r="3" spans="1:7" s="5" customFormat="1" ht="24.95" customHeight="1" x14ac:dyDescent="0.15">
      <c r="A3" s="1083" t="s">
        <v>53</v>
      </c>
      <c r="B3" s="1086" t="s">
        <v>54</v>
      </c>
      <c r="C3" s="1089" t="s">
        <v>50</v>
      </c>
      <c r="D3" s="1090"/>
      <c r="E3" s="485"/>
      <c r="F3" s="486"/>
      <c r="G3" s="97"/>
    </row>
    <row r="4" spans="1:7" s="4" customFormat="1" ht="24.95" customHeight="1" x14ac:dyDescent="0.15">
      <c r="A4" s="1084"/>
      <c r="B4" s="1087"/>
      <c r="C4" s="1091" t="s">
        <v>6</v>
      </c>
      <c r="D4" s="1093" t="s">
        <v>55</v>
      </c>
      <c r="E4" s="1094"/>
      <c r="F4" s="1095" t="s">
        <v>335</v>
      </c>
      <c r="G4" s="96"/>
    </row>
    <row r="5" spans="1:7" s="4" customFormat="1" ht="24.95" customHeight="1" thickBot="1" x14ac:dyDescent="0.2">
      <c r="A5" s="1085"/>
      <c r="B5" s="1088"/>
      <c r="C5" s="1092"/>
      <c r="D5" s="354" t="s">
        <v>98</v>
      </c>
      <c r="E5" s="487" t="s">
        <v>99</v>
      </c>
      <c r="F5" s="1096"/>
      <c r="G5" s="96"/>
    </row>
    <row r="6" spans="1:7" ht="33" customHeight="1" x14ac:dyDescent="0.15">
      <c r="A6" s="13"/>
      <c r="B6" s="14" t="s">
        <v>28</v>
      </c>
      <c r="C6" s="78"/>
      <c r="D6" s="78"/>
      <c r="E6" s="78"/>
      <c r="F6" s="78"/>
    </row>
    <row r="7" spans="1:7" s="126" customFormat="1" ht="33" customHeight="1" x14ac:dyDescent="0.2">
      <c r="A7" s="132">
        <v>1</v>
      </c>
      <c r="B7" s="121" t="s">
        <v>29</v>
      </c>
      <c r="C7" s="122">
        <f>'WORK MESUREMENT OPD'!I14</f>
        <v>148147.5</v>
      </c>
      <c r="D7" s="122">
        <f>'WORK MESUREMENT OPD'!J14</f>
        <v>85877.239999999991</v>
      </c>
      <c r="E7" s="122">
        <f>'WORK MESUREMENT OPD'!K14</f>
        <v>0</v>
      </c>
      <c r="F7" s="122">
        <f>E7+D7</f>
        <v>85877.239999999991</v>
      </c>
      <c r="G7" s="127"/>
    </row>
    <row r="8" spans="1:7" s="126" customFormat="1" ht="33" customHeight="1" x14ac:dyDescent="0.2">
      <c r="A8" s="132">
        <v>2</v>
      </c>
      <c r="B8" s="121" t="s">
        <v>30</v>
      </c>
      <c r="C8" s="122">
        <f>'WORK MESUREMENT OPD'!I34</f>
        <v>444239</v>
      </c>
      <c r="D8" s="122">
        <f>'WORK MESUREMENT OPD'!J34</f>
        <v>430582.82</v>
      </c>
      <c r="E8" s="122">
        <f>'WORK MESUREMENT OPD'!K34</f>
        <v>0</v>
      </c>
      <c r="F8" s="122">
        <f>E8+D8</f>
        <v>430582.82</v>
      </c>
      <c r="G8" s="127"/>
    </row>
    <row r="9" spans="1:7" s="126" customFormat="1" ht="33" customHeight="1" x14ac:dyDescent="0.2">
      <c r="A9" s="132">
        <v>3</v>
      </c>
      <c r="B9" s="121" t="s">
        <v>31</v>
      </c>
      <c r="C9" s="122">
        <f>'WORK MESUREMENT OPD'!I38</f>
        <v>231520</v>
      </c>
      <c r="D9" s="122">
        <f>'WORK MESUREMENT OPD'!J38</f>
        <v>97552.799999999988</v>
      </c>
      <c r="E9" s="122">
        <f>'WORK MESUREMENT OPD'!K38</f>
        <v>0</v>
      </c>
      <c r="F9" s="122">
        <f>E9+D9</f>
        <v>97552.799999999988</v>
      </c>
      <c r="G9" s="127"/>
    </row>
    <row r="10" spans="1:7" ht="33" customHeight="1" x14ac:dyDescent="0.15">
      <c r="A10" s="117"/>
      <c r="B10" s="118" t="s">
        <v>32</v>
      </c>
      <c r="C10" s="119">
        <f>SUM(C7:C9)</f>
        <v>823906.5</v>
      </c>
      <c r="D10" s="119">
        <f>SUM(D7:D9)</f>
        <v>614012.86</v>
      </c>
      <c r="E10" s="119">
        <f>SUM(E7:E9)</f>
        <v>0</v>
      </c>
      <c r="F10" s="119">
        <f>SUM(F7:F9)</f>
        <v>614012.86</v>
      </c>
    </row>
    <row r="11" spans="1:7" ht="33" customHeight="1" x14ac:dyDescent="0.15">
      <c r="A11" s="15"/>
      <c r="B11" s="17" t="s">
        <v>82</v>
      </c>
      <c r="C11" s="24"/>
      <c r="D11" s="24"/>
      <c r="E11" s="24"/>
      <c r="F11" s="24"/>
    </row>
    <row r="12" spans="1:7" s="126" customFormat="1" ht="33" customHeight="1" x14ac:dyDescent="0.2">
      <c r="A12" s="132">
        <v>1</v>
      </c>
      <c r="B12" s="134" t="s">
        <v>30</v>
      </c>
      <c r="C12" s="122">
        <f>'WORK MESUREMENT OPD'!I60</f>
        <v>152231.5</v>
      </c>
      <c r="D12" s="122">
        <f>'WORK MESUREMENT OPD'!J60</f>
        <v>144402.6</v>
      </c>
      <c r="E12" s="122">
        <f>'WORK MESUREMENT OPD'!K60</f>
        <v>0</v>
      </c>
      <c r="F12" s="122">
        <f t="shared" ref="F12:F17" si="0">E12+D12</f>
        <v>144402.6</v>
      </c>
      <c r="G12" s="127"/>
    </row>
    <row r="13" spans="1:7" s="126" customFormat="1" ht="33" customHeight="1" x14ac:dyDescent="0.2">
      <c r="A13" s="128">
        <v>2</v>
      </c>
      <c r="B13" s="129" t="s">
        <v>331</v>
      </c>
      <c r="C13" s="130">
        <f>'WORK MESUREMENT OPD'!I65</f>
        <v>205530</v>
      </c>
      <c r="D13" s="130">
        <f>'WORK MESUREMENT OPD'!J65</f>
        <v>113630.49999999999</v>
      </c>
      <c r="E13" s="130">
        <f>'WORK MESUREMENT OPD'!K65</f>
        <v>66908.5</v>
      </c>
      <c r="F13" s="122">
        <f t="shared" si="0"/>
        <v>180539</v>
      </c>
      <c r="G13" s="127"/>
    </row>
    <row r="14" spans="1:7" s="126" customFormat="1" ht="33" customHeight="1" x14ac:dyDescent="0.2">
      <c r="A14" s="132">
        <v>3</v>
      </c>
      <c r="B14" s="134" t="s">
        <v>175</v>
      </c>
      <c r="C14" s="122">
        <f>'WORK MESUREMENT OPD'!I69</f>
        <v>143418.1</v>
      </c>
      <c r="D14" s="122">
        <f>'WORK MESUREMENT OPD'!J69</f>
        <v>130651.15</v>
      </c>
      <c r="E14" s="122">
        <f>'WORK MESUREMENT OPD'!K69</f>
        <v>14159.2</v>
      </c>
      <c r="F14" s="122">
        <f t="shared" si="0"/>
        <v>144810.35</v>
      </c>
      <c r="G14" s="127"/>
    </row>
    <row r="15" spans="1:7" s="126" customFormat="1" ht="33" customHeight="1" x14ac:dyDescent="0.2">
      <c r="A15" s="132">
        <v>4</v>
      </c>
      <c r="B15" s="134" t="s">
        <v>288</v>
      </c>
      <c r="C15" s="122">
        <f>'WORK MESUREMENT OPD'!I82</f>
        <v>77446</v>
      </c>
      <c r="D15" s="122">
        <f>'WORK MESUREMENT OPD'!J82</f>
        <v>65638.820000000007</v>
      </c>
      <c r="E15" s="122">
        <f>'WORK MESUREMENT OPD'!K82</f>
        <v>9496.24</v>
      </c>
      <c r="F15" s="122">
        <f t="shared" si="0"/>
        <v>75135.060000000012</v>
      </c>
      <c r="G15" s="127"/>
    </row>
    <row r="16" spans="1:7" s="126" customFormat="1" ht="33" customHeight="1" x14ac:dyDescent="0.2">
      <c r="A16" s="132">
        <v>5</v>
      </c>
      <c r="B16" s="134" t="s">
        <v>455</v>
      </c>
      <c r="C16" s="122">
        <f>'WORK MESUREMENT OPD'!I94</f>
        <v>78217</v>
      </c>
      <c r="D16" s="122">
        <f>'WORK MESUREMENT OPD'!J94</f>
        <v>62917</v>
      </c>
      <c r="E16" s="122">
        <f>'WORK MESUREMENT OPD'!$K$94</f>
        <v>0</v>
      </c>
      <c r="F16" s="122">
        <f>E16+D16</f>
        <v>62917</v>
      </c>
      <c r="G16" s="127"/>
    </row>
    <row r="17" spans="1:7" s="126" customFormat="1" ht="33" customHeight="1" x14ac:dyDescent="0.2">
      <c r="A17" s="132">
        <v>6</v>
      </c>
      <c r="B17" s="134" t="s">
        <v>332</v>
      </c>
      <c r="C17" s="122">
        <f>'WORK MESUREMENT OPD'!I105</f>
        <v>594735</v>
      </c>
      <c r="D17" s="122">
        <f>'WORK MESUREMENT OPD'!J105</f>
        <v>10408.650000000001</v>
      </c>
      <c r="E17" s="122">
        <f>'WORK MESUREMENT OPD'!K105</f>
        <v>520589.4</v>
      </c>
      <c r="F17" s="122">
        <f t="shared" si="0"/>
        <v>530998.05000000005</v>
      </c>
      <c r="G17" s="127"/>
    </row>
    <row r="18" spans="1:7" ht="33" customHeight="1" x14ac:dyDescent="0.15">
      <c r="A18" s="117"/>
      <c r="B18" s="118" t="s">
        <v>95</v>
      </c>
      <c r="C18" s="119">
        <f>SUM(C12:C17)</f>
        <v>1251577.6000000001</v>
      </c>
      <c r="D18" s="119">
        <f>SUM(D12:D17)</f>
        <v>527648.72</v>
      </c>
      <c r="E18" s="119">
        <f>SUM(E12:E17)</f>
        <v>611153.34000000008</v>
      </c>
      <c r="F18" s="927">
        <f>SUM(F12:F17)</f>
        <v>1138802.06</v>
      </c>
    </row>
    <row r="19" spans="1:7" ht="33" customHeight="1" thickBot="1" x14ac:dyDescent="0.2">
      <c r="A19" s="18"/>
      <c r="B19" s="19" t="s">
        <v>127</v>
      </c>
      <c r="C19" s="33">
        <f>C18+C10</f>
        <v>2075484.1</v>
      </c>
      <c r="D19" s="33">
        <f>D18+D10</f>
        <v>1141661.58</v>
      </c>
      <c r="E19" s="33">
        <f>E18+E10</f>
        <v>611153.34000000008</v>
      </c>
      <c r="F19" s="33">
        <f>F18+F10</f>
        <v>1752814.92</v>
      </c>
    </row>
    <row r="20" spans="1:7" ht="33" customHeight="1" x14ac:dyDescent="0.15">
      <c r="A20" s="25"/>
      <c r="B20" s="25"/>
      <c r="C20" s="84"/>
      <c r="D20" s="84"/>
      <c r="E20" s="84"/>
      <c r="F20" s="84"/>
    </row>
    <row r="21" spans="1:7" ht="33" customHeight="1" x14ac:dyDescent="0.15">
      <c r="A21" s="23" t="s">
        <v>33</v>
      </c>
      <c r="B21" s="23"/>
      <c r="C21" s="85"/>
      <c r="D21" s="85"/>
      <c r="E21" s="85"/>
      <c r="F21" s="85"/>
    </row>
    <row r="22" spans="1:7" ht="33" customHeight="1" x14ac:dyDescent="0.2">
      <c r="A22" s="23" t="s">
        <v>34</v>
      </c>
      <c r="B22" s="23"/>
      <c r="C22" s="144">
        <f>F19</f>
        <v>1752814.92</v>
      </c>
      <c r="D22" s="85"/>
      <c r="E22" s="85"/>
      <c r="F22" s="85"/>
    </row>
    <row r="23" spans="1:7" ht="33" customHeight="1" x14ac:dyDescent="0.15">
      <c r="A23" s="25"/>
      <c r="B23" s="25" t="s">
        <v>40</v>
      </c>
      <c r="C23" s="84"/>
      <c r="D23" s="84"/>
      <c r="E23" s="111" t="s">
        <v>41</v>
      </c>
      <c r="F23" s="84"/>
    </row>
    <row r="24" spans="1:7" s="4" customFormat="1" ht="33" customHeight="1" thickBot="1" x14ac:dyDescent="0.2">
      <c r="A24" s="1082" t="s">
        <v>178</v>
      </c>
      <c r="B24" s="1082"/>
      <c r="C24" s="1082"/>
      <c r="D24" s="1082"/>
      <c r="E24" s="1082"/>
      <c r="F24" s="1082"/>
      <c r="G24" s="96"/>
    </row>
    <row r="25" spans="1:7" s="4" customFormat="1" ht="33" customHeight="1" thickBot="1" x14ac:dyDescent="0.2">
      <c r="A25" s="21"/>
      <c r="B25" s="22"/>
      <c r="C25" s="82"/>
      <c r="D25" s="82"/>
      <c r="E25" s="82"/>
      <c r="F25" s="83"/>
      <c r="G25" s="96"/>
    </row>
    <row r="26" spans="1:7" s="5" customFormat="1" ht="33" customHeight="1" x14ac:dyDescent="0.15">
      <c r="A26" s="1083" t="s">
        <v>53</v>
      </c>
      <c r="B26" s="1086" t="s">
        <v>54</v>
      </c>
      <c r="C26" s="1089" t="s">
        <v>50</v>
      </c>
      <c r="D26" s="1090"/>
      <c r="E26" s="485"/>
      <c r="F26" s="486"/>
      <c r="G26" s="97"/>
    </row>
    <row r="27" spans="1:7" s="4" customFormat="1" ht="33" customHeight="1" x14ac:dyDescent="0.15">
      <c r="A27" s="1084"/>
      <c r="B27" s="1087"/>
      <c r="C27" s="1091" t="s">
        <v>6</v>
      </c>
      <c r="D27" s="1093" t="s">
        <v>55</v>
      </c>
      <c r="E27" s="1094"/>
      <c r="F27" s="1095" t="s">
        <v>335</v>
      </c>
      <c r="G27" s="96"/>
    </row>
    <row r="28" spans="1:7" s="4" customFormat="1" ht="33" customHeight="1" thickBot="1" x14ac:dyDescent="0.2">
      <c r="A28" s="1085"/>
      <c r="B28" s="1088"/>
      <c r="C28" s="1092"/>
      <c r="D28" s="354" t="s">
        <v>98</v>
      </c>
      <c r="E28" s="487" t="s">
        <v>99</v>
      </c>
      <c r="F28" s="1096"/>
      <c r="G28" s="96"/>
    </row>
    <row r="29" spans="1:7" ht="33" customHeight="1" x14ac:dyDescent="0.15">
      <c r="A29" s="13"/>
      <c r="B29" s="14" t="s">
        <v>28</v>
      </c>
      <c r="C29" s="78"/>
      <c r="D29" s="78"/>
      <c r="E29" s="78"/>
      <c r="F29" s="79"/>
    </row>
    <row r="30" spans="1:7" ht="33" customHeight="1" x14ac:dyDescent="0.15">
      <c r="A30" s="15">
        <v>1</v>
      </c>
      <c r="B30" s="16" t="s">
        <v>29</v>
      </c>
      <c r="C30" s="24">
        <f>waiting!I14</f>
        <v>52656.75</v>
      </c>
      <c r="D30" s="24">
        <f>waiting!J14</f>
        <v>29411.050000000003</v>
      </c>
      <c r="E30" s="24">
        <f>waiting!K14</f>
        <v>0</v>
      </c>
      <c r="F30" s="80">
        <f>E30+D30</f>
        <v>29411.050000000003</v>
      </c>
    </row>
    <row r="31" spans="1:7" ht="33" customHeight="1" x14ac:dyDescent="0.15">
      <c r="A31" s="15">
        <v>2</v>
      </c>
      <c r="B31" s="16" t="s">
        <v>30</v>
      </c>
      <c r="C31" s="24">
        <f>waiting!I33</f>
        <v>157623.29999999999</v>
      </c>
      <c r="D31" s="24">
        <f>waiting!J33</f>
        <v>165527.18</v>
      </c>
      <c r="E31" s="24">
        <f>waiting!K33</f>
        <v>0</v>
      </c>
      <c r="F31" s="80">
        <f>E31+D31</f>
        <v>165527.18</v>
      </c>
    </row>
    <row r="32" spans="1:7" ht="33" customHeight="1" x14ac:dyDescent="0.15">
      <c r="A32" s="15">
        <v>3</v>
      </c>
      <c r="B32" s="16" t="s">
        <v>31</v>
      </c>
      <c r="C32" s="24">
        <f>waiting!I37</f>
        <v>86016</v>
      </c>
      <c r="D32" s="24">
        <f>waiting!J37</f>
        <v>35860.800000000003</v>
      </c>
      <c r="E32" s="24">
        <f>waiting!K37</f>
        <v>0</v>
      </c>
      <c r="F32" s="80">
        <f>E32+D32</f>
        <v>35860.800000000003</v>
      </c>
    </row>
    <row r="33" spans="1:7" ht="33" customHeight="1" x14ac:dyDescent="0.15">
      <c r="A33" s="117"/>
      <c r="B33" s="118" t="s">
        <v>32</v>
      </c>
      <c r="C33" s="119">
        <f>SUM(C30:C32)</f>
        <v>296296.05</v>
      </c>
      <c r="D33" s="119">
        <f>SUM(D30:D32)</f>
        <v>230799.02999999997</v>
      </c>
      <c r="E33" s="119">
        <f>SUM(E30:E32)</f>
        <v>0</v>
      </c>
      <c r="F33" s="119">
        <f>SUM(F30:F32)</f>
        <v>230799.02999999997</v>
      </c>
    </row>
    <row r="34" spans="1:7" ht="33" customHeight="1" x14ac:dyDescent="0.15">
      <c r="A34" s="95"/>
      <c r="B34" s="81" t="s">
        <v>82</v>
      </c>
      <c r="C34" s="74"/>
      <c r="D34" s="74"/>
      <c r="E34" s="74"/>
      <c r="F34" s="86"/>
    </row>
    <row r="35" spans="1:7" s="126" customFormat="1" ht="33" customHeight="1" x14ac:dyDescent="0.2">
      <c r="A35" s="128">
        <v>1</v>
      </c>
      <c r="B35" s="129" t="s">
        <v>30</v>
      </c>
      <c r="C35" s="130">
        <f>waiting!I60</f>
        <v>108328.70999999999</v>
      </c>
      <c r="D35" s="130">
        <f>waiting!J60</f>
        <v>65496.94</v>
      </c>
      <c r="E35" s="130">
        <f>waiting!K60</f>
        <v>1241.9099999999999</v>
      </c>
      <c r="F35" s="80">
        <f t="shared" ref="F35:F40" si="1">E35+D35</f>
        <v>66738.850000000006</v>
      </c>
      <c r="G35" s="127"/>
    </row>
    <row r="36" spans="1:7" s="126" customFormat="1" ht="33" customHeight="1" x14ac:dyDescent="0.2">
      <c r="A36" s="128">
        <v>2</v>
      </c>
      <c r="B36" s="129" t="s">
        <v>331</v>
      </c>
      <c r="C36" s="130">
        <f>waiting!I64</f>
        <v>46936.349999999991</v>
      </c>
      <c r="D36" s="130">
        <f>waiting!J64</f>
        <v>39895.25</v>
      </c>
      <c r="E36" s="130">
        <f>waiting!K64</f>
        <v>7337.7000000000007</v>
      </c>
      <c r="F36" s="80">
        <f t="shared" si="1"/>
        <v>47232.95</v>
      </c>
      <c r="G36" s="127"/>
    </row>
    <row r="37" spans="1:7" s="126" customFormat="1" ht="33" customHeight="1" x14ac:dyDescent="0.2">
      <c r="A37" s="132">
        <v>3</v>
      </c>
      <c r="B37" s="134" t="s">
        <v>175</v>
      </c>
      <c r="C37" s="122">
        <f>waiting!I68</f>
        <v>56034</v>
      </c>
      <c r="D37" s="122">
        <f>waiting!J68</f>
        <v>48213.549999999996</v>
      </c>
      <c r="E37" s="122">
        <f>waiting!K68</f>
        <v>7207.2</v>
      </c>
      <c r="F37" s="80">
        <f t="shared" si="1"/>
        <v>55420.749999999993</v>
      </c>
      <c r="G37" s="127"/>
    </row>
    <row r="38" spans="1:7" s="126" customFormat="1" ht="33" customHeight="1" x14ac:dyDescent="0.2">
      <c r="A38" s="132">
        <v>4</v>
      </c>
      <c r="B38" s="134" t="s">
        <v>288</v>
      </c>
      <c r="C38" s="122">
        <f>waiting!I76</f>
        <v>30372</v>
      </c>
      <c r="D38" s="122">
        <f>waiting!J76</f>
        <v>28659.079999999998</v>
      </c>
      <c r="E38" s="122">
        <f>waiting!K76</f>
        <v>0</v>
      </c>
      <c r="F38" s="80">
        <f t="shared" si="1"/>
        <v>28659.079999999998</v>
      </c>
      <c r="G38" s="127"/>
    </row>
    <row r="39" spans="1:7" s="126" customFormat="1" ht="33" customHeight="1" x14ac:dyDescent="0.2">
      <c r="A39" s="132">
        <v>5</v>
      </c>
      <c r="B39" s="134" t="s">
        <v>455</v>
      </c>
      <c r="C39" s="122">
        <f>waiting!I84</f>
        <v>20437.5</v>
      </c>
      <c r="D39" s="122">
        <f>waiting!J84</f>
        <v>7000</v>
      </c>
      <c r="E39" s="122">
        <f>waiting!K84</f>
        <v>14437.5</v>
      </c>
      <c r="F39" s="80">
        <f t="shared" si="1"/>
        <v>21437.5</v>
      </c>
      <c r="G39" s="127"/>
    </row>
    <row r="40" spans="1:7" s="126" customFormat="1" ht="33" customHeight="1" x14ac:dyDescent="0.2">
      <c r="A40" s="132">
        <v>6</v>
      </c>
      <c r="B40" s="134" t="s">
        <v>332</v>
      </c>
      <c r="C40" s="122">
        <f>waiting!I93</f>
        <v>173927.6</v>
      </c>
      <c r="D40" s="122">
        <f>waiting!J93</f>
        <v>48480.899999999994</v>
      </c>
      <c r="E40" s="122">
        <f>waiting!K93</f>
        <v>136634.1</v>
      </c>
      <c r="F40" s="80">
        <f t="shared" si="1"/>
        <v>185115</v>
      </c>
      <c r="G40" s="127"/>
    </row>
    <row r="41" spans="1:7" ht="33" customHeight="1" x14ac:dyDescent="0.15">
      <c r="A41" s="117"/>
      <c r="B41" s="118" t="s">
        <v>95</v>
      </c>
      <c r="C41" s="119">
        <f>SUM(C35:C40)</f>
        <v>436036.16000000003</v>
      </c>
      <c r="D41" s="119">
        <f>SUM(D35:D40)</f>
        <v>237745.71999999997</v>
      </c>
      <c r="E41" s="119">
        <f>SUM(E35:E40)</f>
        <v>166858.41</v>
      </c>
      <c r="F41" s="119">
        <f>SUM(F35:F40)</f>
        <v>404604.13</v>
      </c>
    </row>
    <row r="42" spans="1:7" ht="33" customHeight="1" thickBot="1" x14ac:dyDescent="0.2">
      <c r="A42" s="18"/>
      <c r="B42" s="19" t="s">
        <v>127</v>
      </c>
      <c r="C42" s="33">
        <f>C33+C41</f>
        <v>732332.21</v>
      </c>
      <c r="D42" s="33">
        <f>D33+D41</f>
        <v>468544.74999999994</v>
      </c>
      <c r="E42" s="33">
        <f>E33+E41</f>
        <v>166858.41</v>
      </c>
      <c r="F42" s="33">
        <f>F33+F41</f>
        <v>635403.15999999992</v>
      </c>
    </row>
    <row r="43" spans="1:7" ht="33" customHeight="1" x14ac:dyDescent="0.15">
      <c r="A43" s="25"/>
      <c r="B43" s="25"/>
      <c r="C43" s="84"/>
      <c r="D43" s="84"/>
      <c r="E43" s="84"/>
      <c r="F43" s="84"/>
    </row>
    <row r="44" spans="1:7" ht="33" customHeight="1" x14ac:dyDescent="0.15">
      <c r="A44" s="23" t="s">
        <v>33</v>
      </c>
      <c r="B44" s="23"/>
      <c r="C44" s="85"/>
      <c r="D44" s="85"/>
      <c r="E44" s="85"/>
      <c r="F44" s="85"/>
    </row>
    <row r="45" spans="1:7" ht="33" customHeight="1" x14ac:dyDescent="0.2">
      <c r="A45" s="23" t="s">
        <v>34</v>
      </c>
      <c r="B45" s="23"/>
      <c r="C45" s="144">
        <f>F42</f>
        <v>635403.15999999992</v>
      </c>
      <c r="D45" s="85"/>
      <c r="E45" s="85"/>
      <c r="F45" s="85"/>
    </row>
    <row r="46" spans="1:7" ht="33" customHeight="1" x14ac:dyDescent="0.15">
      <c r="A46" s="25"/>
      <c r="B46" s="25" t="s">
        <v>40</v>
      </c>
      <c r="C46" s="84"/>
      <c r="D46" s="84"/>
      <c r="E46" s="111" t="s">
        <v>41</v>
      </c>
      <c r="F46" s="84"/>
    </row>
    <row r="47" spans="1:7" ht="33" customHeight="1" x14ac:dyDescent="0.15">
      <c r="A47" s="23"/>
      <c r="B47" s="23"/>
      <c r="C47" s="85"/>
      <c r="D47" s="85"/>
      <c r="E47" s="85"/>
      <c r="F47" s="85"/>
    </row>
    <row r="48" spans="1:7" ht="33" customHeight="1" thickBot="1" x14ac:dyDescent="0.2">
      <c r="A48" s="1082" t="s">
        <v>56</v>
      </c>
      <c r="B48" s="1082"/>
      <c r="C48" s="1082"/>
      <c r="D48" s="1082"/>
      <c r="E48" s="1082"/>
      <c r="F48" s="1082"/>
    </row>
    <row r="49" spans="1:7" s="4" customFormat="1" ht="33" customHeight="1" thickBot="1" x14ac:dyDescent="0.2">
      <c r="A49" s="21"/>
      <c r="B49" s="22"/>
      <c r="C49" s="82"/>
      <c r="D49" s="82"/>
      <c r="E49" s="82"/>
      <c r="F49" s="83"/>
      <c r="G49" s="96"/>
    </row>
    <row r="50" spans="1:7" s="5" customFormat="1" ht="33" customHeight="1" x14ac:dyDescent="0.15">
      <c r="A50" s="1083" t="s">
        <v>53</v>
      </c>
      <c r="B50" s="1086" t="s">
        <v>54</v>
      </c>
      <c r="C50" s="1089" t="s">
        <v>50</v>
      </c>
      <c r="D50" s="1090"/>
      <c r="E50" s="485"/>
      <c r="F50" s="486"/>
      <c r="G50" s="97"/>
    </row>
    <row r="51" spans="1:7" s="4" customFormat="1" ht="33" customHeight="1" x14ac:dyDescent="0.15">
      <c r="A51" s="1084"/>
      <c r="B51" s="1087"/>
      <c r="C51" s="1091" t="s">
        <v>6</v>
      </c>
      <c r="D51" s="1093" t="s">
        <v>55</v>
      </c>
      <c r="E51" s="1094"/>
      <c r="F51" s="1095" t="s">
        <v>335</v>
      </c>
      <c r="G51" s="96"/>
    </row>
    <row r="52" spans="1:7" s="4" customFormat="1" ht="33" customHeight="1" thickBot="1" x14ac:dyDescent="0.2">
      <c r="A52" s="1085"/>
      <c r="B52" s="1088"/>
      <c r="C52" s="1092"/>
      <c r="D52" s="354" t="s">
        <v>98</v>
      </c>
      <c r="E52" s="487" t="s">
        <v>99</v>
      </c>
      <c r="F52" s="1096"/>
      <c r="G52" s="96"/>
    </row>
    <row r="53" spans="1:7" s="5" customFormat="1" ht="33" customHeight="1" x14ac:dyDescent="0.15">
      <c r="A53" s="26"/>
      <c r="B53" s="27" t="s">
        <v>28</v>
      </c>
      <c r="C53" s="24"/>
      <c r="D53" s="24"/>
      <c r="E53" s="24"/>
      <c r="F53" s="79"/>
      <c r="G53" s="97"/>
    </row>
    <row r="54" spans="1:7" s="4" customFormat="1" ht="33" customHeight="1" x14ac:dyDescent="0.15">
      <c r="A54" s="26">
        <v>1</v>
      </c>
      <c r="B54" s="16" t="s">
        <v>29</v>
      </c>
      <c r="C54" s="24">
        <f>'WORK MES OR'!I14</f>
        <v>199815</v>
      </c>
      <c r="D54" s="24">
        <f>'WORK MES OR'!J14</f>
        <v>133085.66999999998</v>
      </c>
      <c r="E54" s="24">
        <f>'WORK MES OR'!K14</f>
        <v>0</v>
      </c>
      <c r="F54" s="80">
        <f>E54+D54</f>
        <v>133085.66999999998</v>
      </c>
      <c r="G54" s="96"/>
    </row>
    <row r="55" spans="1:7" ht="33" customHeight="1" x14ac:dyDescent="0.15">
      <c r="A55" s="26">
        <v>2</v>
      </c>
      <c r="B55" s="16" t="s">
        <v>30</v>
      </c>
      <c r="C55" s="24">
        <f>'WORK MES OR'!I35</f>
        <v>629172</v>
      </c>
      <c r="D55" s="24">
        <f>'WORK MES OR'!J35</f>
        <v>602588.81000000006</v>
      </c>
      <c r="E55" s="24">
        <f>'WORK MES OR'!K35</f>
        <v>0</v>
      </c>
      <c r="F55" s="80">
        <f>E55+D55</f>
        <v>602588.81000000006</v>
      </c>
    </row>
    <row r="56" spans="1:7" ht="33" customHeight="1" x14ac:dyDescent="0.15">
      <c r="A56" s="26">
        <v>3</v>
      </c>
      <c r="B56" s="16" t="s">
        <v>31</v>
      </c>
      <c r="C56" s="24">
        <f>'WORK MES OR'!I39</f>
        <v>244800</v>
      </c>
      <c r="D56" s="24">
        <f>'WORK MES OR'!J39</f>
        <v>195472</v>
      </c>
      <c r="E56" s="24">
        <f>'WORK MES OR'!K39</f>
        <v>0</v>
      </c>
      <c r="F56" s="80">
        <f>E56+D56</f>
        <v>195472</v>
      </c>
    </row>
    <row r="57" spans="1:7" ht="33" customHeight="1" x14ac:dyDescent="0.15">
      <c r="A57" s="117"/>
      <c r="B57" s="118" t="s">
        <v>32</v>
      </c>
      <c r="C57" s="119">
        <f>SUM(C54:C56)</f>
        <v>1073787</v>
      </c>
      <c r="D57" s="119">
        <f>SUM(D54:D56)</f>
        <v>931146.48</v>
      </c>
      <c r="E57" s="119">
        <f>SUM(E54:E56)</f>
        <v>0</v>
      </c>
      <c r="F57" s="119">
        <f>SUM(F54:F56)</f>
        <v>931146.48</v>
      </c>
    </row>
    <row r="58" spans="1:7" ht="33" customHeight="1" x14ac:dyDescent="0.15">
      <c r="A58" s="73"/>
      <c r="B58" s="81" t="s">
        <v>82</v>
      </c>
      <c r="C58" s="74"/>
      <c r="D58" s="74"/>
      <c r="E58" s="74"/>
      <c r="F58" s="86"/>
    </row>
    <row r="59" spans="1:7" ht="33" customHeight="1" x14ac:dyDescent="0.2">
      <c r="A59" s="30">
        <v>1</v>
      </c>
      <c r="B59" s="129" t="s">
        <v>30</v>
      </c>
      <c r="C59" s="130">
        <f>'WORK MES OR'!I60</f>
        <v>224436</v>
      </c>
      <c r="D59" s="130">
        <f>'WORK MES OR'!J60</f>
        <v>224950.18</v>
      </c>
      <c r="E59" s="130">
        <f>'WORK MES OR'!K60</f>
        <v>0</v>
      </c>
      <c r="F59" s="930">
        <f>E59+D59</f>
        <v>224950.18</v>
      </c>
    </row>
    <row r="60" spans="1:7" s="126" customFormat="1" ht="27.75" customHeight="1" x14ac:dyDescent="0.2">
      <c r="A60" s="128">
        <v>2</v>
      </c>
      <c r="B60" s="129" t="s">
        <v>331</v>
      </c>
      <c r="C60" s="130">
        <f>'WORK MES OR'!I65</f>
        <v>381835</v>
      </c>
      <c r="D60" s="130">
        <f>'WORK MES OR'!J65</f>
        <v>337465.15</v>
      </c>
      <c r="E60" s="130">
        <f>'WORK MES OR'!K65</f>
        <v>0</v>
      </c>
      <c r="F60" s="80">
        <f>'WORK MES OR'!L65</f>
        <v>337465.15</v>
      </c>
      <c r="G60" s="127"/>
    </row>
    <row r="61" spans="1:7" s="126" customFormat="1" ht="27.75" customHeight="1" x14ac:dyDescent="0.2">
      <c r="A61" s="132">
        <v>3</v>
      </c>
      <c r="B61" s="134" t="s">
        <v>175</v>
      </c>
      <c r="C61" s="122">
        <f>'WORK MES OR'!I69</f>
        <v>214700</v>
      </c>
      <c r="D61" s="122">
        <f>'WORK MES OR'!J69</f>
        <v>192650.85</v>
      </c>
      <c r="E61" s="122">
        <f>'WORK MES OR'!K69</f>
        <v>16275.6</v>
      </c>
      <c r="F61" s="80">
        <f>E61+D61</f>
        <v>208926.45</v>
      </c>
      <c r="G61" s="127"/>
    </row>
    <row r="62" spans="1:7" s="126" customFormat="1" ht="27.75" customHeight="1" x14ac:dyDescent="0.2">
      <c r="A62" s="132">
        <v>4</v>
      </c>
      <c r="B62" s="134" t="s">
        <v>288</v>
      </c>
      <c r="C62" s="122">
        <f>'WORK MES OR'!I77</f>
        <v>98262.14</v>
      </c>
      <c r="D62" s="122">
        <f>'WORK MES OR'!J77</f>
        <v>103345.95999999999</v>
      </c>
      <c r="E62" s="122">
        <f>'WORK MES OR'!K77</f>
        <v>11509.199999999999</v>
      </c>
      <c r="F62" s="80">
        <f>E62+D62</f>
        <v>114855.15999999999</v>
      </c>
      <c r="G62" s="127"/>
    </row>
    <row r="63" spans="1:7" s="126" customFormat="1" ht="27.75" customHeight="1" x14ac:dyDescent="0.2">
      <c r="A63" s="132">
        <v>5</v>
      </c>
      <c r="B63" s="134" t="s">
        <v>361</v>
      </c>
      <c r="C63" s="122">
        <f>'WORK MES OR'!I92</f>
        <v>88075</v>
      </c>
      <c r="D63" s="122">
        <f>'WORK MES OR'!J92</f>
        <v>80375</v>
      </c>
      <c r="E63" s="122">
        <f>'WORK MES OR'!K92</f>
        <v>13500</v>
      </c>
      <c r="F63" s="80">
        <f>E63+D63</f>
        <v>93875</v>
      </c>
      <c r="G63" s="127"/>
    </row>
    <row r="64" spans="1:7" s="126" customFormat="1" ht="27.75" customHeight="1" x14ac:dyDescent="0.2">
      <c r="A64" s="132">
        <v>6</v>
      </c>
      <c r="B64" s="134" t="s">
        <v>332</v>
      </c>
      <c r="C64" s="122">
        <f>'WORK MES OR'!I103</f>
        <v>1016095</v>
      </c>
      <c r="D64" s="122">
        <f>'WORK MES OR'!J103</f>
        <v>437517.74999999994</v>
      </c>
      <c r="E64" s="122">
        <f>'WORK MES OR'!K103</f>
        <v>425239.2</v>
      </c>
      <c r="F64" s="80">
        <f>E64+D64</f>
        <v>862756.95</v>
      </c>
      <c r="G64" s="127"/>
    </row>
    <row r="65" spans="1:7" ht="27.75" customHeight="1" x14ac:dyDescent="0.15">
      <c r="A65" s="117"/>
      <c r="B65" s="118" t="s">
        <v>95</v>
      </c>
      <c r="C65" s="119">
        <f>SUM(C58:C64)</f>
        <v>2023403.1400000001</v>
      </c>
      <c r="D65" s="119">
        <f>SUM(D58:D64)</f>
        <v>1376304.89</v>
      </c>
      <c r="E65" s="119">
        <f>SUM(E58:E64)</f>
        <v>466524</v>
      </c>
      <c r="F65" s="119">
        <v>1376304.89</v>
      </c>
    </row>
    <row r="66" spans="1:7" ht="33" customHeight="1" thickBot="1" x14ac:dyDescent="0.2">
      <c r="A66" s="92"/>
      <c r="B66" s="93" t="s">
        <v>96</v>
      </c>
      <c r="C66" s="94">
        <f>C65+C57</f>
        <v>3097190.14</v>
      </c>
      <c r="D66" s="94">
        <f>D65+D57</f>
        <v>2307451.37</v>
      </c>
      <c r="E66" s="94">
        <f>E65+E57</f>
        <v>466524</v>
      </c>
      <c r="F66" s="94">
        <f>F65+F57</f>
        <v>2307451.37</v>
      </c>
    </row>
    <row r="67" spans="1:7" ht="33" customHeight="1" x14ac:dyDescent="0.15">
      <c r="A67" s="23" t="s">
        <v>33</v>
      </c>
      <c r="B67" s="23"/>
      <c r="C67" s="85"/>
      <c r="D67" s="85"/>
      <c r="E67" s="85"/>
      <c r="F67" s="85"/>
    </row>
    <row r="68" spans="1:7" ht="33" customHeight="1" x14ac:dyDescent="0.2">
      <c r="A68" s="23" t="s">
        <v>34</v>
      </c>
      <c r="B68" s="23"/>
      <c r="C68" s="144">
        <f>F66</f>
        <v>2307451.37</v>
      </c>
      <c r="D68" s="87"/>
      <c r="E68" s="87"/>
      <c r="F68" s="85"/>
    </row>
    <row r="69" spans="1:7" ht="33" customHeight="1" x14ac:dyDescent="0.15">
      <c r="A69" s="25"/>
      <c r="B69" s="25" t="s">
        <v>40</v>
      </c>
      <c r="C69" s="84"/>
      <c r="D69" s="84"/>
      <c r="E69" s="111" t="s">
        <v>41</v>
      </c>
      <c r="F69" s="84"/>
    </row>
    <row r="70" spans="1:7" ht="33" customHeight="1" x14ac:dyDescent="0.15">
      <c r="A70" s="25"/>
      <c r="B70" s="25"/>
      <c r="C70" s="84"/>
      <c r="D70" s="84"/>
      <c r="E70" s="84"/>
      <c r="F70" s="84"/>
    </row>
    <row r="71" spans="1:7" ht="33" customHeight="1" thickBot="1" x14ac:dyDescent="0.2">
      <c r="A71" s="1082" t="s">
        <v>57</v>
      </c>
      <c r="B71" s="1082"/>
      <c r="C71" s="1082"/>
      <c r="D71" s="1082"/>
      <c r="E71" s="1082"/>
      <c r="F71" s="1082"/>
    </row>
    <row r="72" spans="1:7" s="4" customFormat="1" ht="33" customHeight="1" thickBot="1" x14ac:dyDescent="0.2">
      <c r="A72" s="21"/>
      <c r="B72" s="22"/>
      <c r="C72" s="82"/>
      <c r="D72" s="82"/>
      <c r="E72" s="82"/>
      <c r="F72" s="83"/>
      <c r="G72" s="96"/>
    </row>
    <row r="73" spans="1:7" s="5" customFormat="1" ht="33" customHeight="1" x14ac:dyDescent="0.15">
      <c r="A73" s="1083" t="s">
        <v>53</v>
      </c>
      <c r="B73" s="1086" t="s">
        <v>54</v>
      </c>
      <c r="C73" s="1089" t="s">
        <v>50</v>
      </c>
      <c r="D73" s="1090"/>
      <c r="E73" s="485"/>
      <c r="F73" s="486"/>
      <c r="G73" s="97"/>
    </row>
    <row r="74" spans="1:7" s="4" customFormat="1" ht="33" customHeight="1" x14ac:dyDescent="0.15">
      <c r="A74" s="1084"/>
      <c r="B74" s="1087"/>
      <c r="C74" s="1091" t="s">
        <v>6</v>
      </c>
      <c r="D74" s="1093" t="s">
        <v>55</v>
      </c>
      <c r="E74" s="1094"/>
      <c r="F74" s="1095" t="s">
        <v>335</v>
      </c>
      <c r="G74" s="96"/>
    </row>
    <row r="75" spans="1:7" s="4" customFormat="1" ht="33" customHeight="1" thickBot="1" x14ac:dyDescent="0.2">
      <c r="A75" s="1085"/>
      <c r="B75" s="1088"/>
      <c r="C75" s="1092"/>
      <c r="D75" s="354" t="s">
        <v>98</v>
      </c>
      <c r="E75" s="487" t="s">
        <v>99</v>
      </c>
      <c r="F75" s="1096"/>
      <c r="G75" s="96"/>
    </row>
    <row r="76" spans="1:7" s="5" customFormat="1" ht="33" customHeight="1" x14ac:dyDescent="0.15">
      <c r="A76" s="26"/>
      <c r="B76" s="27" t="s">
        <v>28</v>
      </c>
      <c r="C76" s="24"/>
      <c r="D76" s="24"/>
      <c r="E76" s="24"/>
      <c r="F76" s="79"/>
      <c r="G76" s="97"/>
    </row>
    <row r="77" spans="1:7" s="123" customFormat="1" ht="33" customHeight="1" x14ac:dyDescent="0.2">
      <c r="A77" s="120">
        <v>1</v>
      </c>
      <c r="B77" s="121" t="s">
        <v>29</v>
      </c>
      <c r="C77" s="122">
        <f>'WORK MES IPD'!I14</f>
        <v>239270</v>
      </c>
      <c r="D77" s="122">
        <f>'WORK MES IPD'!J14</f>
        <v>136319.67999999999</v>
      </c>
      <c r="E77" s="122">
        <f>'WORK MES IPD'!K14</f>
        <v>0</v>
      </c>
      <c r="F77" s="133">
        <f>E77+D77</f>
        <v>136319.67999999999</v>
      </c>
      <c r="G77" s="124"/>
    </row>
    <row r="78" spans="1:7" s="126" customFormat="1" ht="33" customHeight="1" x14ac:dyDescent="0.2">
      <c r="A78" s="120">
        <v>2</v>
      </c>
      <c r="B78" s="121" t="s">
        <v>30</v>
      </c>
      <c r="C78" s="122">
        <f>'WORK MES IPD'!I34</f>
        <v>607415</v>
      </c>
      <c r="D78" s="122">
        <f>'WORK MES IPD'!J34</f>
        <v>692481.42</v>
      </c>
      <c r="E78" s="122">
        <f>'WORK MES IPD'!K34</f>
        <v>0</v>
      </c>
      <c r="F78" s="133">
        <f>E78+D78</f>
        <v>692481.42</v>
      </c>
      <c r="G78" s="127"/>
    </row>
    <row r="79" spans="1:7" s="126" customFormat="1" ht="33" customHeight="1" x14ac:dyDescent="0.2">
      <c r="A79" s="120">
        <v>3</v>
      </c>
      <c r="B79" s="121" t="s">
        <v>31</v>
      </c>
      <c r="C79" s="122">
        <f>'WORK MES IPD'!I38</f>
        <v>85760</v>
      </c>
      <c r="D79" s="122">
        <f>'WORK MES IPD'!J38</f>
        <v>209217.59999999998</v>
      </c>
      <c r="E79" s="122">
        <f>'WORK MES IPD'!K38</f>
        <v>0</v>
      </c>
      <c r="F79" s="133">
        <f>E79+D79</f>
        <v>209217.59999999998</v>
      </c>
      <c r="G79" s="127"/>
    </row>
    <row r="80" spans="1:7" ht="33" customHeight="1" x14ac:dyDescent="0.15">
      <c r="A80" s="117"/>
      <c r="B80" s="118" t="s">
        <v>32</v>
      </c>
      <c r="C80" s="119">
        <f>SUM(C77:C79)</f>
        <v>932445</v>
      </c>
      <c r="D80" s="119">
        <f>SUM(D77:D79)</f>
        <v>1038018.7000000001</v>
      </c>
      <c r="E80" s="119">
        <f>SUM(E77:E79)</f>
        <v>0</v>
      </c>
      <c r="F80" s="119">
        <f>SUM(F77:F79)</f>
        <v>1038018.7000000001</v>
      </c>
    </row>
    <row r="81" spans="1:7" ht="33" customHeight="1" x14ac:dyDescent="0.15">
      <c r="A81" s="95"/>
      <c r="B81" s="81" t="s">
        <v>82</v>
      </c>
      <c r="C81" s="74"/>
      <c r="D81" s="74"/>
      <c r="E81" s="74"/>
      <c r="F81" s="86"/>
    </row>
    <row r="82" spans="1:7" s="126" customFormat="1" ht="25.5" customHeight="1" x14ac:dyDescent="0.2">
      <c r="A82" s="128">
        <v>1</v>
      </c>
      <c r="B82" s="129" t="s">
        <v>30</v>
      </c>
      <c r="C82" s="130">
        <f>'WORK MES IPD'!I60</f>
        <v>233945</v>
      </c>
      <c r="D82" s="130">
        <f>'WORK MES IPD'!J60</f>
        <v>210514.37999999998</v>
      </c>
      <c r="E82" s="130">
        <f>'WORK MES IPD'!K60</f>
        <v>2784.6</v>
      </c>
      <c r="F82" s="133">
        <f>E82+D82</f>
        <v>213298.97999999998</v>
      </c>
      <c r="G82" s="127"/>
    </row>
    <row r="83" spans="1:7" s="126" customFormat="1" ht="25.5" customHeight="1" x14ac:dyDescent="0.2">
      <c r="A83" s="128">
        <v>2</v>
      </c>
      <c r="B83" s="129" t="s">
        <v>331</v>
      </c>
      <c r="C83" s="130">
        <f>'WORK MES IPD'!I66</f>
        <v>333780</v>
      </c>
      <c r="D83" s="130">
        <f>'WORK MES IPD'!J66</f>
        <v>282421.55000000005</v>
      </c>
      <c r="E83" s="130">
        <f>'WORK MES IPD'!K66</f>
        <v>0</v>
      </c>
      <c r="F83" s="133">
        <f>E83+D83</f>
        <v>282421.55000000005</v>
      </c>
      <c r="G83" s="127"/>
    </row>
    <row r="84" spans="1:7" s="126" customFormat="1" ht="25.5" customHeight="1" x14ac:dyDescent="0.2">
      <c r="A84" s="132">
        <v>3</v>
      </c>
      <c r="B84" s="134" t="s">
        <v>175</v>
      </c>
      <c r="C84" s="122">
        <f>'WORK MES IPD'!I70</f>
        <v>213725</v>
      </c>
      <c r="D84" s="122">
        <f>'WORK MES IPD'!J70</f>
        <v>185246.95</v>
      </c>
      <c r="E84" s="122">
        <f>'WORK MES IPD'!K70</f>
        <v>15378.000000000002</v>
      </c>
      <c r="F84" s="133">
        <f>E84+D84</f>
        <v>200624.95</v>
      </c>
      <c r="G84" s="127"/>
    </row>
    <row r="85" spans="1:7" s="126" customFormat="1" ht="25.5" customHeight="1" x14ac:dyDescent="0.2">
      <c r="A85" s="132">
        <v>4</v>
      </c>
      <c r="B85" s="134" t="s">
        <v>288</v>
      </c>
      <c r="C85" s="122">
        <f>'WORK MES IPD'!I78</f>
        <v>90110</v>
      </c>
      <c r="D85" s="122">
        <f>'WORK MES IPD'!J78</f>
        <v>85519.62</v>
      </c>
      <c r="E85" s="122">
        <f>'WORK MES IPD'!K78</f>
        <v>11196.4</v>
      </c>
      <c r="F85" s="133">
        <f>E85+D85</f>
        <v>96716.01999999999</v>
      </c>
      <c r="G85" s="127"/>
    </row>
    <row r="86" spans="1:7" s="126" customFormat="1" ht="25.5" customHeight="1" x14ac:dyDescent="0.2">
      <c r="A86" s="132">
        <v>5</v>
      </c>
      <c r="B86" s="134" t="s">
        <v>361</v>
      </c>
      <c r="C86" s="122">
        <f>'WORK MES IPD'!I97</f>
        <v>117412.5</v>
      </c>
      <c r="D86" s="122">
        <f>'WORK MES IPD'!J97</f>
        <v>71075</v>
      </c>
      <c r="E86" s="122">
        <f>'WORK MES IPD'!K97</f>
        <v>0</v>
      </c>
      <c r="F86" s="133">
        <f>E86+D86</f>
        <v>71075</v>
      </c>
      <c r="G86" s="127"/>
    </row>
    <row r="87" spans="1:7" s="126" customFormat="1" ht="33" customHeight="1" x14ac:dyDescent="0.2">
      <c r="A87" s="132">
        <v>6</v>
      </c>
      <c r="B87" s="134" t="s">
        <v>332</v>
      </c>
      <c r="C87" s="122">
        <f>'WORK MES IPD'!I107</f>
        <v>754985</v>
      </c>
      <c r="D87" s="122">
        <f>'WORK MES IPD'!J107</f>
        <v>266653.65000000002</v>
      </c>
      <c r="E87" s="122">
        <f>'WORK MES IPD'!K107</f>
        <v>478358.5</v>
      </c>
      <c r="F87" s="133">
        <f>'WORK MES IPD'!L107</f>
        <v>745012.15</v>
      </c>
      <c r="G87" s="127"/>
    </row>
    <row r="88" spans="1:7" ht="33" customHeight="1" x14ac:dyDescent="0.15">
      <c r="A88" s="117"/>
      <c r="B88" s="118" t="s">
        <v>95</v>
      </c>
      <c r="C88" s="119">
        <f>SUM(C82:C87)</f>
        <v>1743957.5</v>
      </c>
      <c r="D88" s="119">
        <f>SUM(D82:D87)</f>
        <v>1101431.1500000001</v>
      </c>
      <c r="E88" s="119">
        <f>SUM(E82:E87)</f>
        <v>507717.5</v>
      </c>
      <c r="F88" s="119">
        <f>SUM(F82:F87)</f>
        <v>1609148.65</v>
      </c>
    </row>
    <row r="89" spans="1:7" ht="33" customHeight="1" thickBot="1" x14ac:dyDescent="0.2">
      <c r="A89" s="92"/>
      <c r="B89" s="93" t="s">
        <v>230</v>
      </c>
      <c r="C89" s="94">
        <f>C88+C80</f>
        <v>2676402.5</v>
      </c>
      <c r="D89" s="94">
        <f>D88+D80</f>
        <v>2139449.85</v>
      </c>
      <c r="E89" s="94">
        <f>E88+E80</f>
        <v>507717.5</v>
      </c>
      <c r="F89" s="94">
        <f>F88+F80</f>
        <v>2647167.35</v>
      </c>
    </row>
    <row r="90" spans="1:7" ht="33" customHeight="1" x14ac:dyDescent="0.15">
      <c r="A90" s="23" t="s">
        <v>33</v>
      </c>
      <c r="B90" s="23"/>
      <c r="C90" s="85"/>
      <c r="D90" s="85"/>
      <c r="E90" s="85"/>
      <c r="F90" s="85"/>
    </row>
    <row r="91" spans="1:7" ht="33" customHeight="1" x14ac:dyDescent="0.2">
      <c r="A91" s="23" t="s">
        <v>34</v>
      </c>
      <c r="B91" s="23"/>
      <c r="C91" s="144">
        <f>F89</f>
        <v>2647167.35</v>
      </c>
      <c r="D91" s="85"/>
      <c r="E91" s="85"/>
      <c r="F91" s="85"/>
    </row>
    <row r="92" spans="1:7" ht="33" customHeight="1" x14ac:dyDescent="0.15">
      <c r="A92" s="25"/>
      <c r="B92" s="25" t="s">
        <v>40</v>
      </c>
      <c r="C92" s="84"/>
      <c r="D92" s="84"/>
      <c r="E92" s="111" t="s">
        <v>41</v>
      </c>
      <c r="F92" s="84"/>
    </row>
    <row r="93" spans="1:7" ht="33" customHeight="1" x14ac:dyDescent="0.15">
      <c r="A93" s="23"/>
      <c r="B93" s="23"/>
      <c r="C93" s="87"/>
      <c r="D93" s="85"/>
      <c r="E93" s="85"/>
      <c r="F93" s="85"/>
    </row>
    <row r="94" spans="1:7" ht="33" customHeight="1" thickBot="1" x14ac:dyDescent="0.2">
      <c r="A94" s="1097" t="s">
        <v>58</v>
      </c>
      <c r="B94" s="1097"/>
      <c r="C94" s="1097"/>
      <c r="D94" s="1097"/>
      <c r="E94" s="1097"/>
      <c r="F94" s="1097"/>
    </row>
    <row r="95" spans="1:7" s="4" customFormat="1" ht="33" customHeight="1" thickBot="1" x14ac:dyDescent="0.2">
      <c r="A95" s="21"/>
      <c r="B95" s="22"/>
      <c r="C95" s="82"/>
      <c r="D95" s="82"/>
      <c r="E95" s="82"/>
      <c r="F95" s="83"/>
      <c r="G95" s="96"/>
    </row>
    <row r="96" spans="1:7" s="5" customFormat="1" ht="33" customHeight="1" x14ac:dyDescent="0.15">
      <c r="A96" s="1083" t="s">
        <v>53</v>
      </c>
      <c r="B96" s="1086" t="s">
        <v>54</v>
      </c>
      <c r="C96" s="1089" t="s">
        <v>50</v>
      </c>
      <c r="D96" s="1090"/>
      <c r="E96" s="485"/>
      <c r="F96" s="486"/>
      <c r="G96" s="97"/>
    </row>
    <row r="97" spans="1:7" s="4" customFormat="1" ht="33" customHeight="1" x14ac:dyDescent="0.15">
      <c r="A97" s="1084"/>
      <c r="B97" s="1087"/>
      <c r="C97" s="1091" t="s">
        <v>6</v>
      </c>
      <c r="D97" s="1093" t="s">
        <v>55</v>
      </c>
      <c r="E97" s="1094"/>
      <c r="F97" s="1095" t="s">
        <v>335</v>
      </c>
      <c r="G97" s="96"/>
    </row>
    <row r="98" spans="1:7" s="4" customFormat="1" ht="33" customHeight="1" thickBot="1" x14ac:dyDescent="0.2">
      <c r="A98" s="1085"/>
      <c r="B98" s="1088"/>
      <c r="C98" s="1092"/>
      <c r="D98" s="354" t="s">
        <v>98</v>
      </c>
      <c r="E98" s="487" t="s">
        <v>99</v>
      </c>
      <c r="F98" s="1096"/>
      <c r="G98" s="96"/>
    </row>
    <row r="99" spans="1:7" s="5" customFormat="1" ht="33" customHeight="1" x14ac:dyDescent="0.15">
      <c r="A99" s="13"/>
      <c r="B99" s="14" t="s">
        <v>28</v>
      </c>
      <c r="C99" s="78"/>
      <c r="D99" s="78"/>
      <c r="E99" s="78"/>
      <c r="F99" s="79"/>
      <c r="G99" s="97"/>
    </row>
    <row r="100" spans="1:7" s="123" customFormat="1" ht="33" customHeight="1" x14ac:dyDescent="0.2">
      <c r="A100" s="132">
        <v>1</v>
      </c>
      <c r="B100" s="121" t="s">
        <v>29</v>
      </c>
      <c r="C100" s="122">
        <f>EMERGENCY!I14</f>
        <v>107444.9</v>
      </c>
      <c r="D100" s="122">
        <f>EMERGENCY!J14</f>
        <v>47146.76</v>
      </c>
      <c r="E100" s="122">
        <f>EMERGENCY!K14</f>
        <v>0</v>
      </c>
      <c r="F100" s="133">
        <f>E100+D100</f>
        <v>47146.76</v>
      </c>
      <c r="G100" s="124"/>
    </row>
    <row r="101" spans="1:7" s="126" customFormat="1" ht="33" customHeight="1" x14ac:dyDescent="0.2">
      <c r="A101" s="132">
        <v>2</v>
      </c>
      <c r="B101" s="121" t="s">
        <v>30</v>
      </c>
      <c r="C101" s="122">
        <f>EMERGENCY!I33</f>
        <v>450423.8</v>
      </c>
      <c r="D101" s="122">
        <f>EMERGENCY!J33</f>
        <v>273830.71000000002</v>
      </c>
      <c r="E101" s="122">
        <f>EMERGENCY!K33</f>
        <v>0</v>
      </c>
      <c r="F101" s="133">
        <f>E101+D101</f>
        <v>273830.71000000002</v>
      </c>
      <c r="G101" s="127"/>
    </row>
    <row r="102" spans="1:7" s="126" customFormat="1" ht="33" customHeight="1" x14ac:dyDescent="0.2">
      <c r="A102" s="134">
        <v>3</v>
      </c>
      <c r="B102" s="121" t="s">
        <v>31</v>
      </c>
      <c r="C102" s="122">
        <f>EMERGENCY!I37</f>
        <v>127760</v>
      </c>
      <c r="D102" s="122">
        <f>EMERGENCY!J37</f>
        <v>69541.600000000006</v>
      </c>
      <c r="E102" s="122">
        <f>EMERGENCY!K37</f>
        <v>0</v>
      </c>
      <c r="F102" s="133">
        <f>E102+D102</f>
        <v>69541.600000000006</v>
      </c>
      <c r="G102" s="127"/>
    </row>
    <row r="103" spans="1:7" ht="33" customHeight="1" x14ac:dyDescent="0.15">
      <c r="A103" s="117"/>
      <c r="B103" s="118" t="s">
        <v>32</v>
      </c>
      <c r="C103" s="119">
        <f>SUM(C100:C102)</f>
        <v>685628.7</v>
      </c>
      <c r="D103" s="119">
        <f>SUM(D100:D102)</f>
        <v>390519.07000000007</v>
      </c>
      <c r="E103" s="119">
        <f>SUM(E100:E102)</f>
        <v>0</v>
      </c>
      <c r="F103" s="119">
        <f>SUM(F100:F102)</f>
        <v>390519.07000000007</v>
      </c>
    </row>
    <row r="104" spans="1:7" ht="25.5" customHeight="1" x14ac:dyDescent="0.15">
      <c r="A104" s="95"/>
      <c r="B104" s="81" t="s">
        <v>82</v>
      </c>
      <c r="C104" s="74"/>
      <c r="D104" s="74"/>
      <c r="E104" s="74"/>
      <c r="F104" s="86"/>
    </row>
    <row r="105" spans="1:7" s="126" customFormat="1" ht="25.5" customHeight="1" x14ac:dyDescent="0.2">
      <c r="A105" s="128">
        <v>1</v>
      </c>
      <c r="B105" s="129" t="s">
        <v>30</v>
      </c>
      <c r="C105" s="130">
        <f>EMERGENCY!I58</f>
        <v>165396</v>
      </c>
      <c r="D105" s="130">
        <f>EMERGENCY!J58</f>
        <v>92483.05</v>
      </c>
      <c r="E105" s="130">
        <f>EMERGENCY!K58</f>
        <v>4533.2000000000007</v>
      </c>
      <c r="F105" s="133">
        <f t="shared" ref="F105:F110" si="2">E105+D105</f>
        <v>97016.25</v>
      </c>
      <c r="G105" s="127"/>
    </row>
    <row r="106" spans="1:7" s="126" customFormat="1" ht="25.5" customHeight="1" x14ac:dyDescent="0.2">
      <c r="A106" s="128">
        <v>2</v>
      </c>
      <c r="B106" s="129" t="s">
        <v>331</v>
      </c>
      <c r="C106" s="130">
        <f>EMERGENCY!I63</f>
        <v>161175</v>
      </c>
      <c r="D106" s="130">
        <f>EMERGENCY!J63</f>
        <v>117117.15</v>
      </c>
      <c r="E106" s="130">
        <f>EMERGENCY!K63</f>
        <v>0</v>
      </c>
      <c r="F106" s="133">
        <f t="shared" si="2"/>
        <v>117117.15</v>
      </c>
      <c r="G106" s="127"/>
    </row>
    <row r="107" spans="1:7" s="126" customFormat="1" ht="25.5" customHeight="1" x14ac:dyDescent="0.2">
      <c r="A107" s="132">
        <v>3</v>
      </c>
      <c r="B107" s="134" t="s">
        <v>175</v>
      </c>
      <c r="C107" s="122">
        <f>EMERGENCY!I67</f>
        <v>106610</v>
      </c>
      <c r="D107" s="122">
        <f>EMERGENCY!J67</f>
        <v>89750.849999999991</v>
      </c>
      <c r="E107" s="122">
        <f>EMERGENCY!K67</f>
        <v>10597.4</v>
      </c>
      <c r="F107" s="133">
        <f t="shared" si="2"/>
        <v>100348.24999999999</v>
      </c>
      <c r="G107" s="127"/>
    </row>
    <row r="108" spans="1:7" s="126" customFormat="1" ht="25.5" customHeight="1" x14ac:dyDescent="0.2">
      <c r="A108" s="132">
        <v>4</v>
      </c>
      <c r="B108" s="134" t="s">
        <v>288</v>
      </c>
      <c r="C108" s="122">
        <f>EMERGENCY!I75</f>
        <v>50826</v>
      </c>
      <c r="D108" s="122">
        <f>EMERGENCY!J75</f>
        <v>43371.960000000006</v>
      </c>
      <c r="E108" s="122">
        <f>EMERGENCY!K75</f>
        <v>6982.8</v>
      </c>
      <c r="F108" s="133">
        <f t="shared" si="2"/>
        <v>50354.760000000009</v>
      </c>
      <c r="G108" s="127"/>
    </row>
    <row r="109" spans="1:7" s="126" customFormat="1" ht="25.5" customHeight="1" x14ac:dyDescent="0.2">
      <c r="A109" s="132">
        <v>5</v>
      </c>
      <c r="B109" s="134" t="s">
        <v>361</v>
      </c>
      <c r="C109" s="122">
        <f>EMERGENCY!I92</f>
        <v>57586</v>
      </c>
      <c r="D109" s="122">
        <f>EMERGENCY!J92</f>
        <v>41012</v>
      </c>
      <c r="E109" s="122">
        <f>EMERGENCY!K92</f>
        <v>14174</v>
      </c>
      <c r="F109" s="133">
        <f t="shared" si="2"/>
        <v>55186</v>
      </c>
      <c r="G109" s="127"/>
    </row>
    <row r="110" spans="1:7" s="126" customFormat="1" ht="25.5" customHeight="1" x14ac:dyDescent="0.2">
      <c r="A110" s="132">
        <v>6</v>
      </c>
      <c r="B110" s="134" t="s">
        <v>332</v>
      </c>
      <c r="C110" s="122">
        <f>EMERGENCY!I102</f>
        <v>433140.4</v>
      </c>
      <c r="D110" s="122">
        <f>EMERGENCY!J102</f>
        <v>73082.7</v>
      </c>
      <c r="E110" s="122">
        <f>EMERGENCY!K102</f>
        <v>215060.2</v>
      </c>
      <c r="F110" s="133">
        <f t="shared" si="2"/>
        <v>288142.90000000002</v>
      </c>
      <c r="G110" s="127"/>
    </row>
    <row r="111" spans="1:7" ht="33" customHeight="1" x14ac:dyDescent="0.15">
      <c r="A111" s="117"/>
      <c r="B111" s="118" t="s">
        <v>95</v>
      </c>
      <c r="C111" s="119">
        <f>SUM(C105:C110)</f>
        <v>974733.4</v>
      </c>
      <c r="D111" s="119">
        <f>SUM(D105:D110)</f>
        <v>456817.71</v>
      </c>
      <c r="E111" s="119">
        <f>SUM(E105:E110)</f>
        <v>251347.6</v>
      </c>
      <c r="F111" s="119">
        <v>456818.21</v>
      </c>
    </row>
    <row r="112" spans="1:7" ht="27.75" customHeight="1" thickBot="1" x14ac:dyDescent="0.2">
      <c r="A112" s="92"/>
      <c r="B112" s="93" t="s">
        <v>230</v>
      </c>
      <c r="C112" s="94">
        <f>C111+C103</f>
        <v>1660362.1</v>
      </c>
      <c r="D112" s="94">
        <f>D111+D103</f>
        <v>847336.78</v>
      </c>
      <c r="E112" s="94">
        <f>E111+E103</f>
        <v>251347.6</v>
      </c>
      <c r="F112" s="94">
        <f>F111+F103</f>
        <v>847337.28</v>
      </c>
    </row>
    <row r="113" spans="1:7" ht="33" customHeight="1" x14ac:dyDescent="0.15">
      <c r="A113" s="25"/>
      <c r="B113" s="25"/>
      <c r="C113" s="84"/>
      <c r="D113" s="84"/>
      <c r="E113" s="84"/>
      <c r="F113" s="84"/>
    </row>
    <row r="114" spans="1:7" ht="33" customHeight="1" x14ac:dyDescent="0.15">
      <c r="A114" s="23" t="s">
        <v>33</v>
      </c>
      <c r="B114" s="23"/>
      <c r="C114" s="85"/>
      <c r="D114" s="85"/>
      <c r="E114" s="85"/>
      <c r="F114" s="85"/>
    </row>
    <row r="115" spans="1:7" ht="33" customHeight="1" x14ac:dyDescent="0.2">
      <c r="A115" s="23" t="s">
        <v>34</v>
      </c>
      <c r="B115" s="23"/>
      <c r="C115" s="144">
        <f>F112</f>
        <v>847337.28</v>
      </c>
      <c r="D115" s="85"/>
      <c r="E115" s="85"/>
      <c r="F115" s="85"/>
    </row>
    <row r="116" spans="1:7" ht="33" customHeight="1" x14ac:dyDescent="0.15">
      <c r="A116" s="25"/>
      <c r="B116" s="25"/>
      <c r="C116" s="84"/>
      <c r="D116" s="84"/>
      <c r="E116" s="84"/>
      <c r="F116" s="84"/>
    </row>
    <row r="117" spans="1:7" ht="33" customHeight="1" x14ac:dyDescent="0.15">
      <c r="A117" s="25"/>
      <c r="B117" s="25" t="s">
        <v>40</v>
      </c>
      <c r="C117" s="84"/>
      <c r="D117" s="84"/>
      <c r="E117" s="111" t="s">
        <v>41</v>
      </c>
      <c r="F117" s="84"/>
    </row>
    <row r="118" spans="1:7" ht="33" customHeight="1" x14ac:dyDescent="0.15">
      <c r="A118" s="25"/>
      <c r="B118" s="25"/>
      <c r="C118" s="84"/>
      <c r="D118" s="84"/>
      <c r="E118" s="84"/>
      <c r="F118" s="84"/>
    </row>
    <row r="119" spans="1:7" ht="33" customHeight="1" thickBot="1" x14ac:dyDescent="0.2">
      <c r="A119" s="1097" t="s">
        <v>59</v>
      </c>
      <c r="B119" s="1097"/>
      <c r="C119" s="1097"/>
      <c r="D119" s="1097"/>
      <c r="E119" s="1097"/>
      <c r="F119" s="1097"/>
    </row>
    <row r="120" spans="1:7" s="4" customFormat="1" ht="33" customHeight="1" thickBot="1" x14ac:dyDescent="0.2">
      <c r="A120" s="21"/>
      <c r="B120" s="22"/>
      <c r="C120" s="82"/>
      <c r="D120" s="82"/>
      <c r="E120" s="82"/>
      <c r="F120" s="83"/>
      <c r="G120" s="96"/>
    </row>
    <row r="121" spans="1:7" s="5" customFormat="1" ht="33" customHeight="1" x14ac:dyDescent="0.15">
      <c r="A121" s="1083" t="s">
        <v>53</v>
      </c>
      <c r="B121" s="1086" t="s">
        <v>54</v>
      </c>
      <c r="C121" s="1089" t="s">
        <v>50</v>
      </c>
      <c r="D121" s="1090"/>
      <c r="E121" s="485"/>
      <c r="F121" s="486"/>
      <c r="G121" s="97"/>
    </row>
    <row r="122" spans="1:7" s="4" customFormat="1" ht="33" customHeight="1" x14ac:dyDescent="0.15">
      <c r="A122" s="1084"/>
      <c r="B122" s="1087"/>
      <c r="C122" s="1091" t="s">
        <v>6</v>
      </c>
      <c r="D122" s="1093" t="s">
        <v>55</v>
      </c>
      <c r="E122" s="1094"/>
      <c r="F122" s="1095" t="s">
        <v>335</v>
      </c>
      <c r="G122" s="96"/>
    </row>
    <row r="123" spans="1:7" s="4" customFormat="1" ht="33" customHeight="1" thickBot="1" x14ac:dyDescent="0.2">
      <c r="A123" s="1085"/>
      <c r="B123" s="1088"/>
      <c r="C123" s="1092"/>
      <c r="D123" s="354" t="s">
        <v>98</v>
      </c>
      <c r="E123" s="487" t="s">
        <v>99</v>
      </c>
      <c r="F123" s="1096"/>
      <c r="G123" s="96"/>
    </row>
    <row r="124" spans="1:7" s="5" customFormat="1" ht="33" customHeight="1" x14ac:dyDescent="0.15">
      <c r="A124" s="13"/>
      <c r="B124" s="14" t="s">
        <v>28</v>
      </c>
      <c r="C124" s="78"/>
      <c r="D124" s="78"/>
      <c r="E124" s="78"/>
      <c r="F124" s="79"/>
      <c r="G124" s="97"/>
    </row>
    <row r="125" spans="1:7" s="123" customFormat="1" ht="33" customHeight="1" x14ac:dyDescent="0.2">
      <c r="A125" s="132">
        <v>1</v>
      </c>
      <c r="B125" s="121" t="s">
        <v>29</v>
      </c>
      <c r="C125" s="122">
        <f>DIAGONSTIC!I14</f>
        <v>87383.989999999991</v>
      </c>
      <c r="D125" s="122">
        <f>DIAGONSTIC!J14</f>
        <v>51285.990000000005</v>
      </c>
      <c r="E125" s="122">
        <f>DIAGONSTIC!K14</f>
        <v>0</v>
      </c>
      <c r="F125" s="133">
        <f>E125+D125</f>
        <v>51285.990000000005</v>
      </c>
      <c r="G125" s="124"/>
    </row>
    <row r="126" spans="1:7" s="126" customFormat="1" ht="33" customHeight="1" x14ac:dyDescent="0.2">
      <c r="A126" s="132">
        <v>2</v>
      </c>
      <c r="B126" s="121" t="s">
        <v>30</v>
      </c>
      <c r="C126" s="122">
        <f>DIAGONSTIC!I34</f>
        <v>298364.30000000005</v>
      </c>
      <c r="D126" s="122">
        <f>DIAGONSTIC!J34</f>
        <v>151138.10999999999</v>
      </c>
      <c r="E126" s="122">
        <f>DIAGONSTIC!K34</f>
        <v>63122.8</v>
      </c>
      <c r="F126" s="133">
        <f>E126+D126</f>
        <v>214260.90999999997</v>
      </c>
      <c r="G126" s="127"/>
    </row>
    <row r="127" spans="1:7" s="126" customFormat="1" ht="33" customHeight="1" x14ac:dyDescent="0.2">
      <c r="A127" s="132">
        <v>3</v>
      </c>
      <c r="B127" s="121" t="s">
        <v>31</v>
      </c>
      <c r="C127" s="122">
        <f>DIAGONSTIC!I38</f>
        <v>68324</v>
      </c>
      <c r="D127" s="122">
        <f>DIAGONSTIC!J38</f>
        <v>80352</v>
      </c>
      <c r="E127" s="122">
        <f>DIAGONSTIC!K38</f>
        <v>0</v>
      </c>
      <c r="F127" s="133">
        <f>E127+D127</f>
        <v>80352</v>
      </c>
      <c r="G127" s="127"/>
    </row>
    <row r="128" spans="1:7" ht="33" customHeight="1" x14ac:dyDescent="0.15">
      <c r="A128" s="117"/>
      <c r="B128" s="118" t="s">
        <v>32</v>
      </c>
      <c r="C128" s="119">
        <f>SUM(C125:C127)</f>
        <v>454072.29000000004</v>
      </c>
      <c r="D128" s="119">
        <f>SUM(D125:D127)</f>
        <v>282776.09999999998</v>
      </c>
      <c r="E128" s="119">
        <f>SUM(E125:E127)</f>
        <v>63122.8</v>
      </c>
      <c r="F128" s="119">
        <f>SUM(F125:F127)</f>
        <v>345898.89999999997</v>
      </c>
    </row>
    <row r="129" spans="1:7" ht="33" customHeight="1" x14ac:dyDescent="0.15">
      <c r="A129" s="73"/>
      <c r="B129" s="81" t="s">
        <v>82</v>
      </c>
      <c r="C129" s="74"/>
      <c r="D129" s="74"/>
      <c r="E129" s="74"/>
      <c r="F129" s="86"/>
    </row>
    <row r="130" spans="1:7" s="126" customFormat="1" ht="29.25" customHeight="1" x14ac:dyDescent="0.2">
      <c r="A130" s="136">
        <v>1</v>
      </c>
      <c r="B130" s="129" t="s">
        <v>30</v>
      </c>
      <c r="C130" s="130">
        <f>DIAGONSTIC!I60</f>
        <v>112983.8</v>
      </c>
      <c r="D130" s="130">
        <f>DIAGONSTIC!J60</f>
        <v>97069.039999999979</v>
      </c>
      <c r="E130" s="130">
        <f>DIAGONSTIC!K60</f>
        <v>0</v>
      </c>
      <c r="F130" s="130">
        <f>DIAGONSTIC!L60</f>
        <v>97069.039999999979</v>
      </c>
      <c r="G130" s="127"/>
    </row>
    <row r="131" spans="1:7" s="126" customFormat="1" ht="29.25" customHeight="1" x14ac:dyDescent="0.2">
      <c r="A131" s="128">
        <v>2</v>
      </c>
      <c r="B131" s="129" t="s">
        <v>331</v>
      </c>
      <c r="C131" s="130">
        <f>DIAGONSTIC!I67</f>
        <v>257270.34999999998</v>
      </c>
      <c r="D131" s="130">
        <f>DIAGONSTIC!J67</f>
        <v>119843.79999999999</v>
      </c>
      <c r="E131" s="130">
        <f>DIAGONSTIC!K67</f>
        <v>104522.7</v>
      </c>
      <c r="F131" s="130">
        <v>119843.8</v>
      </c>
      <c r="G131" s="127"/>
    </row>
    <row r="132" spans="1:7" s="126" customFormat="1" ht="29.25" customHeight="1" x14ac:dyDescent="0.2">
      <c r="A132" s="132">
        <v>3</v>
      </c>
      <c r="B132" s="134" t="s">
        <v>175</v>
      </c>
      <c r="C132" s="122">
        <f>DIAGONSTIC!I71</f>
        <v>90236.5</v>
      </c>
      <c r="D132" s="122">
        <f>DIAGONSTIC!J71</f>
        <v>81237.099999999991</v>
      </c>
      <c r="E132" s="122">
        <f>DIAGONSTIC!K71</f>
        <v>9490.7999999999993</v>
      </c>
      <c r="F132" s="122">
        <f>DIAGONSTIC!L71</f>
        <v>90727.9</v>
      </c>
      <c r="G132" s="127"/>
    </row>
    <row r="133" spans="1:7" s="126" customFormat="1" ht="29.25" customHeight="1" x14ac:dyDescent="0.2">
      <c r="A133" s="132">
        <v>4</v>
      </c>
      <c r="B133" s="134" t="s">
        <v>288</v>
      </c>
      <c r="C133" s="122">
        <f>DIAGONSTIC!I79</f>
        <v>42411.5</v>
      </c>
      <c r="D133" s="122">
        <v>40786.32</v>
      </c>
      <c r="E133" s="122">
        <f>DIAGONSTIC!K79</f>
        <v>7990.4999999999991</v>
      </c>
      <c r="F133" s="122">
        <f>E133+D133</f>
        <v>48776.82</v>
      </c>
      <c r="G133" s="127"/>
    </row>
    <row r="134" spans="1:7" s="126" customFormat="1" ht="25.5" customHeight="1" x14ac:dyDescent="0.2">
      <c r="A134" s="132">
        <v>5</v>
      </c>
      <c r="B134" s="134" t="s">
        <v>361</v>
      </c>
      <c r="C134" s="122">
        <f>DIAGONSTIC!I101</f>
        <v>91035</v>
      </c>
      <c r="D134" s="122">
        <f>DIAGONSTIC!J101</f>
        <v>0</v>
      </c>
      <c r="E134" s="122">
        <f>DIAGONSTIC!K101</f>
        <v>63800</v>
      </c>
      <c r="F134" s="122">
        <f>DIAGONSTIC!L101</f>
        <v>63800</v>
      </c>
      <c r="G134" s="127"/>
    </row>
    <row r="135" spans="1:7" s="126" customFormat="1" ht="29.25" customHeight="1" x14ac:dyDescent="0.2">
      <c r="A135" s="132">
        <v>6</v>
      </c>
      <c r="B135" s="134" t="s">
        <v>332</v>
      </c>
      <c r="C135" s="122">
        <f>DIAGONSTIC!I111</f>
        <v>298154.8</v>
      </c>
      <c r="D135" s="122">
        <f>DIAGONSTIC!J111</f>
        <v>14166.9</v>
      </c>
      <c r="E135" s="122">
        <f>DIAGONSTIC!K111</f>
        <v>166545.20000000001</v>
      </c>
      <c r="F135" s="122">
        <v>14166</v>
      </c>
      <c r="G135" s="127"/>
    </row>
    <row r="136" spans="1:7" ht="33" customHeight="1" x14ac:dyDescent="0.15">
      <c r="A136" s="117"/>
      <c r="B136" s="118" t="s">
        <v>95</v>
      </c>
      <c r="C136" s="119">
        <f>SUM(C130:C135)</f>
        <v>892091.95</v>
      </c>
      <c r="D136" s="119">
        <f>SUM(D130:D135)</f>
        <v>353103.16</v>
      </c>
      <c r="E136" s="119">
        <f>SUM(E130:E135)</f>
        <v>352349.2</v>
      </c>
      <c r="F136" s="119">
        <v>353103.16</v>
      </c>
    </row>
    <row r="137" spans="1:7" ht="33" customHeight="1" thickBot="1" x14ac:dyDescent="0.2">
      <c r="A137" s="92"/>
      <c r="B137" s="93" t="s">
        <v>231</v>
      </c>
      <c r="C137" s="94">
        <f>C136+C128</f>
        <v>1346164.24</v>
      </c>
      <c r="D137" s="94">
        <f>D136+D128</f>
        <v>635879.26</v>
      </c>
      <c r="E137" s="94">
        <f>E136+E128</f>
        <v>415472</v>
      </c>
      <c r="F137" s="94">
        <f>F136+F128</f>
        <v>699002.05999999994</v>
      </c>
    </row>
    <row r="138" spans="1:7" ht="33" customHeight="1" x14ac:dyDescent="0.15">
      <c r="A138" s="25"/>
      <c r="B138" s="25"/>
      <c r="C138" s="84"/>
      <c r="D138" s="84"/>
      <c r="E138" s="84"/>
      <c r="F138" s="84"/>
    </row>
    <row r="139" spans="1:7" ht="33" customHeight="1" x14ac:dyDescent="0.15">
      <c r="A139" s="23" t="s">
        <v>33</v>
      </c>
      <c r="B139" s="23"/>
      <c r="C139" s="85"/>
      <c r="D139" s="85"/>
      <c r="E139" s="85"/>
      <c r="F139" s="85"/>
    </row>
    <row r="140" spans="1:7" ht="33" customHeight="1" x14ac:dyDescent="0.2">
      <c r="A140" s="23" t="s">
        <v>34</v>
      </c>
      <c r="B140" s="23"/>
      <c r="C140" s="144">
        <f>F137</f>
        <v>699002.05999999994</v>
      </c>
      <c r="D140" s="85"/>
      <c r="E140" s="85"/>
      <c r="F140" s="85"/>
    </row>
    <row r="141" spans="1:7" ht="33" customHeight="1" x14ac:dyDescent="0.15">
      <c r="A141" s="25"/>
      <c r="B141" s="25" t="s">
        <v>40</v>
      </c>
      <c r="C141" s="84"/>
      <c r="D141" s="84"/>
      <c r="E141" s="111" t="s">
        <v>41</v>
      </c>
      <c r="F141" s="84"/>
    </row>
    <row r="142" spans="1:7" ht="33" customHeight="1" thickBot="1" x14ac:dyDescent="0.2">
      <c r="A142" s="1097" t="s">
        <v>97</v>
      </c>
      <c r="B142" s="1097"/>
      <c r="C142" s="1097"/>
      <c r="D142" s="1097"/>
      <c r="E142" s="1097"/>
      <c r="F142" s="1097"/>
    </row>
    <row r="143" spans="1:7" s="4" customFormat="1" ht="33" customHeight="1" thickBot="1" x14ac:dyDescent="0.2">
      <c r="A143" s="21"/>
      <c r="B143" s="22"/>
      <c r="C143" s="82"/>
      <c r="D143" s="82"/>
      <c r="E143" s="82"/>
      <c r="F143" s="83"/>
      <c r="G143" s="96"/>
    </row>
    <row r="144" spans="1:7" s="5" customFormat="1" ht="33" customHeight="1" x14ac:dyDescent="0.15">
      <c r="A144" s="1083" t="s">
        <v>53</v>
      </c>
      <c r="B144" s="1086" t="s">
        <v>54</v>
      </c>
      <c r="C144" s="1089" t="s">
        <v>50</v>
      </c>
      <c r="D144" s="1090"/>
      <c r="E144" s="485"/>
      <c r="F144" s="486"/>
      <c r="G144" s="97"/>
    </row>
    <row r="145" spans="1:7" s="4" customFormat="1" ht="33" customHeight="1" x14ac:dyDescent="0.15">
      <c r="A145" s="1084"/>
      <c r="B145" s="1087"/>
      <c r="C145" s="1091" t="s">
        <v>6</v>
      </c>
      <c r="D145" s="1093" t="s">
        <v>55</v>
      </c>
      <c r="E145" s="1094"/>
      <c r="F145" s="1095" t="s">
        <v>335</v>
      </c>
      <c r="G145" s="96"/>
    </row>
    <row r="146" spans="1:7" s="4" customFormat="1" ht="33" customHeight="1" thickBot="1" x14ac:dyDescent="0.2">
      <c r="A146" s="1085"/>
      <c r="B146" s="1088"/>
      <c r="C146" s="1092"/>
      <c r="D146" s="354" t="s">
        <v>98</v>
      </c>
      <c r="E146" s="487" t="s">
        <v>99</v>
      </c>
      <c r="F146" s="1096"/>
      <c r="G146" s="96"/>
    </row>
    <row r="147" spans="1:7" s="5" customFormat="1" ht="33" customHeight="1" x14ac:dyDescent="0.15">
      <c r="A147" s="28"/>
      <c r="B147" s="29" t="s">
        <v>28</v>
      </c>
      <c r="C147" s="34"/>
      <c r="D147" s="34"/>
      <c r="E147" s="34"/>
      <c r="F147" s="88"/>
      <c r="G147" s="97"/>
    </row>
    <row r="148" spans="1:7" s="123" customFormat="1" ht="33" customHeight="1" x14ac:dyDescent="0.2">
      <c r="A148" s="136">
        <v>1</v>
      </c>
      <c r="B148" s="129" t="s">
        <v>29</v>
      </c>
      <c r="C148" s="130">
        <f>Adminstration!I14</f>
        <v>99817.5</v>
      </c>
      <c r="D148" s="130">
        <f>Adminstration!J14</f>
        <v>62325.75</v>
      </c>
      <c r="E148" s="130">
        <f>Adminstration!K14</f>
        <v>0</v>
      </c>
      <c r="F148" s="137">
        <f>E148+D148</f>
        <v>62325.75</v>
      </c>
      <c r="G148" s="124"/>
    </row>
    <row r="149" spans="1:7" s="126" customFormat="1" ht="33" customHeight="1" x14ac:dyDescent="0.2">
      <c r="A149" s="136">
        <v>2</v>
      </c>
      <c r="B149" s="129" t="s">
        <v>30</v>
      </c>
      <c r="C149" s="130">
        <f>Adminstration!I33</f>
        <v>320799</v>
      </c>
      <c r="D149" s="130">
        <f>Adminstration!J33</f>
        <v>344442.48</v>
      </c>
      <c r="E149" s="130">
        <f>Adminstration!K33</f>
        <v>0</v>
      </c>
      <c r="F149" s="137">
        <f>E149+D149</f>
        <v>344442.48</v>
      </c>
      <c r="G149" s="127"/>
    </row>
    <row r="150" spans="1:7" s="126" customFormat="1" ht="33" customHeight="1" x14ac:dyDescent="0.2">
      <c r="A150" s="138">
        <v>3</v>
      </c>
      <c r="B150" s="139" t="s">
        <v>31</v>
      </c>
      <c r="C150" s="140">
        <f>Adminstration!I37</f>
        <v>145120</v>
      </c>
      <c r="D150" s="140">
        <f>Adminstration!J37</f>
        <v>106041.59999999999</v>
      </c>
      <c r="E150" s="140">
        <f>Adminstration!K37</f>
        <v>0</v>
      </c>
      <c r="F150" s="137">
        <f>E150+D150</f>
        <v>106041.59999999999</v>
      </c>
      <c r="G150" s="127"/>
    </row>
    <row r="151" spans="1:7" ht="33" customHeight="1" x14ac:dyDescent="0.15">
      <c r="A151" s="117"/>
      <c r="B151" s="118" t="s">
        <v>32</v>
      </c>
      <c r="C151" s="119">
        <f>SUM(C148:C150)</f>
        <v>565736.5</v>
      </c>
      <c r="D151" s="119">
        <f>SUM(D148:D150)</f>
        <v>512809.82999999996</v>
      </c>
      <c r="E151" s="119">
        <f>SUM(E148:E150)</f>
        <v>0</v>
      </c>
      <c r="F151" s="119">
        <f>SUM(F148:F150)</f>
        <v>512809.82999999996</v>
      </c>
    </row>
    <row r="152" spans="1:7" ht="33" customHeight="1" x14ac:dyDescent="0.15">
      <c r="A152" s="73"/>
      <c r="B152" s="81" t="s">
        <v>82</v>
      </c>
      <c r="C152" s="74"/>
      <c r="D152" s="74"/>
      <c r="E152" s="74"/>
      <c r="F152" s="86"/>
    </row>
    <row r="153" spans="1:7" s="126" customFormat="1" ht="33" customHeight="1" x14ac:dyDescent="0.2">
      <c r="A153" s="136">
        <v>1</v>
      </c>
      <c r="B153" s="129" t="s">
        <v>30</v>
      </c>
      <c r="C153" s="130">
        <f>Adminstration!I59</f>
        <v>97703</v>
      </c>
      <c r="D153" s="130">
        <f>Adminstration!J59</f>
        <v>130377.73999999999</v>
      </c>
      <c r="E153" s="130">
        <f>Adminstration!K59</f>
        <v>657.9</v>
      </c>
      <c r="F153" s="137">
        <f>E153+D153</f>
        <v>131035.63999999998</v>
      </c>
      <c r="G153" s="127"/>
    </row>
    <row r="154" spans="1:7" s="126" customFormat="1" ht="33" customHeight="1" x14ac:dyDescent="0.2">
      <c r="A154" s="128">
        <v>2</v>
      </c>
      <c r="B154" s="129" t="s">
        <v>331</v>
      </c>
      <c r="C154" s="130">
        <f>Adminstration!I64</f>
        <v>138990</v>
      </c>
      <c r="D154" s="130">
        <f>Adminstration!J64</f>
        <v>31000</v>
      </c>
      <c r="E154" s="130">
        <f>Adminstration!K64</f>
        <v>106781.4</v>
      </c>
      <c r="F154" s="137">
        <f>E154+D154</f>
        <v>137781.4</v>
      </c>
      <c r="G154" s="127"/>
    </row>
    <row r="155" spans="1:7" s="126" customFormat="1" ht="33" customHeight="1" x14ac:dyDescent="0.2">
      <c r="A155" s="132">
        <v>3</v>
      </c>
      <c r="B155" s="134" t="s">
        <v>175</v>
      </c>
      <c r="C155" s="122">
        <f>Adminstration!I68</f>
        <v>107260</v>
      </c>
      <c r="D155" s="122">
        <f>Adminstration!J68</f>
        <v>96035.1</v>
      </c>
      <c r="E155" s="122">
        <f>Adminstration!K68</f>
        <v>10850.4</v>
      </c>
      <c r="F155" s="137">
        <f>E155+D155</f>
        <v>106885.5</v>
      </c>
      <c r="G155" s="127"/>
    </row>
    <row r="156" spans="1:7" s="126" customFormat="1" ht="33" customHeight="1" x14ac:dyDescent="0.2">
      <c r="A156" s="132">
        <v>4</v>
      </c>
      <c r="B156" s="134" t="s">
        <v>288</v>
      </c>
      <c r="C156" s="122">
        <f>Adminstration!I76</f>
        <v>48184</v>
      </c>
      <c r="D156" s="122">
        <f>Adminstration!J76</f>
        <v>44365.38</v>
      </c>
      <c r="E156" s="122">
        <f>Adminstration!K76</f>
        <v>7856.8</v>
      </c>
      <c r="F156" s="137">
        <f>E156+D156</f>
        <v>52222.18</v>
      </c>
      <c r="G156" s="127"/>
    </row>
    <row r="157" spans="1:7" s="126" customFormat="1" ht="33" customHeight="1" x14ac:dyDescent="0.2">
      <c r="A157" s="132">
        <v>6</v>
      </c>
      <c r="B157" s="134" t="s">
        <v>332</v>
      </c>
      <c r="C157" s="122">
        <f>Adminstration!I101</f>
        <v>456060</v>
      </c>
      <c r="D157" s="122">
        <f>Adminstration!J101</f>
        <v>0</v>
      </c>
      <c r="E157" s="122">
        <f>Adminstration!K101</f>
        <v>359864.1</v>
      </c>
      <c r="F157" s="137">
        <f>E157+D157</f>
        <v>359864.1</v>
      </c>
      <c r="G157" s="127"/>
    </row>
    <row r="158" spans="1:7" ht="33" customHeight="1" x14ac:dyDescent="0.15">
      <c r="A158" s="117"/>
      <c r="B158" s="118" t="s">
        <v>95</v>
      </c>
      <c r="C158" s="119">
        <f>SUM(C153:C157)</f>
        <v>848197</v>
      </c>
      <c r="D158" s="119">
        <f>SUM(D153:D157)</f>
        <v>301778.21999999997</v>
      </c>
      <c r="E158" s="119">
        <f>SUM(E153:E157)</f>
        <v>486010.6</v>
      </c>
      <c r="F158" s="119">
        <f>SUM(F153:F157)</f>
        <v>787788.82</v>
      </c>
    </row>
    <row r="159" spans="1:7" ht="33" customHeight="1" thickBot="1" x14ac:dyDescent="0.2">
      <c r="A159" s="92"/>
      <c r="B159" s="100" t="s">
        <v>231</v>
      </c>
      <c r="C159" s="94">
        <f>C158+C151</f>
        <v>1413933.5</v>
      </c>
      <c r="D159" s="94">
        <f>D158+D151</f>
        <v>814588.04999999993</v>
      </c>
      <c r="E159" s="94">
        <f>E158+E151</f>
        <v>486010.6</v>
      </c>
      <c r="F159" s="94">
        <f>F158+F151</f>
        <v>1300598.6499999999</v>
      </c>
    </row>
    <row r="160" spans="1:7" ht="33" customHeight="1" x14ac:dyDescent="0.2">
      <c r="A160" s="9"/>
      <c r="B160" s="9"/>
      <c r="C160" s="89"/>
      <c r="D160" s="89"/>
      <c r="E160" s="89"/>
      <c r="F160" s="91"/>
    </row>
    <row r="161" spans="1:7" ht="33" customHeight="1" x14ac:dyDescent="0.15">
      <c r="A161" s="23" t="s">
        <v>33</v>
      </c>
      <c r="B161" s="23"/>
      <c r="C161" s="85"/>
      <c r="D161" s="85"/>
      <c r="E161" s="85"/>
      <c r="F161" s="85"/>
    </row>
    <row r="162" spans="1:7" ht="33" customHeight="1" x14ac:dyDescent="0.2">
      <c r="A162" s="23" t="s">
        <v>34</v>
      </c>
      <c r="B162" s="23"/>
      <c r="C162" s="144">
        <f>F159</f>
        <v>1300598.6499999999</v>
      </c>
      <c r="D162" s="85"/>
      <c r="E162" s="85"/>
      <c r="F162" s="85"/>
    </row>
    <row r="163" spans="1:7" ht="33" customHeight="1" x14ac:dyDescent="0.15">
      <c r="A163" s="25"/>
      <c r="B163" s="25" t="s">
        <v>40</v>
      </c>
      <c r="C163" s="84"/>
      <c r="D163" s="84"/>
      <c r="E163" s="111" t="s">
        <v>41</v>
      </c>
      <c r="F163" s="84"/>
    </row>
    <row r="164" spans="1:7" ht="33" customHeight="1" thickBot="1" x14ac:dyDescent="0.2">
      <c r="A164" s="1082" t="s">
        <v>221</v>
      </c>
      <c r="B164" s="1082"/>
      <c r="C164" s="1082"/>
      <c r="D164" s="1082"/>
      <c r="E164" s="1082"/>
      <c r="F164" s="1082"/>
    </row>
    <row r="165" spans="1:7" ht="33" customHeight="1" thickBot="1" x14ac:dyDescent="0.2">
      <c r="A165" s="21"/>
      <c r="B165" s="22"/>
      <c r="C165" s="82"/>
      <c r="D165" s="82"/>
      <c r="E165" s="82"/>
      <c r="F165" s="83"/>
    </row>
    <row r="166" spans="1:7" ht="33" customHeight="1" x14ac:dyDescent="0.15">
      <c r="A166" s="1083" t="s">
        <v>53</v>
      </c>
      <c r="B166" s="1086" t="s">
        <v>54</v>
      </c>
      <c r="C166" s="1089" t="s">
        <v>50</v>
      </c>
      <c r="D166" s="1090"/>
      <c r="E166" s="485"/>
      <c r="F166" s="486"/>
    </row>
    <row r="167" spans="1:7" ht="33" customHeight="1" x14ac:dyDescent="0.15">
      <c r="A167" s="1084"/>
      <c r="B167" s="1087"/>
      <c r="C167" s="1091" t="s">
        <v>6</v>
      </c>
      <c r="D167" s="1093" t="s">
        <v>55</v>
      </c>
      <c r="E167" s="1094"/>
      <c r="F167" s="1095" t="s">
        <v>335</v>
      </c>
    </row>
    <row r="168" spans="1:7" ht="33" customHeight="1" thickBot="1" x14ac:dyDescent="0.2">
      <c r="A168" s="1085"/>
      <c r="B168" s="1088"/>
      <c r="C168" s="1092"/>
      <c r="D168" s="354" t="s">
        <v>98</v>
      </c>
      <c r="E168" s="487" t="s">
        <v>99</v>
      </c>
      <c r="F168" s="1096"/>
    </row>
    <row r="169" spans="1:7" ht="33" customHeight="1" x14ac:dyDescent="0.15">
      <c r="A169" s="13"/>
      <c r="B169" s="14" t="s">
        <v>28</v>
      </c>
      <c r="C169" s="78"/>
      <c r="D169" s="78"/>
      <c r="E169" s="78"/>
      <c r="F169" s="79"/>
    </row>
    <row r="170" spans="1:7" s="126" customFormat="1" ht="33" customHeight="1" x14ac:dyDescent="0.2">
      <c r="A170" s="132">
        <v>1</v>
      </c>
      <c r="B170" s="121" t="s">
        <v>29</v>
      </c>
      <c r="C170" s="122">
        <f>Staff!I16</f>
        <v>32601</v>
      </c>
      <c r="D170" s="122">
        <f>Staff!J16</f>
        <v>22183.95</v>
      </c>
      <c r="E170" s="122">
        <f>Staff!K16</f>
        <v>0</v>
      </c>
      <c r="F170" s="133">
        <f>E170+D170</f>
        <v>22183.95</v>
      </c>
      <c r="G170" s="127"/>
    </row>
    <row r="171" spans="1:7" s="126" customFormat="1" ht="33" customHeight="1" x14ac:dyDescent="0.2">
      <c r="A171" s="132">
        <v>2</v>
      </c>
      <c r="B171" s="121" t="s">
        <v>30</v>
      </c>
      <c r="C171" s="122">
        <f>Staff!I39</f>
        <v>114578</v>
      </c>
      <c r="D171" s="122">
        <f>Staff!J39</f>
        <v>70327.64</v>
      </c>
      <c r="E171" s="122">
        <f>Staff!K39</f>
        <v>0</v>
      </c>
      <c r="F171" s="133">
        <f>E171+D171</f>
        <v>70327.64</v>
      </c>
      <c r="G171" s="127"/>
    </row>
    <row r="172" spans="1:7" s="126" customFormat="1" ht="33" customHeight="1" x14ac:dyDescent="0.2">
      <c r="A172" s="132">
        <v>3</v>
      </c>
      <c r="B172" s="121" t="s">
        <v>31</v>
      </c>
      <c r="C172" s="122">
        <f>Staff!I20</f>
        <v>36000</v>
      </c>
      <c r="D172" s="122">
        <f>Staff!J20</f>
        <v>45467.199999999997</v>
      </c>
      <c r="E172" s="122">
        <f>Staff!K20</f>
        <v>0</v>
      </c>
      <c r="F172" s="133">
        <f>E172+D172</f>
        <v>45467.199999999997</v>
      </c>
      <c r="G172" s="127"/>
    </row>
    <row r="173" spans="1:7" ht="33" customHeight="1" x14ac:dyDescent="0.15">
      <c r="A173" s="117"/>
      <c r="B173" s="118" t="s">
        <v>32</v>
      </c>
      <c r="C173" s="119">
        <f>SUM(C170:C172)</f>
        <v>183179</v>
      </c>
      <c r="D173" s="119">
        <f>SUM(D170:D172)</f>
        <v>137978.78999999998</v>
      </c>
      <c r="E173" s="119">
        <f>SUM(E170:E172)</f>
        <v>0</v>
      </c>
      <c r="F173" s="119">
        <f>SUM(F170:F172)</f>
        <v>137978.78999999998</v>
      </c>
    </row>
    <row r="174" spans="1:7" ht="33" customHeight="1" x14ac:dyDescent="0.15">
      <c r="A174" s="73"/>
      <c r="B174" s="81" t="s">
        <v>82</v>
      </c>
      <c r="C174" s="74"/>
      <c r="D174" s="74"/>
      <c r="E174" s="74"/>
      <c r="F174" s="86"/>
    </row>
    <row r="175" spans="1:7" s="126" customFormat="1" ht="33" customHeight="1" x14ac:dyDescent="0.2">
      <c r="A175" s="136">
        <v>1</v>
      </c>
      <c r="B175" s="129" t="s">
        <v>30</v>
      </c>
      <c r="C175" s="130">
        <f>Staff!I60</f>
        <v>41942</v>
      </c>
      <c r="D175" s="130">
        <f>Staff!J60</f>
        <v>49456.9</v>
      </c>
      <c r="E175" s="130">
        <f>Staff!K60</f>
        <v>0</v>
      </c>
      <c r="F175" s="133">
        <f>E175+D175</f>
        <v>49456.9</v>
      </c>
      <c r="G175" s="127"/>
    </row>
    <row r="176" spans="1:7" s="126" customFormat="1" ht="33" customHeight="1" x14ac:dyDescent="0.2">
      <c r="A176" s="128">
        <v>2</v>
      </c>
      <c r="B176" s="129" t="s">
        <v>331</v>
      </c>
      <c r="C176" s="130">
        <f>Staff!I64</f>
        <v>81755</v>
      </c>
      <c r="D176" s="130">
        <f>Staff!J64</f>
        <v>0</v>
      </c>
      <c r="E176" s="130">
        <f>Staff!K64</f>
        <v>61971.35</v>
      </c>
      <c r="F176" s="133">
        <f>E176+D176</f>
        <v>61971.35</v>
      </c>
      <c r="G176" s="127"/>
    </row>
    <row r="177" spans="1:7" s="126" customFormat="1" ht="33" customHeight="1" x14ac:dyDescent="0.2">
      <c r="A177" s="132">
        <v>3</v>
      </c>
      <c r="B177" s="134" t="s">
        <v>175</v>
      </c>
      <c r="C177" s="122">
        <f>Staff!I68</f>
        <v>36750</v>
      </c>
      <c r="D177" s="122">
        <f>Staff!J68</f>
        <v>37609.949999999997</v>
      </c>
      <c r="E177" s="122">
        <f>Staff!K68</f>
        <v>0</v>
      </c>
      <c r="F177" s="133">
        <f>E177+D177</f>
        <v>37609.949999999997</v>
      </c>
      <c r="G177" s="127"/>
    </row>
    <row r="178" spans="1:7" s="126" customFormat="1" ht="33" customHeight="1" x14ac:dyDescent="0.2">
      <c r="A178" s="132">
        <v>4</v>
      </c>
      <c r="B178" s="134" t="s">
        <v>288</v>
      </c>
      <c r="C178" s="122">
        <f>Staff!I76</f>
        <v>48476</v>
      </c>
      <c r="D178" s="122">
        <f>Staff!J76</f>
        <v>19855.52</v>
      </c>
      <c r="E178" s="122">
        <f>Staff!K76</f>
        <v>3570</v>
      </c>
      <c r="F178" s="133">
        <f>E178+D178</f>
        <v>23425.52</v>
      </c>
      <c r="G178" s="127"/>
    </row>
    <row r="179" spans="1:7" s="126" customFormat="1" ht="33" customHeight="1" x14ac:dyDescent="0.2">
      <c r="A179" s="132">
        <v>5</v>
      </c>
      <c r="B179" s="134" t="s">
        <v>574</v>
      </c>
      <c r="C179" s="122"/>
      <c r="D179" s="122">
        <f>Staff!J77</f>
        <v>0</v>
      </c>
      <c r="E179" s="122">
        <f>Staff!$K$82</f>
        <v>35378</v>
      </c>
      <c r="F179" s="133">
        <f>E179+D179</f>
        <v>35378</v>
      </c>
      <c r="G179" s="127"/>
    </row>
    <row r="180" spans="1:7" ht="33" customHeight="1" x14ac:dyDescent="0.15">
      <c r="A180" s="117"/>
      <c r="B180" s="118" t="s">
        <v>95</v>
      </c>
      <c r="C180" s="119">
        <f>SUM(C175:C178)</f>
        <v>208923</v>
      </c>
      <c r="D180" s="119">
        <f>SUM(D175:D179)</f>
        <v>106922.37000000001</v>
      </c>
      <c r="E180" s="119">
        <f>SUM(E175:E179)</f>
        <v>100919.35</v>
      </c>
      <c r="F180" s="119">
        <f>SUM(F175:F179)</f>
        <v>207841.72</v>
      </c>
    </row>
    <row r="181" spans="1:7" ht="33" customHeight="1" thickBot="1" x14ac:dyDescent="0.2">
      <c r="A181" s="92"/>
      <c r="B181" s="100" t="s">
        <v>231</v>
      </c>
      <c r="C181" s="94">
        <f>C180+C173</f>
        <v>392102</v>
      </c>
      <c r="D181" s="94">
        <f>D180+D173</f>
        <v>244901.15999999997</v>
      </c>
      <c r="E181" s="94">
        <f>E180+E173</f>
        <v>100919.35</v>
      </c>
      <c r="F181" s="94">
        <f>F180+F173</f>
        <v>345820.51</v>
      </c>
    </row>
    <row r="182" spans="1:7" ht="33" customHeight="1" x14ac:dyDescent="0.15">
      <c r="A182" s="25"/>
      <c r="B182" s="25"/>
      <c r="C182" s="84"/>
      <c r="D182" s="84"/>
      <c r="E182" s="84"/>
      <c r="F182" s="84"/>
    </row>
    <row r="183" spans="1:7" ht="33" customHeight="1" x14ac:dyDescent="0.15">
      <c r="A183" s="23" t="s">
        <v>33</v>
      </c>
      <c r="B183" s="23"/>
      <c r="C183" s="85"/>
      <c r="D183" s="85"/>
      <c r="E183" s="85"/>
      <c r="F183" s="85"/>
    </row>
    <row r="184" spans="1:7" ht="33" customHeight="1" x14ac:dyDescent="0.2">
      <c r="A184" s="23" t="s">
        <v>34</v>
      </c>
      <c r="B184" s="23"/>
      <c r="C184" s="144">
        <f>F181</f>
        <v>345820.51</v>
      </c>
      <c r="D184" s="85"/>
      <c r="E184" s="85"/>
      <c r="F184" s="85"/>
    </row>
    <row r="185" spans="1:7" ht="33" customHeight="1" x14ac:dyDescent="0.15">
      <c r="A185" s="25"/>
      <c r="B185" s="25" t="s">
        <v>40</v>
      </c>
      <c r="C185" s="84"/>
      <c r="D185" s="84"/>
      <c r="E185" s="111" t="s">
        <v>41</v>
      </c>
      <c r="F185" s="84"/>
    </row>
    <row r="186" spans="1:7" ht="33" customHeight="1" thickBot="1" x14ac:dyDescent="0.2">
      <c r="A186" s="1082" t="s">
        <v>240</v>
      </c>
      <c r="B186" s="1082"/>
      <c r="C186" s="1082"/>
      <c r="D186" s="1082"/>
      <c r="E186" s="1082"/>
      <c r="F186" s="1082"/>
    </row>
    <row r="187" spans="1:7" ht="33" customHeight="1" thickBot="1" x14ac:dyDescent="0.2">
      <c r="A187" s="21"/>
      <c r="B187" s="22"/>
      <c r="C187" s="82"/>
      <c r="D187" s="82"/>
      <c r="E187" s="82"/>
      <c r="F187" s="83"/>
    </row>
    <row r="188" spans="1:7" ht="33" customHeight="1" x14ac:dyDescent="0.15">
      <c r="A188" s="1083" t="s">
        <v>53</v>
      </c>
      <c r="B188" s="1086" t="s">
        <v>54</v>
      </c>
      <c r="C188" s="1089" t="s">
        <v>50</v>
      </c>
      <c r="D188" s="1090"/>
      <c r="E188" s="485"/>
      <c r="F188" s="486"/>
    </row>
    <row r="189" spans="1:7" ht="33" customHeight="1" x14ac:dyDescent="0.15">
      <c r="A189" s="1084"/>
      <c r="B189" s="1087"/>
      <c r="C189" s="1091" t="s">
        <v>6</v>
      </c>
      <c r="D189" s="1093" t="s">
        <v>55</v>
      </c>
      <c r="E189" s="1094"/>
      <c r="F189" s="1095" t="s">
        <v>335</v>
      </c>
    </row>
    <row r="190" spans="1:7" ht="33" customHeight="1" thickBot="1" x14ac:dyDescent="0.2">
      <c r="A190" s="1085"/>
      <c r="B190" s="1088"/>
      <c r="C190" s="1092"/>
      <c r="D190" s="354" t="s">
        <v>98</v>
      </c>
      <c r="E190" s="487" t="s">
        <v>99</v>
      </c>
      <c r="F190" s="1096"/>
    </row>
    <row r="191" spans="1:7" ht="33" customHeight="1" x14ac:dyDescent="0.15">
      <c r="A191" s="13"/>
      <c r="B191" s="14" t="s">
        <v>28</v>
      </c>
      <c r="C191" s="78"/>
      <c r="D191" s="78"/>
      <c r="E191" s="78"/>
      <c r="F191" s="79"/>
    </row>
    <row r="192" spans="1:7" s="126" customFormat="1" ht="33" customHeight="1" x14ac:dyDescent="0.2">
      <c r="A192" s="132">
        <v>1</v>
      </c>
      <c r="B192" s="121" t="s">
        <v>29</v>
      </c>
      <c r="C192" s="122">
        <f>'service q'!I16</f>
        <v>19830</v>
      </c>
      <c r="D192" s="122">
        <f>'service q'!J16</f>
        <v>14386.15</v>
      </c>
      <c r="E192" s="122">
        <f>'service q'!K16</f>
        <v>0</v>
      </c>
      <c r="F192" s="133">
        <f>E192+D192</f>
        <v>14386.15</v>
      </c>
      <c r="G192" s="127"/>
    </row>
    <row r="193" spans="1:7" s="126" customFormat="1" ht="33" customHeight="1" x14ac:dyDescent="0.2">
      <c r="A193" s="132">
        <v>2</v>
      </c>
      <c r="B193" s="121" t="s">
        <v>30</v>
      </c>
      <c r="C193" s="122">
        <f>'service q'!I39</f>
        <v>67666</v>
      </c>
      <c r="D193" s="122">
        <f>'service q'!J39</f>
        <v>71527.579999999987</v>
      </c>
      <c r="E193" s="122">
        <f>'service q'!K39</f>
        <v>0</v>
      </c>
      <c r="F193" s="133">
        <f>E193+D193</f>
        <v>71527.579999999987</v>
      </c>
      <c r="G193" s="127"/>
    </row>
    <row r="194" spans="1:7" s="126" customFormat="1" ht="33" customHeight="1" x14ac:dyDescent="0.2">
      <c r="A194" s="132">
        <v>3</v>
      </c>
      <c r="B194" s="121" t="s">
        <v>31</v>
      </c>
      <c r="C194" s="122">
        <f>'service q'!I20</f>
        <v>27760</v>
      </c>
      <c r="D194" s="122">
        <f>'service q'!J20</f>
        <v>28260</v>
      </c>
      <c r="E194" s="122">
        <f>'service q'!K20</f>
        <v>0</v>
      </c>
      <c r="F194" s="133">
        <f>E194+D194</f>
        <v>28260</v>
      </c>
      <c r="G194" s="127"/>
    </row>
    <row r="195" spans="1:7" ht="33" customHeight="1" x14ac:dyDescent="0.15">
      <c r="A195" s="117"/>
      <c r="B195" s="118" t="s">
        <v>32</v>
      </c>
      <c r="C195" s="119">
        <f>SUM(C192:C194)</f>
        <v>115256</v>
      </c>
      <c r="D195" s="119">
        <f>SUM(D192:D194)</f>
        <v>114173.72999999998</v>
      </c>
      <c r="E195" s="119">
        <f>SUM(E192:E194)</f>
        <v>0</v>
      </c>
      <c r="F195" s="119">
        <f>SUM(F192:F194)</f>
        <v>114173.72999999998</v>
      </c>
    </row>
    <row r="196" spans="1:7" ht="33" customHeight="1" x14ac:dyDescent="0.15">
      <c r="A196" s="73"/>
      <c r="B196" s="81" t="s">
        <v>82</v>
      </c>
      <c r="C196" s="74"/>
      <c r="D196" s="74"/>
      <c r="E196" s="74"/>
      <c r="F196" s="86"/>
    </row>
    <row r="197" spans="1:7" s="126" customFormat="1" ht="33" customHeight="1" x14ac:dyDescent="0.2">
      <c r="A197" s="136">
        <v>1</v>
      </c>
      <c r="B197" s="129" t="s">
        <v>30</v>
      </c>
      <c r="C197" s="130">
        <f>'service q'!I58</f>
        <v>29692.5</v>
      </c>
      <c r="D197" s="130">
        <f>'service q'!J58</f>
        <v>36890.880000000005</v>
      </c>
      <c r="E197" s="130">
        <f>'service q'!K58</f>
        <v>0</v>
      </c>
      <c r="F197" s="130">
        <f>'service q'!L58</f>
        <v>36890.880000000005</v>
      </c>
      <c r="G197" s="127"/>
    </row>
    <row r="198" spans="1:7" s="126" customFormat="1" ht="33" customHeight="1" x14ac:dyDescent="0.2">
      <c r="A198" s="864">
        <v>2</v>
      </c>
      <c r="B198" s="139" t="s">
        <v>331</v>
      </c>
      <c r="C198" s="140">
        <f>'service q'!I62</f>
        <v>36910</v>
      </c>
      <c r="D198" s="140">
        <f>'service q'!J62</f>
        <v>48196.499999999993</v>
      </c>
      <c r="E198" s="140">
        <f>'service q'!K62</f>
        <v>0</v>
      </c>
      <c r="F198" s="140">
        <f>'service q'!L62</f>
        <v>48196.499999999993</v>
      </c>
      <c r="G198" s="127"/>
    </row>
    <row r="199" spans="1:7" s="126" customFormat="1" ht="33" customHeight="1" x14ac:dyDescent="0.2">
      <c r="A199" s="136">
        <v>3</v>
      </c>
      <c r="B199" s="128" t="s">
        <v>175</v>
      </c>
      <c r="C199" s="130">
        <f>'service q'!I68</f>
        <v>20388</v>
      </c>
      <c r="D199" s="130">
        <f>'service q'!J68</f>
        <v>16243.5</v>
      </c>
      <c r="E199" s="130">
        <f>'service q'!K68</f>
        <v>2915.5</v>
      </c>
      <c r="F199" s="130">
        <f>'service q'!L68</f>
        <v>19159</v>
      </c>
      <c r="G199" s="127"/>
    </row>
    <row r="200" spans="1:7" s="126" customFormat="1" ht="33" customHeight="1" x14ac:dyDescent="0.2">
      <c r="A200" s="136">
        <v>4</v>
      </c>
      <c r="B200" s="128" t="s">
        <v>288</v>
      </c>
      <c r="C200" s="130">
        <f>'service q'!I75</f>
        <v>19690</v>
      </c>
      <c r="D200" s="130">
        <f>'service q'!J75</f>
        <v>7766.17</v>
      </c>
      <c r="E200" s="130">
        <f>'service q'!K75</f>
        <v>17903.2</v>
      </c>
      <c r="F200" s="130">
        <f>'service q'!L75</f>
        <v>25669.370000000003</v>
      </c>
      <c r="G200" s="127"/>
    </row>
    <row r="201" spans="1:7" s="126" customFormat="1" ht="33" customHeight="1" x14ac:dyDescent="0.2">
      <c r="A201" s="865">
        <v>6</v>
      </c>
      <c r="B201" s="866" t="s">
        <v>332</v>
      </c>
      <c r="C201" s="867">
        <f>'service q'!I88</f>
        <v>39000</v>
      </c>
      <c r="D201" s="867">
        <f>'service q'!J88</f>
        <v>46420.4</v>
      </c>
      <c r="E201" s="867">
        <f>'service q'!K88</f>
        <v>0</v>
      </c>
      <c r="F201" s="867">
        <f>'service q'!L88</f>
        <v>46420.4</v>
      </c>
      <c r="G201" s="127"/>
    </row>
    <row r="202" spans="1:7" ht="33" customHeight="1" x14ac:dyDescent="0.15">
      <c r="A202" s="117"/>
      <c r="B202" s="118" t="s">
        <v>95</v>
      </c>
      <c r="C202" s="119">
        <f>SUM(C197:C201)</f>
        <v>145680.5</v>
      </c>
      <c r="D202" s="119">
        <f>SUM(D197:D201)</f>
        <v>155517.45000000001</v>
      </c>
      <c r="E202" s="119">
        <f>SUM(E197:E201)</f>
        <v>20818.7</v>
      </c>
      <c r="F202" s="119">
        <f>SUM(F197:F201)</f>
        <v>176336.15</v>
      </c>
    </row>
    <row r="203" spans="1:7" ht="33" customHeight="1" thickBot="1" x14ac:dyDescent="0.2">
      <c r="A203" s="92"/>
      <c r="B203" s="100" t="s">
        <v>231</v>
      </c>
      <c r="C203" s="94">
        <f>C202+C195</f>
        <v>260936.5</v>
      </c>
      <c r="D203" s="94">
        <f>D202+D195</f>
        <v>269691.18</v>
      </c>
      <c r="E203" s="94">
        <f>E202+E195</f>
        <v>20818.7</v>
      </c>
      <c r="F203" s="94">
        <f>F202+F195</f>
        <v>290509.88</v>
      </c>
    </row>
    <row r="204" spans="1:7" ht="33" customHeight="1" x14ac:dyDescent="0.15">
      <c r="A204" s="25"/>
      <c r="B204" s="25"/>
      <c r="C204" s="84"/>
      <c r="D204" s="84"/>
      <c r="E204" s="84"/>
      <c r="F204" s="84"/>
    </row>
    <row r="205" spans="1:7" ht="33" customHeight="1" x14ac:dyDescent="0.15">
      <c r="A205" s="23" t="s">
        <v>33</v>
      </c>
      <c r="B205" s="23"/>
      <c r="C205" s="85"/>
      <c r="D205" s="85"/>
      <c r="E205" s="85"/>
      <c r="F205" s="85"/>
    </row>
    <row r="206" spans="1:7" ht="33" customHeight="1" x14ac:dyDescent="0.2">
      <c r="A206" s="23" t="s">
        <v>34</v>
      </c>
      <c r="B206" s="23"/>
      <c r="C206" s="144">
        <f>F203</f>
        <v>290509.88</v>
      </c>
      <c r="D206" s="85"/>
      <c r="E206" s="85"/>
      <c r="F206" s="85"/>
    </row>
    <row r="207" spans="1:7" ht="33" customHeight="1" x14ac:dyDescent="0.15">
      <c r="A207" s="25"/>
      <c r="B207" s="25" t="s">
        <v>40</v>
      </c>
      <c r="C207" s="84"/>
      <c r="D207" s="84"/>
      <c r="E207" s="111" t="s">
        <v>41</v>
      </c>
      <c r="F207" s="84"/>
    </row>
    <row r="208" spans="1:7" ht="33" customHeight="1" thickBot="1" x14ac:dyDescent="0.2">
      <c r="A208" s="1082" t="s">
        <v>195</v>
      </c>
      <c r="B208" s="1082"/>
      <c r="C208" s="1082"/>
      <c r="D208" s="1082"/>
      <c r="E208" s="1082"/>
      <c r="F208" s="1082"/>
    </row>
    <row r="209" spans="1:7" ht="33" customHeight="1" thickBot="1" x14ac:dyDescent="0.2">
      <c r="A209" s="21"/>
      <c r="B209" s="22"/>
      <c r="C209" s="82"/>
      <c r="D209" s="82"/>
      <c r="E209" s="82"/>
      <c r="F209" s="83"/>
    </row>
    <row r="210" spans="1:7" ht="33" customHeight="1" x14ac:dyDescent="0.15">
      <c r="A210" s="1083" t="s">
        <v>53</v>
      </c>
      <c r="B210" s="1086" t="s">
        <v>54</v>
      </c>
      <c r="C210" s="1089" t="s">
        <v>50</v>
      </c>
      <c r="D210" s="1090"/>
      <c r="E210" s="485"/>
      <c r="F210" s="486"/>
    </row>
    <row r="211" spans="1:7" ht="33" customHeight="1" x14ac:dyDescent="0.15">
      <c r="A211" s="1084"/>
      <c r="B211" s="1087"/>
      <c r="C211" s="1091" t="s">
        <v>6</v>
      </c>
      <c r="D211" s="1093" t="s">
        <v>55</v>
      </c>
      <c r="E211" s="1094"/>
      <c r="F211" s="1095" t="s">
        <v>335</v>
      </c>
    </row>
    <row r="212" spans="1:7" ht="33" customHeight="1" thickBot="1" x14ac:dyDescent="0.2">
      <c r="A212" s="1085"/>
      <c r="B212" s="1088"/>
      <c r="C212" s="1092"/>
      <c r="D212" s="354" t="s">
        <v>98</v>
      </c>
      <c r="E212" s="487" t="s">
        <v>99</v>
      </c>
      <c r="F212" s="1096"/>
    </row>
    <row r="213" spans="1:7" ht="33" customHeight="1" x14ac:dyDescent="0.15">
      <c r="A213" s="13"/>
      <c r="B213" s="14" t="s">
        <v>28</v>
      </c>
      <c r="C213" s="78"/>
      <c r="D213" s="78"/>
      <c r="E213" s="78"/>
      <c r="F213" s="79"/>
    </row>
    <row r="214" spans="1:7" s="126" customFormat="1" ht="33" customHeight="1" x14ac:dyDescent="0.2">
      <c r="A214" s="132">
        <v>1</v>
      </c>
      <c r="B214" s="121" t="s">
        <v>29</v>
      </c>
      <c r="C214" s="122">
        <f>Gener!I17</f>
        <v>9430</v>
      </c>
      <c r="D214" s="122">
        <f>Gener!J17</f>
        <v>3892.04</v>
      </c>
      <c r="E214" s="122">
        <f>Gener!K17</f>
        <v>0</v>
      </c>
      <c r="F214" s="133">
        <f>E214+D214</f>
        <v>3892.04</v>
      </c>
      <c r="G214" s="127"/>
    </row>
    <row r="215" spans="1:7" s="126" customFormat="1" ht="33" customHeight="1" x14ac:dyDescent="0.2">
      <c r="A215" s="132">
        <v>2</v>
      </c>
      <c r="B215" s="121" t="s">
        <v>30</v>
      </c>
      <c r="C215" s="122">
        <f>Gener!I38</f>
        <v>58303</v>
      </c>
      <c r="D215" s="122">
        <f>Gener!J38</f>
        <v>27486.949999999997</v>
      </c>
      <c r="E215" s="122">
        <f>Gener!K38</f>
        <v>0</v>
      </c>
      <c r="F215" s="133">
        <f>E215+D215</f>
        <v>27486.949999999997</v>
      </c>
      <c r="G215" s="127"/>
    </row>
    <row r="216" spans="1:7" s="126" customFormat="1" ht="33" customHeight="1" x14ac:dyDescent="0.2">
      <c r="A216" s="132">
        <v>3</v>
      </c>
      <c r="B216" s="121" t="s">
        <v>31</v>
      </c>
      <c r="C216" s="122">
        <f>Gener!I42</f>
        <v>22800</v>
      </c>
      <c r="D216" s="122">
        <f>Gener!J42</f>
        <v>9752.7999999999993</v>
      </c>
      <c r="E216" s="122">
        <f>Gener!K42</f>
        <v>0</v>
      </c>
      <c r="F216" s="133">
        <f>E216+D216</f>
        <v>9752.7999999999993</v>
      </c>
      <c r="G216" s="127"/>
    </row>
    <row r="217" spans="1:7" ht="33" customHeight="1" thickBot="1" x14ac:dyDescent="0.2">
      <c r="A217" s="18"/>
      <c r="B217" s="19" t="s">
        <v>232</v>
      </c>
      <c r="C217" s="33">
        <f>SUM(C214:C216)</f>
        <v>90533</v>
      </c>
      <c r="D217" s="33">
        <f>SUM(D214:D216)</f>
        <v>41131.789999999994</v>
      </c>
      <c r="E217" s="33">
        <f>SUM(E214:E216)</f>
        <v>0</v>
      </c>
      <c r="F217" s="33">
        <f>SUM(F214:F216)</f>
        <v>41131.789999999994</v>
      </c>
    </row>
    <row r="218" spans="1:7" ht="33" customHeight="1" x14ac:dyDescent="0.15">
      <c r="A218" s="73"/>
      <c r="B218" s="81" t="s">
        <v>82</v>
      </c>
      <c r="C218" s="74"/>
      <c r="D218" s="74"/>
      <c r="E218" s="74"/>
      <c r="F218" s="86"/>
    </row>
    <row r="219" spans="1:7" s="126" customFormat="1" ht="33" customHeight="1" x14ac:dyDescent="0.2">
      <c r="A219" s="136">
        <v>1</v>
      </c>
      <c r="B219" s="129" t="s">
        <v>30</v>
      </c>
      <c r="C219" s="130">
        <f>Gener!I59</f>
        <v>23635</v>
      </c>
      <c r="D219" s="130">
        <f>Gener!J59</f>
        <v>12513.58</v>
      </c>
      <c r="E219" s="130">
        <f>Gener!K59</f>
        <v>0</v>
      </c>
      <c r="F219" s="130">
        <f>Gener!L59</f>
        <v>12513.58</v>
      </c>
      <c r="G219" s="127"/>
    </row>
    <row r="220" spans="1:7" s="126" customFormat="1" ht="33" customHeight="1" x14ac:dyDescent="0.2">
      <c r="A220" s="128">
        <v>2</v>
      </c>
      <c r="B220" s="129" t="s">
        <v>331</v>
      </c>
      <c r="C220" s="130">
        <f>Gener!I62</f>
        <v>18600</v>
      </c>
      <c r="D220" s="130">
        <f>Gener!J62</f>
        <v>19790.400000000001</v>
      </c>
      <c r="E220" s="130">
        <f>Gener!K62</f>
        <v>0</v>
      </c>
      <c r="F220" s="130">
        <f>Gener!L62</f>
        <v>19790.400000000001</v>
      </c>
      <c r="G220" s="127"/>
    </row>
    <row r="221" spans="1:7" s="126" customFormat="1" ht="33" customHeight="1" x14ac:dyDescent="0.2">
      <c r="A221" s="132">
        <v>3</v>
      </c>
      <c r="B221" s="134" t="s">
        <v>175</v>
      </c>
      <c r="C221" s="122">
        <f>Gener!I66</f>
        <v>9800</v>
      </c>
      <c r="D221" s="122">
        <f>Gener!J66</f>
        <v>8650.9500000000007</v>
      </c>
      <c r="E221" s="122">
        <f>Gener!K66</f>
        <v>3634.25</v>
      </c>
      <c r="F221" s="122">
        <f>Gener!L66</f>
        <v>12285.2</v>
      </c>
      <c r="G221" s="127"/>
    </row>
    <row r="222" spans="1:7" s="126" customFormat="1" ht="33" customHeight="1" x14ac:dyDescent="0.2">
      <c r="A222" s="132">
        <v>4</v>
      </c>
      <c r="B222" s="134" t="s">
        <v>176</v>
      </c>
      <c r="C222" s="122">
        <f>Gener!I74</f>
        <v>6950</v>
      </c>
      <c r="D222" s="122">
        <f>Gener!J74</f>
        <v>4701.21</v>
      </c>
      <c r="E222" s="122">
        <f>Gener!K74</f>
        <v>2509.5</v>
      </c>
      <c r="F222" s="122">
        <f>Gener!L74</f>
        <v>7210.71</v>
      </c>
      <c r="G222" s="127"/>
    </row>
    <row r="223" spans="1:7" s="126" customFormat="1" ht="33" customHeight="1" x14ac:dyDescent="0.2">
      <c r="A223" s="132">
        <v>6</v>
      </c>
      <c r="B223" s="134" t="s">
        <v>332</v>
      </c>
      <c r="C223" s="122">
        <f>Gener!I86</f>
        <v>58865</v>
      </c>
      <c r="D223" s="122">
        <f>Gener!J86</f>
        <v>7064.4000000000005</v>
      </c>
      <c r="E223" s="122">
        <f>Gener!K86</f>
        <v>10088.349999999999</v>
      </c>
      <c r="F223" s="122">
        <f>Gener!L86</f>
        <v>17152.75</v>
      </c>
      <c r="G223" s="127"/>
    </row>
    <row r="224" spans="1:7" ht="33" customHeight="1" thickBot="1" x14ac:dyDescent="0.2">
      <c r="A224" s="92"/>
      <c r="B224" s="100" t="s">
        <v>333</v>
      </c>
      <c r="C224" s="94">
        <f>SUM(C219:C223)</f>
        <v>117850</v>
      </c>
      <c r="D224" s="94">
        <f>SUM(D219:D223)</f>
        <v>52720.540000000008</v>
      </c>
      <c r="E224" s="94">
        <f>SUM(E219:E223)</f>
        <v>16232.099999999999</v>
      </c>
      <c r="F224" s="94">
        <f>SUM(F219:F223)</f>
        <v>68952.640000000014</v>
      </c>
    </row>
    <row r="225" spans="1:7" ht="33" customHeight="1" thickBot="1" x14ac:dyDescent="0.2">
      <c r="A225" s="92"/>
      <c r="B225" s="100" t="s">
        <v>231</v>
      </c>
      <c r="C225" s="94">
        <f>C224+C217</f>
        <v>208383</v>
      </c>
      <c r="D225" s="94">
        <f>D224+D217</f>
        <v>93852.33</v>
      </c>
      <c r="E225" s="94">
        <f>E224+E217</f>
        <v>16232.099999999999</v>
      </c>
      <c r="F225" s="94">
        <f>F224+F217</f>
        <v>110084.43000000001</v>
      </c>
    </row>
    <row r="226" spans="1:7" ht="33" customHeight="1" x14ac:dyDescent="0.15">
      <c r="A226" s="25"/>
      <c r="B226" s="25"/>
      <c r="C226" s="84"/>
      <c r="D226" s="84"/>
      <c r="E226" s="84"/>
      <c r="F226" s="84"/>
    </row>
    <row r="227" spans="1:7" ht="33" customHeight="1" x14ac:dyDescent="0.15">
      <c r="A227" s="23" t="s">
        <v>33</v>
      </c>
      <c r="B227" s="23"/>
      <c r="C227" s="85"/>
      <c r="D227" s="85"/>
      <c r="E227" s="85"/>
      <c r="F227" s="85"/>
    </row>
    <row r="228" spans="1:7" ht="33" customHeight="1" x14ac:dyDescent="0.2">
      <c r="A228" s="23" t="s">
        <v>34</v>
      </c>
      <c r="B228" s="23"/>
      <c r="C228" s="144">
        <f>F225</f>
        <v>110084.43000000001</v>
      </c>
      <c r="D228" s="85"/>
      <c r="E228" s="85"/>
      <c r="F228" s="85"/>
    </row>
    <row r="229" spans="1:7" ht="33" customHeight="1" x14ac:dyDescent="0.15">
      <c r="A229" s="25"/>
      <c r="B229" s="25" t="s">
        <v>40</v>
      </c>
      <c r="C229" s="84"/>
      <c r="D229" s="84"/>
      <c r="E229" s="111" t="s">
        <v>41</v>
      </c>
      <c r="F229" s="84"/>
    </row>
    <row r="230" spans="1:7" ht="33" customHeight="1" thickBot="1" x14ac:dyDescent="0.2">
      <c r="A230" s="1082" t="s">
        <v>222</v>
      </c>
      <c r="B230" s="1082"/>
      <c r="C230" s="1082"/>
      <c r="D230" s="1082"/>
      <c r="E230" s="1082"/>
      <c r="F230" s="1082"/>
    </row>
    <row r="231" spans="1:7" ht="33" customHeight="1" thickBot="1" x14ac:dyDescent="0.2">
      <c r="A231" s="21"/>
      <c r="B231" s="22"/>
      <c r="C231" s="82"/>
      <c r="D231" s="82"/>
      <c r="E231" s="82"/>
      <c r="F231" s="83"/>
    </row>
    <row r="232" spans="1:7" ht="33" customHeight="1" x14ac:dyDescent="0.15">
      <c r="A232" s="1083" t="s">
        <v>53</v>
      </c>
      <c r="B232" s="1086" t="s">
        <v>54</v>
      </c>
      <c r="C232" s="1089" t="s">
        <v>50</v>
      </c>
      <c r="D232" s="1090"/>
      <c r="E232" s="485"/>
      <c r="F232" s="486"/>
    </row>
    <row r="233" spans="1:7" ht="33" customHeight="1" x14ac:dyDescent="0.15">
      <c r="A233" s="1084"/>
      <c r="B233" s="1087"/>
      <c r="C233" s="1091" t="s">
        <v>6</v>
      </c>
      <c r="D233" s="1093" t="s">
        <v>55</v>
      </c>
      <c r="E233" s="1094"/>
      <c r="F233" s="1095" t="s">
        <v>335</v>
      </c>
    </row>
    <row r="234" spans="1:7" ht="33" customHeight="1" thickBot="1" x14ac:dyDescent="0.2">
      <c r="A234" s="1085"/>
      <c r="B234" s="1088"/>
      <c r="C234" s="1092"/>
      <c r="D234" s="354" t="s">
        <v>98</v>
      </c>
      <c r="E234" s="487" t="s">
        <v>99</v>
      </c>
      <c r="F234" s="1096"/>
    </row>
    <row r="235" spans="1:7" ht="33" customHeight="1" x14ac:dyDescent="0.15">
      <c r="A235" s="13"/>
      <c r="B235" s="14" t="s">
        <v>28</v>
      </c>
      <c r="C235" s="78"/>
      <c r="D235" s="78"/>
      <c r="E235" s="78"/>
      <c r="F235" s="79"/>
    </row>
    <row r="236" spans="1:7" s="126" customFormat="1" ht="33" customHeight="1" x14ac:dyDescent="0.2">
      <c r="A236" s="132">
        <v>1</v>
      </c>
      <c r="B236" s="121" t="s">
        <v>29</v>
      </c>
      <c r="C236" s="122">
        <f>Transformer!I17</f>
        <v>17272.55</v>
      </c>
      <c r="D236" s="122">
        <f>Transformer!J17</f>
        <v>6924.65</v>
      </c>
      <c r="E236" s="122">
        <f>Transformer!K17</f>
        <v>0</v>
      </c>
      <c r="F236" s="133">
        <f>E236+D236</f>
        <v>6924.65</v>
      </c>
      <c r="G236" s="127"/>
    </row>
    <row r="237" spans="1:7" s="126" customFormat="1" ht="33" customHeight="1" x14ac:dyDescent="0.2">
      <c r="A237" s="132">
        <v>2</v>
      </c>
      <c r="B237" s="121" t="s">
        <v>30</v>
      </c>
      <c r="C237" s="122">
        <f>Transformer!I35</f>
        <v>45600.5</v>
      </c>
      <c r="D237" s="122">
        <f>Transformer!J35</f>
        <v>25132.579999999998</v>
      </c>
      <c r="E237" s="122">
        <f>Transformer!K35</f>
        <v>3623.55</v>
      </c>
      <c r="F237" s="133">
        <f>E237+D237</f>
        <v>28756.129999999997</v>
      </c>
      <c r="G237" s="127"/>
    </row>
    <row r="238" spans="1:7" s="126" customFormat="1" ht="33" customHeight="1" x14ac:dyDescent="0.2">
      <c r="A238" s="132">
        <v>3</v>
      </c>
      <c r="B238" s="121" t="s">
        <v>31</v>
      </c>
      <c r="C238" s="122">
        <f>Transformer!I39</f>
        <v>11136</v>
      </c>
      <c r="D238" s="122">
        <f>Transformer!J39</f>
        <v>15859.199999999999</v>
      </c>
      <c r="E238" s="122">
        <f>Transformer!K39</f>
        <v>0</v>
      </c>
      <c r="F238" s="133">
        <f>E238+D238</f>
        <v>15859.199999999999</v>
      </c>
      <c r="G238" s="127"/>
    </row>
    <row r="239" spans="1:7" ht="33" customHeight="1" thickBot="1" x14ac:dyDescent="0.2">
      <c r="A239" s="18"/>
      <c r="B239" s="101" t="s">
        <v>232</v>
      </c>
      <c r="C239" s="33">
        <f>SUM(C236:C238)</f>
        <v>74009.05</v>
      </c>
      <c r="D239" s="33">
        <f>SUM(D236:D238)</f>
        <v>47916.429999999993</v>
      </c>
      <c r="E239" s="33">
        <f>SUM(E236:E238)</f>
        <v>3623.55</v>
      </c>
      <c r="F239" s="33">
        <f>SUM(F236:F238)</f>
        <v>51539.979999999996</v>
      </c>
    </row>
    <row r="240" spans="1:7" ht="33" customHeight="1" x14ac:dyDescent="0.15">
      <c r="A240" s="73"/>
      <c r="B240" s="81" t="s">
        <v>82</v>
      </c>
      <c r="C240" s="74"/>
      <c r="D240" s="74"/>
      <c r="E240" s="74"/>
      <c r="F240" s="86"/>
    </row>
    <row r="241" spans="1:7" s="126" customFormat="1" ht="33" customHeight="1" x14ac:dyDescent="0.2">
      <c r="A241" s="136">
        <v>1</v>
      </c>
      <c r="B241" s="129" t="s">
        <v>30</v>
      </c>
      <c r="C241" s="130">
        <f>Transformer!I61</f>
        <v>55625.899999999994</v>
      </c>
      <c r="D241" s="130">
        <f>Transformer!J61</f>
        <v>45961.340000000004</v>
      </c>
      <c r="E241" s="130">
        <f>Transformer!K61</f>
        <v>12101.279999999999</v>
      </c>
      <c r="F241" s="137">
        <f>E241+D241</f>
        <v>58062.62</v>
      </c>
      <c r="G241" s="127"/>
    </row>
    <row r="242" spans="1:7" ht="33" customHeight="1" thickBot="1" x14ac:dyDescent="0.2">
      <c r="A242" s="92"/>
      <c r="B242" s="100" t="s">
        <v>333</v>
      </c>
      <c r="C242" s="94">
        <f>C241</f>
        <v>55625.899999999994</v>
      </c>
      <c r="D242" s="94">
        <f>D241</f>
        <v>45961.340000000004</v>
      </c>
      <c r="E242" s="94">
        <f>E241</f>
        <v>12101.279999999999</v>
      </c>
      <c r="F242" s="94">
        <f>F241</f>
        <v>58062.62</v>
      </c>
    </row>
    <row r="243" spans="1:7" ht="33" customHeight="1" thickBot="1" x14ac:dyDescent="0.2">
      <c r="A243" s="92"/>
      <c r="B243" s="100" t="s">
        <v>231</v>
      </c>
      <c r="C243" s="94">
        <f>C242+C239</f>
        <v>129634.95</v>
      </c>
      <c r="D243" s="94">
        <f>D242+D239</f>
        <v>93877.76999999999</v>
      </c>
      <c r="E243" s="94">
        <f>E242+E239</f>
        <v>15724.829999999998</v>
      </c>
      <c r="F243" s="94">
        <f>F242+F239</f>
        <v>109602.6</v>
      </c>
    </row>
    <row r="244" spans="1:7" ht="33" customHeight="1" x14ac:dyDescent="0.15">
      <c r="A244" s="25"/>
      <c r="B244" s="25"/>
      <c r="C244" s="84"/>
      <c r="D244" s="84"/>
      <c r="E244" s="84"/>
      <c r="F244" s="84"/>
    </row>
    <row r="245" spans="1:7" ht="33" customHeight="1" x14ac:dyDescent="0.15">
      <c r="A245" s="23" t="s">
        <v>33</v>
      </c>
      <c r="B245" s="23"/>
      <c r="C245" s="85"/>
      <c r="D245" s="85"/>
      <c r="E245" s="85"/>
      <c r="F245" s="85"/>
    </row>
    <row r="246" spans="1:7" ht="33" customHeight="1" x14ac:dyDescent="0.2">
      <c r="A246" s="23" t="s">
        <v>34</v>
      </c>
      <c r="B246" s="23"/>
      <c r="C246" s="144">
        <f>F243</f>
        <v>109602.6</v>
      </c>
      <c r="D246" s="85"/>
      <c r="E246" s="85"/>
      <c r="F246" s="85"/>
    </row>
    <row r="247" spans="1:7" ht="33" customHeight="1" x14ac:dyDescent="0.15">
      <c r="A247" s="25"/>
      <c r="B247" s="25" t="s">
        <v>40</v>
      </c>
      <c r="C247" s="84"/>
      <c r="D247" s="84"/>
      <c r="E247" s="111" t="s">
        <v>41</v>
      </c>
      <c r="F247" s="84"/>
    </row>
    <row r="248" spans="1:7" ht="33" customHeight="1" thickBot="1" x14ac:dyDescent="0.2">
      <c r="A248" s="1082" t="s">
        <v>196</v>
      </c>
      <c r="B248" s="1082"/>
      <c r="C248" s="1082"/>
      <c r="D248" s="1082"/>
      <c r="E248" s="1082"/>
      <c r="F248" s="1082"/>
    </row>
    <row r="249" spans="1:7" ht="33" customHeight="1" thickBot="1" x14ac:dyDescent="0.2">
      <c r="A249" s="21"/>
      <c r="B249" s="22"/>
      <c r="C249" s="82"/>
      <c r="D249" s="82"/>
      <c r="E249" s="82"/>
      <c r="F249" s="83"/>
    </row>
    <row r="250" spans="1:7" ht="33" customHeight="1" x14ac:dyDescent="0.15">
      <c r="A250" s="1083" t="s">
        <v>53</v>
      </c>
      <c r="B250" s="1086" t="s">
        <v>54</v>
      </c>
      <c r="C250" s="1089" t="s">
        <v>50</v>
      </c>
      <c r="D250" s="1090"/>
      <c r="E250" s="485"/>
      <c r="F250" s="486"/>
    </row>
    <row r="251" spans="1:7" ht="33" customHeight="1" x14ac:dyDescent="0.15">
      <c r="A251" s="1084"/>
      <c r="B251" s="1087"/>
      <c r="C251" s="1091" t="s">
        <v>6</v>
      </c>
      <c r="D251" s="1093" t="s">
        <v>55</v>
      </c>
      <c r="E251" s="1094"/>
      <c r="F251" s="1095" t="s">
        <v>335</v>
      </c>
    </row>
    <row r="252" spans="1:7" ht="33" customHeight="1" thickBot="1" x14ac:dyDescent="0.2">
      <c r="A252" s="1085"/>
      <c r="B252" s="1088"/>
      <c r="C252" s="1092"/>
      <c r="D252" s="354" t="s">
        <v>98</v>
      </c>
      <c r="E252" s="487" t="s">
        <v>99</v>
      </c>
      <c r="F252" s="1096"/>
    </row>
    <row r="253" spans="1:7" ht="33" customHeight="1" x14ac:dyDescent="0.15">
      <c r="A253" s="13"/>
      <c r="B253" s="14" t="s">
        <v>28</v>
      </c>
      <c r="C253" s="78"/>
      <c r="D253" s="78"/>
      <c r="E253" s="78"/>
      <c r="F253" s="79"/>
    </row>
    <row r="254" spans="1:7" s="126" customFormat="1" ht="33" customHeight="1" x14ac:dyDescent="0.2">
      <c r="A254" s="132">
        <v>1</v>
      </c>
      <c r="B254" s="121" t="s">
        <v>29</v>
      </c>
      <c r="C254" s="122">
        <f>Kitchen!I14</f>
        <v>97250.77</v>
      </c>
      <c r="D254" s="122">
        <f>Kitchen!J14</f>
        <v>44493.5</v>
      </c>
      <c r="E254" s="122">
        <f>Kitchen!K14</f>
        <v>0</v>
      </c>
      <c r="F254" s="133">
        <f>E254+D254</f>
        <v>44493.5</v>
      </c>
      <c r="G254" s="127"/>
    </row>
    <row r="255" spans="1:7" s="126" customFormat="1" ht="33" customHeight="1" x14ac:dyDescent="0.2">
      <c r="A255" s="132">
        <v>2</v>
      </c>
      <c r="B255" s="121" t="s">
        <v>30</v>
      </c>
      <c r="C255" s="122">
        <f>Kitchen!I33</f>
        <v>279357.53999999998</v>
      </c>
      <c r="D255" s="122">
        <f>Kitchen!J33</f>
        <v>185904.44999999998</v>
      </c>
      <c r="E255" s="122">
        <f>Kitchen!K33</f>
        <v>0</v>
      </c>
      <c r="F255" s="133">
        <f>E255+D255</f>
        <v>185904.44999999998</v>
      </c>
      <c r="G255" s="127"/>
    </row>
    <row r="256" spans="1:7" s="126" customFormat="1" ht="33" customHeight="1" x14ac:dyDescent="0.2">
      <c r="A256" s="132">
        <v>3</v>
      </c>
      <c r="B256" s="121" t="s">
        <v>31</v>
      </c>
      <c r="C256" s="122">
        <f>Kitchen!I37</f>
        <v>53960</v>
      </c>
      <c r="D256" s="122">
        <f>Kitchen!J37</f>
        <v>94076.799999999988</v>
      </c>
      <c r="E256" s="122">
        <f>Kitchen!K37</f>
        <v>0</v>
      </c>
      <c r="F256" s="133">
        <f>E256+D256</f>
        <v>94076.799999999988</v>
      </c>
      <c r="G256" s="127"/>
    </row>
    <row r="257" spans="1:7" ht="33" customHeight="1" thickBot="1" x14ac:dyDescent="0.2">
      <c r="A257" s="117"/>
      <c r="B257" s="118" t="s">
        <v>32</v>
      </c>
      <c r="C257" s="119">
        <f>SUM(C254:C256)</f>
        <v>430568.31</v>
      </c>
      <c r="D257" s="119">
        <f>SUM(D254:D256)</f>
        <v>324474.75</v>
      </c>
      <c r="E257" s="119">
        <f>SUM(E254:E256)</f>
        <v>0</v>
      </c>
      <c r="F257" s="119">
        <f>SUM(F254:F256)</f>
        <v>324474.75</v>
      </c>
    </row>
    <row r="258" spans="1:7" ht="33" customHeight="1" x14ac:dyDescent="0.15">
      <c r="A258" s="28"/>
      <c r="B258" s="29" t="s">
        <v>82</v>
      </c>
      <c r="C258" s="34"/>
      <c r="D258" s="34"/>
      <c r="E258" s="34"/>
      <c r="F258" s="88"/>
    </row>
    <row r="259" spans="1:7" s="126" customFormat="1" ht="33" customHeight="1" x14ac:dyDescent="0.2">
      <c r="A259" s="136">
        <v>1</v>
      </c>
      <c r="B259" s="129" t="s">
        <v>30</v>
      </c>
      <c r="C259" s="130">
        <f>Kitchen!I53</f>
        <v>123286.02</v>
      </c>
      <c r="D259" s="130">
        <f>Kitchen!J53</f>
        <v>105619.26000000001</v>
      </c>
      <c r="E259" s="130">
        <f>Kitchen!K53</f>
        <v>13357.24</v>
      </c>
      <c r="F259" s="130">
        <f>Kitchen!L53</f>
        <v>118976.5</v>
      </c>
      <c r="G259" s="127"/>
    </row>
    <row r="260" spans="1:7" s="126" customFormat="1" ht="33" customHeight="1" x14ac:dyDescent="0.2">
      <c r="A260" s="128">
        <v>2</v>
      </c>
      <c r="B260" s="129" t="s">
        <v>331</v>
      </c>
      <c r="C260" s="130">
        <f>Kitchen!I73</f>
        <v>132879.15</v>
      </c>
      <c r="D260" s="130">
        <f>Kitchen!J73</f>
        <v>109622.2</v>
      </c>
      <c r="E260" s="130">
        <f>Kitchen!K73</f>
        <v>32214</v>
      </c>
      <c r="F260" s="130">
        <f>Kitchen!L73</f>
        <v>141836.20000000001</v>
      </c>
      <c r="G260" s="127"/>
    </row>
    <row r="261" spans="1:7" s="126" customFormat="1" ht="33" customHeight="1" x14ac:dyDescent="0.2">
      <c r="A261" s="132">
        <v>3</v>
      </c>
      <c r="B261" s="134" t="s">
        <v>175</v>
      </c>
      <c r="C261" s="122">
        <f>Kitchen!I77</f>
        <v>92838.45</v>
      </c>
      <c r="D261" s="122">
        <f>Kitchen!J77</f>
        <v>82753.649999999994</v>
      </c>
      <c r="E261" s="122">
        <f>Kitchen!K77</f>
        <v>0</v>
      </c>
      <c r="F261" s="122">
        <f>Kitchen!L77</f>
        <v>82753.649999999994</v>
      </c>
      <c r="G261" s="127"/>
    </row>
    <row r="262" spans="1:7" s="126" customFormat="1" ht="33" customHeight="1" x14ac:dyDescent="0.2">
      <c r="A262" s="132">
        <v>4</v>
      </c>
      <c r="B262" s="134" t="s">
        <v>176</v>
      </c>
      <c r="C262" s="122">
        <f>Kitchen!I85</f>
        <v>45748</v>
      </c>
      <c r="D262" s="122">
        <f>Kitchen!J85</f>
        <v>39738.300000000003</v>
      </c>
      <c r="E262" s="122">
        <f>Kitchen!K85</f>
        <v>7980</v>
      </c>
      <c r="F262" s="122">
        <f>Kitchen!L85</f>
        <v>47718.3</v>
      </c>
      <c r="G262" s="127"/>
    </row>
    <row r="263" spans="1:7" s="126" customFormat="1" ht="33" customHeight="1" x14ac:dyDescent="0.2">
      <c r="A263" s="132">
        <v>6</v>
      </c>
      <c r="B263" s="134" t="s">
        <v>332</v>
      </c>
      <c r="C263" s="122">
        <f>Kitchen!I115</f>
        <v>421516.9</v>
      </c>
      <c r="D263" s="122">
        <f>Kitchen!J115</f>
        <v>0</v>
      </c>
      <c r="E263" s="122">
        <f>Kitchen!K115</f>
        <v>242657.64999999997</v>
      </c>
      <c r="F263" s="122">
        <f>Kitchen!L115</f>
        <v>242657.64999999997</v>
      </c>
      <c r="G263" s="127"/>
    </row>
    <row r="264" spans="1:7" ht="33" customHeight="1" x14ac:dyDescent="0.15">
      <c r="A264" s="117"/>
      <c r="B264" s="118" t="s">
        <v>32</v>
      </c>
      <c r="C264" s="119">
        <f>SUM(C259:C263)</f>
        <v>816268.52</v>
      </c>
      <c r="D264" s="119">
        <f>SUM(D259:D263)</f>
        <v>337733.41</v>
      </c>
      <c r="E264" s="119">
        <f>SUM(E259:E263)</f>
        <v>296208.88999999996</v>
      </c>
      <c r="F264" s="119">
        <f>SUM(F259:F263)</f>
        <v>633942.29999999993</v>
      </c>
    </row>
    <row r="265" spans="1:7" ht="33" customHeight="1" thickBot="1" x14ac:dyDescent="0.2">
      <c r="A265" s="18"/>
      <c r="B265" s="19" t="s">
        <v>127</v>
      </c>
      <c r="C265" s="33">
        <f>C264+C257</f>
        <v>1246836.83</v>
      </c>
      <c r="D265" s="33">
        <f>D264+D257</f>
        <v>662208.15999999992</v>
      </c>
      <c r="E265" s="33">
        <f>E264+E257</f>
        <v>296208.88999999996</v>
      </c>
      <c r="F265" s="33">
        <f>F264+F257</f>
        <v>958417.04999999993</v>
      </c>
    </row>
    <row r="266" spans="1:7" ht="27.75" customHeight="1" x14ac:dyDescent="0.15">
      <c r="A266" s="25"/>
      <c r="B266" s="25"/>
      <c r="C266" s="84"/>
      <c r="D266" s="84"/>
      <c r="E266" s="84"/>
      <c r="F266" s="84"/>
    </row>
    <row r="267" spans="1:7" ht="27.75" customHeight="1" x14ac:dyDescent="0.15">
      <c r="A267" s="23" t="s">
        <v>33</v>
      </c>
      <c r="B267" s="23"/>
      <c r="C267" s="85"/>
      <c r="D267" s="85"/>
      <c r="E267" s="85"/>
      <c r="F267" s="85"/>
    </row>
    <row r="268" spans="1:7" ht="33" customHeight="1" x14ac:dyDescent="0.2">
      <c r="A268" s="23" t="s">
        <v>34</v>
      </c>
      <c r="B268" s="23"/>
      <c r="C268" s="144">
        <f>F265</f>
        <v>958417.04999999993</v>
      </c>
      <c r="D268" s="85"/>
      <c r="E268" s="85"/>
      <c r="F268" s="85"/>
    </row>
    <row r="269" spans="1:7" ht="33" customHeight="1" x14ac:dyDescent="0.15">
      <c r="A269" s="25"/>
      <c r="B269" s="25" t="s">
        <v>40</v>
      </c>
      <c r="C269" s="84"/>
      <c r="D269" s="84"/>
      <c r="E269" s="111" t="s">
        <v>41</v>
      </c>
      <c r="F269" s="84"/>
    </row>
    <row r="270" spans="1:7" ht="33" customHeight="1" thickBot="1" x14ac:dyDescent="0.2">
      <c r="A270" s="1082" t="s">
        <v>223</v>
      </c>
      <c r="B270" s="1082"/>
      <c r="C270" s="1082"/>
      <c r="D270" s="1082"/>
      <c r="E270" s="1082"/>
      <c r="F270" s="1082"/>
    </row>
    <row r="271" spans="1:7" ht="33" customHeight="1" thickBot="1" x14ac:dyDescent="0.2">
      <c r="A271" s="21"/>
      <c r="B271" s="22"/>
      <c r="C271" s="82"/>
      <c r="D271" s="82"/>
      <c r="E271" s="82"/>
      <c r="F271" s="83"/>
    </row>
    <row r="272" spans="1:7" ht="33" customHeight="1" x14ac:dyDescent="0.15">
      <c r="A272" s="1083" t="s">
        <v>53</v>
      </c>
      <c r="B272" s="1086" t="s">
        <v>54</v>
      </c>
      <c r="C272" s="1089" t="s">
        <v>50</v>
      </c>
      <c r="D272" s="1090"/>
      <c r="E272" s="485"/>
      <c r="F272" s="486"/>
    </row>
    <row r="273" spans="1:7" ht="33" customHeight="1" x14ac:dyDescent="0.15">
      <c r="A273" s="1084"/>
      <c r="B273" s="1087"/>
      <c r="C273" s="1091" t="s">
        <v>6</v>
      </c>
      <c r="D273" s="1093" t="s">
        <v>55</v>
      </c>
      <c r="E273" s="1094"/>
      <c r="F273" s="1095" t="s">
        <v>335</v>
      </c>
    </row>
    <row r="274" spans="1:7" ht="33" customHeight="1" thickBot="1" x14ac:dyDescent="0.2">
      <c r="A274" s="1085"/>
      <c r="B274" s="1088"/>
      <c r="C274" s="1092"/>
      <c r="D274" s="354" t="s">
        <v>98</v>
      </c>
      <c r="E274" s="487" t="s">
        <v>99</v>
      </c>
      <c r="F274" s="1096"/>
    </row>
    <row r="275" spans="1:7" ht="33" customHeight="1" x14ac:dyDescent="0.15">
      <c r="A275" s="13"/>
      <c r="B275" s="14" t="s">
        <v>28</v>
      </c>
      <c r="C275" s="78"/>
      <c r="D275" s="78"/>
      <c r="E275" s="78"/>
      <c r="F275" s="79"/>
    </row>
    <row r="276" spans="1:7" s="126" customFormat="1" ht="33" customHeight="1" x14ac:dyDescent="0.2">
      <c r="A276" s="132">
        <v>1</v>
      </c>
      <c r="B276" s="121" t="s">
        <v>29</v>
      </c>
      <c r="C276" s="122">
        <f>store!I17</f>
        <v>27349.45</v>
      </c>
      <c r="D276" s="122">
        <f>store!J17</f>
        <v>16161.93</v>
      </c>
      <c r="E276" s="122">
        <f>store!K17</f>
        <v>0</v>
      </c>
      <c r="F276" s="133">
        <f>E276+D276</f>
        <v>16161.93</v>
      </c>
      <c r="G276" s="127"/>
    </row>
    <row r="277" spans="1:7" s="126" customFormat="1" ht="33" customHeight="1" x14ac:dyDescent="0.2">
      <c r="A277" s="132">
        <v>2</v>
      </c>
      <c r="B277" s="121" t="s">
        <v>30</v>
      </c>
      <c r="C277" s="122">
        <f>store!I38</f>
        <v>94548.59</v>
      </c>
      <c r="D277" s="122">
        <f>store!J38</f>
        <v>68704.73</v>
      </c>
      <c r="E277" s="122">
        <f>store!K38</f>
        <v>16702.399999999998</v>
      </c>
      <c r="F277" s="133">
        <f>E277+D277</f>
        <v>85407.12999999999</v>
      </c>
      <c r="G277" s="127"/>
    </row>
    <row r="278" spans="1:7" s="126" customFormat="1" ht="33" customHeight="1" x14ac:dyDescent="0.2">
      <c r="A278" s="132">
        <v>3</v>
      </c>
      <c r="B278" s="121" t="s">
        <v>31</v>
      </c>
      <c r="C278" s="122">
        <f>store!I42</f>
        <v>42180</v>
      </c>
      <c r="D278" s="122">
        <f>store!J42</f>
        <v>23734.400000000001</v>
      </c>
      <c r="E278" s="122">
        <f>store!K42</f>
        <v>0</v>
      </c>
      <c r="F278" s="133">
        <f>E278+D278</f>
        <v>23734.400000000001</v>
      </c>
      <c r="G278" s="127"/>
    </row>
    <row r="279" spans="1:7" ht="33" customHeight="1" thickBot="1" x14ac:dyDescent="0.2">
      <c r="A279" s="18"/>
      <c r="B279" s="19" t="s">
        <v>232</v>
      </c>
      <c r="C279" s="33">
        <f>SUM(C276:C278)</f>
        <v>164078.03999999998</v>
      </c>
      <c r="D279" s="33">
        <f>SUM(D276:D278)</f>
        <v>108601.06</v>
      </c>
      <c r="E279" s="33">
        <f>SUM(E276:E278)</f>
        <v>16702.399999999998</v>
      </c>
      <c r="F279" s="33">
        <f>SUM(F276:F278)</f>
        <v>125303.45999999999</v>
      </c>
    </row>
    <row r="280" spans="1:7" ht="33" customHeight="1" x14ac:dyDescent="0.15">
      <c r="A280" s="73"/>
      <c r="B280" s="81" t="s">
        <v>82</v>
      </c>
      <c r="C280" s="74"/>
      <c r="D280" s="74"/>
      <c r="E280" s="74"/>
      <c r="F280" s="86"/>
    </row>
    <row r="281" spans="1:7" s="126" customFormat="1" ht="33" customHeight="1" x14ac:dyDescent="0.2">
      <c r="A281" s="136">
        <v>1</v>
      </c>
      <c r="B281" s="129" t="s">
        <v>30</v>
      </c>
      <c r="C281" s="130">
        <f>store!I62</f>
        <v>74434.98000000001</v>
      </c>
      <c r="D281" s="130">
        <f>store!J62</f>
        <v>66141.840000000011</v>
      </c>
      <c r="E281" s="130">
        <f>store!K62</f>
        <v>1204.6199999999999</v>
      </c>
      <c r="F281" s="133">
        <f>E281+D281</f>
        <v>67346.460000000006</v>
      </c>
      <c r="G281" s="127"/>
    </row>
    <row r="282" spans="1:7" s="126" customFormat="1" ht="33" customHeight="1" x14ac:dyDescent="0.2">
      <c r="A282" s="128">
        <v>2</v>
      </c>
      <c r="B282" s="129" t="s">
        <v>331</v>
      </c>
      <c r="C282" s="130">
        <f>store!I67</f>
        <v>64969.899999999994</v>
      </c>
      <c r="D282" s="130">
        <f>store!J67</f>
        <v>55939.5</v>
      </c>
      <c r="E282" s="130">
        <f>store!K67</f>
        <v>13357.6</v>
      </c>
      <c r="F282" s="133">
        <f>E282+D282</f>
        <v>69297.100000000006</v>
      </c>
      <c r="G282" s="127"/>
    </row>
    <row r="283" spans="1:7" s="126" customFormat="1" ht="33" customHeight="1" x14ac:dyDescent="0.2">
      <c r="A283" s="132">
        <v>3</v>
      </c>
      <c r="B283" s="134" t="s">
        <v>175</v>
      </c>
      <c r="C283" s="122">
        <f>store!I71</f>
        <v>31918.45</v>
      </c>
      <c r="D283" s="122">
        <f>store!J71</f>
        <v>26033.7</v>
      </c>
      <c r="E283" s="122">
        <f>store!K71</f>
        <v>0</v>
      </c>
      <c r="F283" s="133">
        <f>E283+D283</f>
        <v>26033.7</v>
      </c>
      <c r="G283" s="127"/>
    </row>
    <row r="284" spans="1:7" s="126" customFormat="1" ht="33" customHeight="1" x14ac:dyDescent="0.2">
      <c r="A284" s="132">
        <v>4</v>
      </c>
      <c r="B284" s="134" t="s">
        <v>176</v>
      </c>
      <c r="C284" s="122">
        <f>store!I78</f>
        <v>24974</v>
      </c>
      <c r="D284" s="122">
        <f>store!J78</f>
        <v>12372.7</v>
      </c>
      <c r="E284" s="122">
        <f>store!K78</f>
        <v>0</v>
      </c>
      <c r="F284" s="133">
        <f>E284+D284</f>
        <v>12372.7</v>
      </c>
      <c r="G284" s="127"/>
    </row>
    <row r="285" spans="1:7" s="126" customFormat="1" ht="33" customHeight="1" x14ac:dyDescent="0.2">
      <c r="A285" s="132">
        <v>6</v>
      </c>
      <c r="B285" s="134" t="s">
        <v>332</v>
      </c>
      <c r="C285" s="122">
        <f>store!I90</f>
        <v>210961.09999999998</v>
      </c>
      <c r="D285" s="122">
        <f>store!J90</f>
        <v>19736.3</v>
      </c>
      <c r="E285" s="122">
        <f>store!K90</f>
        <v>39078.6</v>
      </c>
      <c r="F285" s="133">
        <v>0</v>
      </c>
      <c r="G285" s="127"/>
    </row>
    <row r="286" spans="1:7" ht="33" customHeight="1" x14ac:dyDescent="0.15">
      <c r="A286" s="117"/>
      <c r="B286" s="118" t="s">
        <v>95</v>
      </c>
      <c r="C286" s="119">
        <f>SUM(C281:C285)</f>
        <v>407258.43</v>
      </c>
      <c r="D286" s="119">
        <f>SUM(D281:D285)</f>
        <v>180224.04</v>
      </c>
      <c r="E286" s="119">
        <f>SUM(E281:E285)</f>
        <v>53640.82</v>
      </c>
      <c r="F286" s="119">
        <f>SUM(F281:F285)</f>
        <v>175049.96000000002</v>
      </c>
    </row>
    <row r="287" spans="1:7" ht="33" customHeight="1" thickBot="1" x14ac:dyDescent="0.2">
      <c r="A287" s="92"/>
      <c r="B287" s="100" t="s">
        <v>231</v>
      </c>
      <c r="C287" s="94">
        <f>C286+C279</f>
        <v>571336.47</v>
      </c>
      <c r="D287" s="94">
        <f>D286+D279</f>
        <v>288825.09999999998</v>
      </c>
      <c r="E287" s="94">
        <f>E286+E279</f>
        <v>70343.22</v>
      </c>
      <c r="F287" s="94">
        <f>F286+F279</f>
        <v>300353.42000000004</v>
      </c>
    </row>
    <row r="288" spans="1:7" ht="33" customHeight="1" x14ac:dyDescent="0.15">
      <c r="A288" s="25"/>
      <c r="B288" s="25"/>
      <c r="C288" s="84"/>
      <c r="D288" s="84"/>
      <c r="E288" s="84"/>
      <c r="F288" s="84"/>
    </row>
    <row r="289" spans="1:7" ht="33" customHeight="1" x14ac:dyDescent="0.15">
      <c r="A289" s="23" t="s">
        <v>33</v>
      </c>
      <c r="B289" s="23"/>
      <c r="C289" s="85"/>
      <c r="D289" s="85"/>
      <c r="E289" s="85"/>
      <c r="F289" s="85"/>
    </row>
    <row r="290" spans="1:7" ht="33" customHeight="1" x14ac:dyDescent="0.2">
      <c r="A290" s="23" t="s">
        <v>34</v>
      </c>
      <c r="B290" s="23"/>
      <c r="C290" s="144">
        <f>F287</f>
        <v>300353.42000000004</v>
      </c>
      <c r="D290" s="85"/>
      <c r="E290" s="85"/>
      <c r="F290" s="85"/>
    </row>
    <row r="291" spans="1:7" ht="33" customHeight="1" x14ac:dyDescent="0.15">
      <c r="A291" s="25"/>
      <c r="B291" s="25" t="s">
        <v>40</v>
      </c>
      <c r="C291" s="84"/>
      <c r="D291" s="84"/>
      <c r="E291" s="111" t="s">
        <v>41</v>
      </c>
      <c r="F291" s="84"/>
    </row>
    <row r="292" spans="1:7" ht="33" customHeight="1" thickBot="1" x14ac:dyDescent="0.2">
      <c r="A292" s="1082" t="s">
        <v>278</v>
      </c>
      <c r="B292" s="1082"/>
      <c r="C292" s="1082"/>
      <c r="D292" s="1082"/>
      <c r="E292" s="1082"/>
      <c r="F292" s="1082"/>
    </row>
    <row r="293" spans="1:7" ht="33" customHeight="1" thickBot="1" x14ac:dyDescent="0.2">
      <c r="A293" s="21"/>
      <c r="B293" s="22"/>
      <c r="C293" s="82"/>
      <c r="D293" s="82"/>
      <c r="E293" s="82"/>
      <c r="F293" s="83"/>
    </row>
    <row r="294" spans="1:7" ht="33" customHeight="1" x14ac:dyDescent="0.15">
      <c r="A294" s="1083" t="s">
        <v>53</v>
      </c>
      <c r="B294" s="1086" t="s">
        <v>54</v>
      </c>
      <c r="C294" s="1089" t="s">
        <v>50</v>
      </c>
      <c r="D294" s="1090"/>
      <c r="E294" s="485"/>
      <c r="F294" s="486"/>
    </row>
    <row r="295" spans="1:7" ht="33" customHeight="1" x14ac:dyDescent="0.15">
      <c r="A295" s="1084"/>
      <c r="B295" s="1087"/>
      <c r="C295" s="1091" t="s">
        <v>6</v>
      </c>
      <c r="D295" s="1093" t="s">
        <v>55</v>
      </c>
      <c r="E295" s="1094"/>
      <c r="F295" s="1095" t="s">
        <v>335</v>
      </c>
    </row>
    <row r="296" spans="1:7" ht="33" customHeight="1" thickBot="1" x14ac:dyDescent="0.2">
      <c r="A296" s="1085"/>
      <c r="B296" s="1088"/>
      <c r="C296" s="1092"/>
      <c r="D296" s="354" t="s">
        <v>98</v>
      </c>
      <c r="E296" s="487" t="s">
        <v>99</v>
      </c>
      <c r="F296" s="1096"/>
    </row>
    <row r="297" spans="1:7" ht="33" customHeight="1" x14ac:dyDescent="0.15">
      <c r="A297" s="13"/>
      <c r="B297" s="14" t="s">
        <v>28</v>
      </c>
      <c r="C297" s="78"/>
      <c r="D297" s="78"/>
      <c r="E297" s="78"/>
      <c r="F297" s="79"/>
    </row>
    <row r="298" spans="1:7" s="126" customFormat="1" ht="33" customHeight="1" x14ac:dyDescent="0.2">
      <c r="A298" s="132">
        <v>1</v>
      </c>
      <c r="B298" s="121" t="s">
        <v>29</v>
      </c>
      <c r="C298" s="122">
        <f>Guard!I14</f>
        <v>4674</v>
      </c>
      <c r="D298" s="122">
        <f>Guard!J14</f>
        <v>3997.7599999999998</v>
      </c>
      <c r="E298" s="122">
        <f>Guard!K14</f>
        <v>0</v>
      </c>
      <c r="F298" s="133">
        <f>E298+D298</f>
        <v>3997.7599999999998</v>
      </c>
      <c r="G298" s="127"/>
    </row>
    <row r="299" spans="1:7" s="126" customFormat="1" ht="33" customHeight="1" x14ac:dyDescent="0.2">
      <c r="A299" s="132">
        <v>2</v>
      </c>
      <c r="B299" s="121" t="s">
        <v>30</v>
      </c>
      <c r="C299" s="122">
        <f>Guard!I37</f>
        <v>30521.25</v>
      </c>
      <c r="D299" s="122">
        <f>Guard!J37</f>
        <v>16724.04</v>
      </c>
      <c r="E299" s="122">
        <f>Guard!K37</f>
        <v>0</v>
      </c>
      <c r="F299" s="133">
        <f>E299+D299</f>
        <v>16724.04</v>
      </c>
      <c r="G299" s="127"/>
    </row>
    <row r="300" spans="1:7" s="126" customFormat="1" ht="33" customHeight="1" x14ac:dyDescent="0.2">
      <c r="A300" s="132">
        <v>3</v>
      </c>
      <c r="B300" s="121" t="s">
        <v>31</v>
      </c>
      <c r="C300" s="122">
        <f>Guard!I18</f>
        <v>11040</v>
      </c>
      <c r="D300" s="122">
        <f>Guard!J18</f>
        <v>7737.6</v>
      </c>
      <c r="E300" s="122">
        <f>Guard!K18</f>
        <v>0</v>
      </c>
      <c r="F300" s="133">
        <f>E300+D300</f>
        <v>7737.6</v>
      </c>
      <c r="G300" s="127"/>
    </row>
    <row r="301" spans="1:7" ht="33" customHeight="1" thickBot="1" x14ac:dyDescent="0.2">
      <c r="A301" s="18"/>
      <c r="B301" s="19" t="s">
        <v>232</v>
      </c>
      <c r="C301" s="33">
        <f>SUM(C298:C300)</f>
        <v>46235.25</v>
      </c>
      <c r="D301" s="33">
        <f>SUM(D298:D300)</f>
        <v>28459.4</v>
      </c>
      <c r="E301" s="33">
        <f>SUM(E298:E300)</f>
        <v>0</v>
      </c>
      <c r="F301" s="33">
        <f>SUM(F298:F300)</f>
        <v>28459.4</v>
      </c>
    </row>
    <row r="302" spans="1:7" ht="33" customHeight="1" x14ac:dyDescent="0.15">
      <c r="A302" s="73"/>
      <c r="B302" s="81" t="s">
        <v>82</v>
      </c>
      <c r="C302" s="74"/>
      <c r="D302" s="74"/>
      <c r="E302" s="74"/>
      <c r="F302" s="86"/>
    </row>
    <row r="303" spans="1:7" s="126" customFormat="1" ht="33" customHeight="1" x14ac:dyDescent="0.2">
      <c r="A303" s="136">
        <v>1</v>
      </c>
      <c r="B303" s="129" t="s">
        <v>30</v>
      </c>
      <c r="C303" s="130">
        <f>Guard!I61</f>
        <v>104302</v>
      </c>
      <c r="D303" s="130">
        <f>Guard!J61</f>
        <v>22614.799999999999</v>
      </c>
      <c r="E303" s="130"/>
      <c r="F303" s="130">
        <v>22614.799999999999</v>
      </c>
      <c r="G303" s="127"/>
    </row>
    <row r="304" spans="1:7" s="126" customFormat="1" ht="33" customHeight="1" x14ac:dyDescent="0.2">
      <c r="A304" s="128">
        <v>2</v>
      </c>
      <c r="B304" s="129" t="s">
        <v>331</v>
      </c>
      <c r="C304" s="130">
        <f>Guard!I69</f>
        <v>4900</v>
      </c>
      <c r="D304" s="130">
        <v>14725</v>
      </c>
      <c r="E304" s="130"/>
      <c r="F304" s="130">
        <v>14725</v>
      </c>
      <c r="G304" s="127"/>
    </row>
    <row r="305" spans="1:9" s="126" customFormat="1" ht="33" customHeight="1" x14ac:dyDescent="0.2">
      <c r="A305" s="132">
        <v>3</v>
      </c>
      <c r="B305" s="134" t="s">
        <v>175</v>
      </c>
      <c r="C305" s="122">
        <f>Guard!I69</f>
        <v>4900</v>
      </c>
      <c r="D305" s="122">
        <f>Guard!J69</f>
        <v>6046.6</v>
      </c>
      <c r="E305" s="122"/>
      <c r="F305" s="122">
        <v>6046.6</v>
      </c>
      <c r="G305" s="127"/>
    </row>
    <row r="306" spans="1:9" s="126" customFormat="1" ht="33" customHeight="1" x14ac:dyDescent="0.2">
      <c r="A306" s="132">
        <v>4</v>
      </c>
      <c r="B306" s="134" t="s">
        <v>176</v>
      </c>
      <c r="C306" s="122">
        <f>Guard!I75</f>
        <v>2993</v>
      </c>
      <c r="D306" s="122">
        <f>Guard!J75</f>
        <v>5351.46</v>
      </c>
      <c r="E306" s="122">
        <f>Guard!K75</f>
        <v>0</v>
      </c>
      <c r="F306" s="122">
        <f>Guard!L75</f>
        <v>5351.46</v>
      </c>
      <c r="G306" s="127"/>
    </row>
    <row r="307" spans="1:9" s="126" customFormat="1" ht="33" customHeight="1" x14ac:dyDescent="0.2">
      <c r="A307" s="132">
        <v>6</v>
      </c>
      <c r="B307" s="134" t="s">
        <v>332</v>
      </c>
      <c r="C307" s="122">
        <f>store!I90</f>
        <v>210961.09999999998</v>
      </c>
      <c r="D307" s="122">
        <v>5225</v>
      </c>
      <c r="E307" s="122">
        <f>Guard!$K$80</f>
        <v>9405.2000000000007</v>
      </c>
      <c r="F307" s="122">
        <v>5225</v>
      </c>
      <c r="G307" s="127"/>
    </row>
    <row r="308" spans="1:9" ht="33" customHeight="1" x14ac:dyDescent="0.15">
      <c r="A308" s="117"/>
      <c r="B308" s="118" t="s">
        <v>95</v>
      </c>
      <c r="C308" s="119">
        <f>SUM(C303:C307)</f>
        <v>328056.09999999998</v>
      </c>
      <c r="D308" s="119">
        <f>SUM(D303:D307)</f>
        <v>53962.86</v>
      </c>
      <c r="E308" s="119">
        <f>SUM(E303:E307)</f>
        <v>9405.2000000000007</v>
      </c>
      <c r="F308" s="119">
        <f>SUM(F303:F307)</f>
        <v>53962.86</v>
      </c>
    </row>
    <row r="309" spans="1:9" ht="33" customHeight="1" thickBot="1" x14ac:dyDescent="0.2">
      <c r="A309" s="92"/>
      <c r="B309" s="100" t="s">
        <v>231</v>
      </c>
      <c r="C309" s="94">
        <f>C308+C301</f>
        <v>374291.35</v>
      </c>
      <c r="D309" s="94">
        <f>D308+D301</f>
        <v>82422.260000000009</v>
      </c>
      <c r="E309" s="94">
        <f>E308+E301</f>
        <v>9405.2000000000007</v>
      </c>
      <c r="F309" s="94">
        <f>F308+F301</f>
        <v>82422.260000000009</v>
      </c>
    </row>
    <row r="310" spans="1:9" ht="33" customHeight="1" x14ac:dyDescent="0.15">
      <c r="A310" s="25"/>
      <c r="B310" s="25"/>
      <c r="C310" s="84"/>
      <c r="D310" s="84"/>
      <c r="E310" s="84"/>
      <c r="F310" s="84"/>
    </row>
    <row r="311" spans="1:9" ht="33" customHeight="1" x14ac:dyDescent="0.15">
      <c r="A311" s="23" t="s">
        <v>215</v>
      </c>
      <c r="B311" s="23"/>
      <c r="C311" s="85"/>
      <c r="D311" s="85"/>
      <c r="E311" s="85"/>
      <c r="F311" s="85"/>
    </row>
    <row r="312" spans="1:9" ht="33" customHeight="1" x14ac:dyDescent="0.2">
      <c r="A312" s="23" t="s">
        <v>34</v>
      </c>
      <c r="B312" s="23"/>
      <c r="C312" s="144">
        <f>F309</f>
        <v>82422.260000000009</v>
      </c>
      <c r="D312" s="85"/>
      <c r="E312" s="85"/>
      <c r="F312" s="85"/>
    </row>
    <row r="313" spans="1:9" ht="33" customHeight="1" x14ac:dyDescent="0.15">
      <c r="A313" s="25"/>
      <c r="B313" s="25" t="s">
        <v>40</v>
      </c>
      <c r="C313" s="84"/>
      <c r="D313" s="84"/>
      <c r="E313" s="111" t="s">
        <v>41</v>
      </c>
      <c r="F313" s="84"/>
    </row>
    <row r="314" spans="1:9" ht="33" customHeight="1" thickBot="1" x14ac:dyDescent="0.2">
      <c r="A314" s="1082" t="s">
        <v>226</v>
      </c>
      <c r="B314" s="1082"/>
      <c r="C314" s="1082"/>
      <c r="D314" s="1082"/>
      <c r="E314" s="1082"/>
      <c r="F314" s="1082"/>
    </row>
    <row r="315" spans="1:9" ht="33" customHeight="1" thickBot="1" x14ac:dyDescent="0.2">
      <c r="A315" s="21"/>
      <c r="B315" s="22"/>
      <c r="C315" s="82"/>
      <c r="D315" s="82"/>
      <c r="E315" s="82"/>
      <c r="F315" s="83"/>
    </row>
    <row r="316" spans="1:9" ht="33" customHeight="1" x14ac:dyDescent="0.15">
      <c r="A316" s="1083" t="s">
        <v>53</v>
      </c>
      <c r="B316" s="1086" t="s">
        <v>54</v>
      </c>
      <c r="C316" s="1089" t="s">
        <v>50</v>
      </c>
      <c r="D316" s="1090"/>
      <c r="E316" s="485"/>
      <c r="F316" s="486"/>
    </row>
    <row r="317" spans="1:9" ht="33" customHeight="1" x14ac:dyDescent="0.15">
      <c r="A317" s="1084"/>
      <c r="B317" s="1087"/>
      <c r="C317" s="1091" t="s">
        <v>6</v>
      </c>
      <c r="D317" s="1093" t="s">
        <v>55</v>
      </c>
      <c r="E317" s="1094"/>
      <c r="F317" s="1095" t="s">
        <v>335</v>
      </c>
    </row>
    <row r="318" spans="1:9" ht="33" customHeight="1" thickBot="1" x14ac:dyDescent="0.2">
      <c r="A318" s="1085"/>
      <c r="B318" s="1088"/>
      <c r="C318" s="1092"/>
      <c r="D318" s="354" t="s">
        <v>98</v>
      </c>
      <c r="E318" s="487" t="s">
        <v>99</v>
      </c>
      <c r="F318" s="1096"/>
    </row>
    <row r="319" spans="1:9" s="126" customFormat="1" ht="33" customHeight="1" x14ac:dyDescent="0.2">
      <c r="A319" s="141"/>
      <c r="B319" s="142" t="s">
        <v>227</v>
      </c>
      <c r="C319" s="143"/>
      <c r="D319" s="143"/>
      <c r="E319" s="143"/>
      <c r="F319" s="143"/>
      <c r="G319" s="127"/>
    </row>
    <row r="320" spans="1:9" customFormat="1" ht="33" customHeight="1" x14ac:dyDescent="0.2">
      <c r="A320" s="758"/>
      <c r="B320" s="759" t="s">
        <v>274</v>
      </c>
      <c r="C320" s="210">
        <f>civil!I12</f>
        <v>435000</v>
      </c>
      <c r="D320" s="210">
        <f>civil!J12</f>
        <v>87830</v>
      </c>
      <c r="E320" s="210">
        <f>civil!K12</f>
        <v>0</v>
      </c>
      <c r="F320" s="210">
        <f>D320+E320</f>
        <v>87830</v>
      </c>
      <c r="G320" s="171"/>
      <c r="H320" s="161"/>
      <c r="I320" s="161"/>
    </row>
    <row r="321" spans="1:9" customFormat="1" ht="33" customHeight="1" x14ac:dyDescent="0.2">
      <c r="A321" s="762"/>
      <c r="B321" s="128" t="s">
        <v>382</v>
      </c>
      <c r="C321" s="202">
        <f>civil!I22+civil!I33</f>
        <v>412967.5</v>
      </c>
      <c r="D321" s="202">
        <f>civil!J33+civil!J22</f>
        <v>583970.55000000005</v>
      </c>
      <c r="E321" s="202">
        <v>602724.26</v>
      </c>
      <c r="F321" s="202">
        <f>D321+E321</f>
        <v>1186694.81</v>
      </c>
      <c r="G321" s="89"/>
      <c r="H321" s="760"/>
      <c r="I321" s="760"/>
    </row>
    <row r="322" spans="1:9" s="156" customFormat="1" ht="33" customHeight="1" thickBot="1" x14ac:dyDescent="0.2">
      <c r="A322" s="92"/>
      <c r="B322" s="761" t="s">
        <v>248</v>
      </c>
      <c r="C322" s="94">
        <f>SUM(C320:C321)</f>
        <v>847967.5</v>
      </c>
      <c r="D322" s="94">
        <f>SUM(D320:D321)</f>
        <v>671800.55</v>
      </c>
      <c r="E322" s="94">
        <f>SUM(E320:E321)</f>
        <v>602724.26</v>
      </c>
      <c r="F322" s="94">
        <f>F320+F321</f>
        <v>1274524.81</v>
      </c>
      <c r="G322" s="157"/>
    </row>
    <row r="323" spans="1:9" x14ac:dyDescent="0.15">
      <c r="A323" s="25"/>
      <c r="B323" s="25"/>
      <c r="C323" s="84"/>
      <c r="D323" s="84"/>
      <c r="E323" s="84"/>
      <c r="F323" s="84"/>
    </row>
    <row r="324" spans="1:9" x14ac:dyDescent="0.15">
      <c r="A324" s="23" t="s">
        <v>215</v>
      </c>
      <c r="B324" s="23"/>
      <c r="C324" s="85"/>
      <c r="D324" s="85"/>
      <c r="E324" s="85"/>
      <c r="F324" s="85"/>
    </row>
    <row r="325" spans="1:9" ht="21" x14ac:dyDescent="0.25">
      <c r="A325" s="23" t="s">
        <v>34</v>
      </c>
      <c r="B325" s="23"/>
      <c r="C325" s="167">
        <f>F322</f>
        <v>1274524.81</v>
      </c>
      <c r="D325" s="85"/>
      <c r="E325" s="85"/>
      <c r="F325" s="85"/>
    </row>
    <row r="326" spans="1:9" ht="33" customHeight="1" x14ac:dyDescent="0.15">
      <c r="A326" s="25"/>
      <c r="B326" s="25" t="s">
        <v>40</v>
      </c>
      <c r="C326" s="84"/>
      <c r="D326" s="84"/>
      <c r="E326" s="111" t="s">
        <v>41</v>
      </c>
      <c r="F326" s="84"/>
    </row>
    <row r="327" spans="1:9" x14ac:dyDescent="0.15">
      <c r="A327" s="25"/>
      <c r="B327" s="25"/>
      <c r="C327" s="84"/>
      <c r="D327" s="84"/>
      <c r="E327" s="84"/>
      <c r="F327" s="84"/>
    </row>
  </sheetData>
  <mergeCells count="105">
    <mergeCell ref="D211:E211"/>
    <mergeCell ref="F211:F212"/>
    <mergeCell ref="A24:F24"/>
    <mergeCell ref="A26:A28"/>
    <mergeCell ref="B26:B28"/>
    <mergeCell ref="C26:D26"/>
    <mergeCell ref="C27:C28"/>
    <mergeCell ref="D27:E27"/>
    <mergeCell ref="F27:F28"/>
    <mergeCell ref="F122:F123"/>
    <mergeCell ref="A208:F208"/>
    <mergeCell ref="A210:A212"/>
    <mergeCell ref="B210:B212"/>
    <mergeCell ref="C210:D210"/>
    <mergeCell ref="C211:C212"/>
    <mergeCell ref="A186:F186"/>
    <mergeCell ref="A188:A190"/>
    <mergeCell ref="B188:B190"/>
    <mergeCell ref="C188:D188"/>
    <mergeCell ref="C189:C190"/>
    <mergeCell ref="D189:E189"/>
    <mergeCell ref="F189:F190"/>
    <mergeCell ref="A1:F1"/>
    <mergeCell ref="C3:D3"/>
    <mergeCell ref="D4:E4"/>
    <mergeCell ref="A3:A5"/>
    <mergeCell ref="B3:B5"/>
    <mergeCell ref="C4:C5"/>
    <mergeCell ref="A48:F48"/>
    <mergeCell ref="A50:A52"/>
    <mergeCell ref="B50:B52"/>
    <mergeCell ref="C50:D50"/>
    <mergeCell ref="C51:C52"/>
    <mergeCell ref="D51:E51"/>
    <mergeCell ref="F4:F5"/>
    <mergeCell ref="A119:F119"/>
    <mergeCell ref="A142:F142"/>
    <mergeCell ref="A96:A98"/>
    <mergeCell ref="A71:F71"/>
    <mergeCell ref="A73:A75"/>
    <mergeCell ref="B73:B75"/>
    <mergeCell ref="C73:D73"/>
    <mergeCell ref="C74:C75"/>
    <mergeCell ref="C97:C98"/>
    <mergeCell ref="F51:F52"/>
    <mergeCell ref="A121:A123"/>
    <mergeCell ref="B121:B123"/>
    <mergeCell ref="C121:D121"/>
    <mergeCell ref="C122:C123"/>
    <mergeCell ref="D122:E122"/>
    <mergeCell ref="D74:E74"/>
    <mergeCell ref="A164:F164"/>
    <mergeCell ref="A166:A168"/>
    <mergeCell ref="B166:B168"/>
    <mergeCell ref="C166:D166"/>
    <mergeCell ref="C167:C168"/>
    <mergeCell ref="D167:E167"/>
    <mergeCell ref="F167:F168"/>
    <mergeCell ref="F74:F75"/>
    <mergeCell ref="B96:B98"/>
    <mergeCell ref="C96:D96"/>
    <mergeCell ref="A94:F94"/>
    <mergeCell ref="D97:E97"/>
    <mergeCell ref="F97:F98"/>
    <mergeCell ref="A144:A146"/>
    <mergeCell ref="B144:B146"/>
    <mergeCell ref="C144:D144"/>
    <mergeCell ref="C145:C146"/>
    <mergeCell ref="D145:E145"/>
    <mergeCell ref="F145:F146"/>
    <mergeCell ref="A230:F230"/>
    <mergeCell ref="A232:A234"/>
    <mergeCell ref="B232:B234"/>
    <mergeCell ref="C232:D232"/>
    <mergeCell ref="C233:C234"/>
    <mergeCell ref="D233:E233"/>
    <mergeCell ref="F233:F234"/>
    <mergeCell ref="A316:A318"/>
    <mergeCell ref="B316:B318"/>
    <mergeCell ref="C316:D316"/>
    <mergeCell ref="C317:C318"/>
    <mergeCell ref="D317:E317"/>
    <mergeCell ref="F317:F318"/>
    <mergeCell ref="B272:B274"/>
    <mergeCell ref="C272:D272"/>
    <mergeCell ref="C273:C274"/>
    <mergeCell ref="D273:E273"/>
    <mergeCell ref="F273:F274"/>
    <mergeCell ref="A314:F314"/>
    <mergeCell ref="A270:F270"/>
    <mergeCell ref="A272:A274"/>
    <mergeCell ref="A292:F292"/>
    <mergeCell ref="A294:A296"/>
    <mergeCell ref="B294:B296"/>
    <mergeCell ref="C294:D294"/>
    <mergeCell ref="C295:C296"/>
    <mergeCell ref="D295:E295"/>
    <mergeCell ref="F295:F296"/>
    <mergeCell ref="A248:F248"/>
    <mergeCell ref="A250:A252"/>
    <mergeCell ref="B250:B252"/>
    <mergeCell ref="C250:D250"/>
    <mergeCell ref="C251:C252"/>
    <mergeCell ref="D251:E251"/>
    <mergeCell ref="F251:F252"/>
  </mergeCells>
  <pageMargins left="0.79" right="0.53" top="0.86" bottom="0.47" header="0.38" footer="0.3"/>
  <pageSetup paperSize="9" scale="67" orientation="landscape" horizontalDpi="300" verticalDpi="300" r:id="rId1"/>
  <headerFooter>
    <oddHeader>&amp;CBRIGHT CONSTRUCTION PLC</oddHeader>
  </headerFooter>
  <rowBreaks count="14" manualBreakCount="14">
    <brk id="23" max="6" man="1"/>
    <brk id="46" max="6" man="1"/>
    <brk id="69" max="6" man="1"/>
    <brk id="92" max="6" man="1"/>
    <brk id="117" max="6" man="1"/>
    <brk id="141" max="5" man="1"/>
    <brk id="163" max="6" man="1"/>
    <brk id="185" max="6" man="1"/>
    <brk id="207" max="6" man="1"/>
    <brk id="229" max="6" man="1"/>
    <brk id="247" max="6" man="1"/>
    <brk id="269" max="6" man="1"/>
    <brk id="291" max="6" man="1"/>
    <brk id="313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56"/>
  <sheetViews>
    <sheetView zoomScale="80" zoomScaleNormal="80" zoomScaleSheetLayoutView="80" workbookViewId="0">
      <pane ySplit="4" topLeftCell="A91" activePane="bottomLeft" state="frozen"/>
      <selection pane="bottomLeft" activeCell="K109" sqref="K109"/>
    </sheetView>
  </sheetViews>
  <sheetFormatPr defaultColWidth="9.14453125" defaultRowHeight="14.25" x14ac:dyDescent="0.15"/>
  <cols>
    <col min="1" max="1" width="8.33984375" style="289" bestFit="1" customWidth="1"/>
    <col min="2" max="2" width="39.14453125" style="290" customWidth="1"/>
    <col min="3" max="3" width="9.28125" style="289" bestFit="1" customWidth="1"/>
    <col min="4" max="4" width="12.375" style="290" customWidth="1"/>
    <col min="5" max="5" width="17.75390625" style="290" customWidth="1"/>
    <col min="6" max="7" width="14.390625" style="290" customWidth="1"/>
    <col min="8" max="8" width="15.46875" style="290" bestFit="1" customWidth="1"/>
    <col min="9" max="10" width="19.1015625" style="290" bestFit="1" customWidth="1"/>
    <col min="11" max="11" width="18.5625" style="290" customWidth="1"/>
    <col min="12" max="12" width="22.05859375" style="290" customWidth="1"/>
    <col min="13" max="13" width="11.97265625" style="617" bestFit="1" customWidth="1"/>
    <col min="14" max="14" width="9.14453125" style="617"/>
    <col min="15" max="15" width="19.1015625" style="617" customWidth="1"/>
    <col min="16" max="19" width="9.14453125" style="617"/>
    <col min="20" max="16384" width="9.14453125" style="265"/>
  </cols>
  <sheetData>
    <row r="1" spans="1:19" s="254" customFormat="1" ht="21.75" customHeight="1" thickBot="1" x14ac:dyDescent="0.2">
      <c r="A1" s="253"/>
      <c r="B1" s="1116" t="s">
        <v>60</v>
      </c>
      <c r="C1" s="1116"/>
      <c r="D1" s="1116"/>
      <c r="E1" s="1116"/>
      <c r="F1" s="1116"/>
      <c r="G1" s="1116"/>
      <c r="H1" s="1116"/>
      <c r="I1" s="1116"/>
      <c r="J1" s="1116"/>
      <c r="K1" s="1116"/>
      <c r="M1" s="616"/>
      <c r="N1" s="616"/>
      <c r="O1" s="616"/>
      <c r="P1" s="616"/>
      <c r="Q1" s="616"/>
      <c r="R1" s="616"/>
      <c r="S1" s="616"/>
    </row>
    <row r="2" spans="1:19" s="254" customFormat="1" ht="21.75" customHeight="1" x14ac:dyDescent="0.15">
      <c r="A2" s="1107" t="s">
        <v>61</v>
      </c>
      <c r="B2" s="1128" t="s">
        <v>54</v>
      </c>
      <c r="C2" s="1128" t="s">
        <v>5</v>
      </c>
      <c r="D2" s="1117" t="s">
        <v>4</v>
      </c>
      <c r="E2" s="1118"/>
      <c r="F2" s="1119"/>
      <c r="G2" s="1128" t="s">
        <v>334</v>
      </c>
      <c r="H2" s="1110" t="s">
        <v>8</v>
      </c>
      <c r="I2" s="1136" t="s">
        <v>50</v>
      </c>
      <c r="J2" s="1118"/>
      <c r="K2" s="1119"/>
      <c r="L2" s="503"/>
      <c r="M2" s="616"/>
      <c r="N2" s="616"/>
      <c r="O2" s="616"/>
      <c r="P2" s="616"/>
      <c r="Q2" s="616"/>
      <c r="R2" s="616"/>
      <c r="S2" s="616"/>
    </row>
    <row r="3" spans="1:19" s="254" customFormat="1" ht="19.5" customHeight="1" x14ac:dyDescent="0.15">
      <c r="A3" s="1108"/>
      <c r="B3" s="1129"/>
      <c r="C3" s="1129"/>
      <c r="D3" s="1130" t="s">
        <v>62</v>
      </c>
      <c r="E3" s="1120" t="s">
        <v>63</v>
      </c>
      <c r="F3" s="1121"/>
      <c r="G3" s="1129"/>
      <c r="H3" s="1111"/>
      <c r="I3" s="1122" t="s">
        <v>6</v>
      </c>
      <c r="J3" s="1134" t="s">
        <v>7</v>
      </c>
      <c r="K3" s="1135"/>
      <c r="L3" s="1132" t="s">
        <v>336</v>
      </c>
      <c r="M3" s="616"/>
      <c r="N3" s="616"/>
      <c r="O3" s="616"/>
      <c r="P3" s="616"/>
      <c r="Q3" s="616"/>
      <c r="R3" s="616"/>
      <c r="S3" s="616"/>
    </row>
    <row r="4" spans="1:19" s="254" customFormat="1" ht="21" customHeight="1" thickBot="1" x14ac:dyDescent="0.2">
      <c r="A4" s="1109"/>
      <c r="B4" s="1123"/>
      <c r="C4" s="1123"/>
      <c r="D4" s="1131"/>
      <c r="E4" s="255" t="s">
        <v>98</v>
      </c>
      <c r="F4" s="255" t="s">
        <v>99</v>
      </c>
      <c r="G4" s="1123"/>
      <c r="H4" s="1112"/>
      <c r="I4" s="1123"/>
      <c r="J4" s="255" t="s">
        <v>98</v>
      </c>
      <c r="K4" s="255" t="s">
        <v>99</v>
      </c>
      <c r="L4" s="1133"/>
      <c r="M4" s="616"/>
      <c r="N4" s="616"/>
      <c r="O4" s="616"/>
      <c r="P4" s="616"/>
      <c r="Q4" s="616"/>
      <c r="R4" s="616"/>
      <c r="S4" s="616"/>
    </row>
    <row r="5" spans="1:19" s="254" customFormat="1" ht="21" customHeight="1" thickBot="1" x14ac:dyDescent="0.2">
      <c r="A5" s="256" t="s">
        <v>102</v>
      </c>
      <c r="B5" s="257" t="s">
        <v>103</v>
      </c>
      <c r="C5" s="257" t="s">
        <v>104</v>
      </c>
      <c r="D5" s="258" t="s">
        <v>105</v>
      </c>
      <c r="E5" s="258" t="s">
        <v>106</v>
      </c>
      <c r="F5" s="258" t="s">
        <v>107</v>
      </c>
      <c r="G5" s="349"/>
      <c r="H5" s="259" t="s">
        <v>108</v>
      </c>
      <c r="I5" s="257" t="s">
        <v>116</v>
      </c>
      <c r="J5" s="258" t="s">
        <v>115</v>
      </c>
      <c r="K5" s="258" t="s">
        <v>114</v>
      </c>
      <c r="L5" s="260" t="s">
        <v>113</v>
      </c>
      <c r="M5" s="616"/>
      <c r="N5" s="616"/>
      <c r="O5" s="616"/>
      <c r="P5" s="616"/>
      <c r="Q5" s="616"/>
      <c r="R5" s="616"/>
      <c r="S5" s="616"/>
    </row>
    <row r="6" spans="1:19" x14ac:dyDescent="0.15">
      <c r="A6" s="261"/>
      <c r="B6" s="262" t="s">
        <v>9</v>
      </c>
      <c r="C6" s="11"/>
      <c r="D6" s="147"/>
      <c r="E6" s="11"/>
      <c r="F6" s="11"/>
      <c r="G6" s="155"/>
      <c r="H6" s="147"/>
      <c r="I6" s="147"/>
      <c r="J6" s="263"/>
      <c r="K6" s="263"/>
      <c r="L6" s="264"/>
    </row>
    <row r="7" spans="1:19" x14ac:dyDescent="0.15">
      <c r="A7" s="266"/>
      <c r="B7" s="267" t="s">
        <v>65</v>
      </c>
      <c r="C7" s="149"/>
      <c r="D7" s="148"/>
      <c r="E7" s="149"/>
      <c r="F7" s="149"/>
      <c r="G7" s="12"/>
      <c r="H7" s="148"/>
      <c r="I7" s="148"/>
      <c r="J7" s="230"/>
      <c r="K7" s="230"/>
      <c r="L7" s="268"/>
      <c r="O7" s="618"/>
    </row>
    <row r="8" spans="1:19" x14ac:dyDescent="0.15">
      <c r="A8" s="269">
        <v>1.1000000000000001</v>
      </c>
      <c r="B8" s="270" t="s">
        <v>18</v>
      </c>
      <c r="C8" s="12" t="s">
        <v>11</v>
      </c>
      <c r="D8" s="98">
        <v>485</v>
      </c>
      <c r="E8" s="12">
        <v>564.29</v>
      </c>
      <c r="F8" s="12"/>
      <c r="G8" s="12">
        <f t="shared" ref="G8:G13" si="0">F8+E8</f>
        <v>564.29</v>
      </c>
      <c r="H8" s="98">
        <v>6</v>
      </c>
      <c r="I8" s="98">
        <f t="shared" ref="I8:I13" si="1">D8*H8</f>
        <v>2910</v>
      </c>
      <c r="J8" s="98">
        <f t="shared" ref="J8:J13" si="2">H8*E8</f>
        <v>3385.74</v>
      </c>
      <c r="K8" s="98">
        <f t="shared" ref="K8:K13" si="3">H8*F8</f>
        <v>0</v>
      </c>
      <c r="L8" s="268">
        <f t="shared" ref="L8:L13" si="4">K8+J8</f>
        <v>3385.74</v>
      </c>
      <c r="O8" s="618"/>
    </row>
    <row r="9" spans="1:19" x14ac:dyDescent="0.15">
      <c r="A9" s="269">
        <v>1.2</v>
      </c>
      <c r="B9" s="270" t="s">
        <v>100</v>
      </c>
      <c r="C9" s="12" t="s">
        <v>12</v>
      </c>
      <c r="D9" s="98">
        <v>720</v>
      </c>
      <c r="E9" s="12">
        <v>326.79000000000002</v>
      </c>
      <c r="F9" s="12"/>
      <c r="G9" s="12">
        <f t="shared" si="0"/>
        <v>326.79000000000002</v>
      </c>
      <c r="H9" s="98">
        <v>25</v>
      </c>
      <c r="I9" s="98">
        <f t="shared" si="1"/>
        <v>18000</v>
      </c>
      <c r="J9" s="98">
        <f t="shared" si="2"/>
        <v>8169.7500000000009</v>
      </c>
      <c r="K9" s="98">
        <f t="shared" si="3"/>
        <v>0</v>
      </c>
      <c r="L9" s="268">
        <f t="shared" si="4"/>
        <v>8169.7500000000009</v>
      </c>
      <c r="O9" s="618"/>
    </row>
    <row r="10" spans="1:19" x14ac:dyDescent="0.15">
      <c r="A10" s="269">
        <v>1.4</v>
      </c>
      <c r="B10" s="270" t="s">
        <v>13</v>
      </c>
      <c r="C10" s="12" t="s">
        <v>12</v>
      </c>
      <c r="D10" s="98">
        <v>240</v>
      </c>
      <c r="E10" s="12"/>
      <c r="F10" s="12"/>
      <c r="G10" s="12">
        <f t="shared" si="0"/>
        <v>0</v>
      </c>
      <c r="H10" s="98">
        <v>45</v>
      </c>
      <c r="I10" s="98">
        <f t="shared" si="1"/>
        <v>10800</v>
      </c>
      <c r="J10" s="98">
        <f t="shared" si="2"/>
        <v>0</v>
      </c>
      <c r="K10" s="98">
        <f t="shared" si="3"/>
        <v>0</v>
      </c>
      <c r="L10" s="268">
        <f t="shared" si="4"/>
        <v>0</v>
      </c>
      <c r="O10" s="618"/>
    </row>
    <row r="11" spans="1:19" x14ac:dyDescent="0.15">
      <c r="A11" s="269">
        <v>1.5</v>
      </c>
      <c r="B11" s="270" t="s">
        <v>101</v>
      </c>
      <c r="C11" s="12" t="s">
        <v>12</v>
      </c>
      <c r="D11" s="98">
        <v>960</v>
      </c>
      <c r="E11" s="12">
        <f>256.5+296.24</f>
        <v>552.74</v>
      </c>
      <c r="F11" s="12"/>
      <c r="G11" s="12">
        <f t="shared" si="0"/>
        <v>552.74</v>
      </c>
      <c r="H11" s="98">
        <v>40</v>
      </c>
      <c r="I11" s="98">
        <f t="shared" si="1"/>
        <v>38400</v>
      </c>
      <c r="J11" s="98">
        <f t="shared" si="2"/>
        <v>22109.599999999999</v>
      </c>
      <c r="K11" s="98">
        <f t="shared" si="3"/>
        <v>0</v>
      </c>
      <c r="L11" s="268">
        <f t="shared" si="4"/>
        <v>22109.599999999999</v>
      </c>
      <c r="O11" s="618"/>
    </row>
    <row r="12" spans="1:19" x14ac:dyDescent="0.15">
      <c r="A12" s="269">
        <v>1.6</v>
      </c>
      <c r="B12" s="270" t="s">
        <v>87</v>
      </c>
      <c r="C12" s="12" t="s">
        <v>12</v>
      </c>
      <c r="D12" s="98">
        <v>1105.5</v>
      </c>
      <c r="E12" s="12">
        <v>425.79</v>
      </c>
      <c r="F12" s="12"/>
      <c r="G12" s="12">
        <f t="shared" si="0"/>
        <v>425.79</v>
      </c>
      <c r="H12" s="98">
        <v>25</v>
      </c>
      <c r="I12" s="98">
        <f t="shared" si="1"/>
        <v>27637.5</v>
      </c>
      <c r="J12" s="98">
        <f t="shared" si="2"/>
        <v>10644.75</v>
      </c>
      <c r="K12" s="98">
        <f t="shared" si="3"/>
        <v>0</v>
      </c>
      <c r="L12" s="268">
        <f t="shared" si="4"/>
        <v>10644.75</v>
      </c>
      <c r="O12" s="619"/>
    </row>
    <row r="13" spans="1:19" x14ac:dyDescent="0.15">
      <c r="A13" s="269">
        <v>1.7</v>
      </c>
      <c r="B13" s="271" t="s">
        <v>94</v>
      </c>
      <c r="C13" s="146" t="s">
        <v>12</v>
      </c>
      <c r="D13" s="99">
        <v>480</v>
      </c>
      <c r="E13" s="146">
        <v>395.88</v>
      </c>
      <c r="F13" s="12"/>
      <c r="G13" s="12">
        <f t="shared" si="0"/>
        <v>395.88</v>
      </c>
      <c r="H13" s="99">
        <v>105</v>
      </c>
      <c r="I13" s="98">
        <f t="shared" si="1"/>
        <v>50400</v>
      </c>
      <c r="J13" s="98">
        <f t="shared" si="2"/>
        <v>41567.4</v>
      </c>
      <c r="K13" s="98">
        <f t="shared" si="3"/>
        <v>0</v>
      </c>
      <c r="L13" s="268">
        <f t="shared" si="4"/>
        <v>41567.4</v>
      </c>
    </row>
    <row r="14" spans="1:19" s="569" customFormat="1" ht="24.95" customHeight="1" thickBot="1" x14ac:dyDescent="0.2">
      <c r="A14" s="567"/>
      <c r="B14" s="1101" t="s">
        <v>64</v>
      </c>
      <c r="C14" s="1102"/>
      <c r="D14" s="1102"/>
      <c r="E14" s="1102"/>
      <c r="F14" s="1102"/>
      <c r="G14" s="1102"/>
      <c r="H14" s="1103"/>
      <c r="I14" s="568">
        <f>SUM(I8:I13)</f>
        <v>148147.5</v>
      </c>
      <c r="J14" s="568">
        <f>SUM(J8:J13)</f>
        <v>85877.239999999991</v>
      </c>
      <c r="K14" s="568">
        <f>SUM(K8:K13)</f>
        <v>0</v>
      </c>
      <c r="L14" s="568">
        <f>SUM(L8:L13)</f>
        <v>85877.239999999991</v>
      </c>
      <c r="M14" s="616"/>
      <c r="N14" s="616"/>
      <c r="O14" s="617"/>
      <c r="P14" s="616"/>
      <c r="Q14" s="616"/>
      <c r="R14" s="616"/>
      <c r="S14" s="616"/>
    </row>
    <row r="15" spans="1:19" x14ac:dyDescent="0.15">
      <c r="A15" s="266"/>
      <c r="B15" s="262" t="s">
        <v>19</v>
      </c>
      <c r="C15" s="11"/>
      <c r="D15" s="147"/>
      <c r="E15" s="11"/>
      <c r="F15" s="11"/>
      <c r="G15" s="155"/>
      <c r="H15" s="147"/>
      <c r="I15" s="147"/>
      <c r="J15" s="147"/>
      <c r="K15" s="147"/>
      <c r="L15" s="264"/>
    </row>
    <row r="16" spans="1:19" x14ac:dyDescent="0.15">
      <c r="A16" s="269">
        <v>2.1</v>
      </c>
      <c r="B16" s="270" t="s">
        <v>20</v>
      </c>
      <c r="C16" s="12"/>
      <c r="D16" s="148"/>
      <c r="E16" s="149"/>
      <c r="F16" s="149"/>
      <c r="G16" s="12">
        <f>F16+E16</f>
        <v>0</v>
      </c>
      <c r="H16" s="98"/>
      <c r="I16" s="148"/>
      <c r="J16" s="148"/>
      <c r="K16" s="148"/>
      <c r="L16" s="268"/>
    </row>
    <row r="17" spans="1:15" x14ac:dyDescent="0.15">
      <c r="A17" s="274"/>
      <c r="B17" s="270" t="s">
        <v>21</v>
      </c>
      <c r="C17" s="12" t="s">
        <v>11</v>
      </c>
      <c r="D17" s="98">
        <v>157</v>
      </c>
      <c r="E17" s="12">
        <f>130.59+3.49</f>
        <v>134.08000000000001</v>
      </c>
      <c r="F17" s="12">
        <f>134.08-E17</f>
        <v>0</v>
      </c>
      <c r="G17" s="12">
        <f t="shared" ref="G17:G33" si="5">F17+E17</f>
        <v>134.08000000000001</v>
      </c>
      <c r="H17" s="98">
        <v>65</v>
      </c>
      <c r="I17" s="98">
        <f t="shared" ref="I17:I33" si="6">D17*H17</f>
        <v>10205</v>
      </c>
      <c r="J17" s="98">
        <f t="shared" ref="J17:J33" si="7">E17*H17</f>
        <v>8715.2000000000007</v>
      </c>
      <c r="K17" s="98">
        <f t="shared" ref="K17:K33" si="8">H17*F17</f>
        <v>0</v>
      </c>
      <c r="L17" s="268">
        <f>K17+J17</f>
        <v>8715.2000000000007</v>
      </c>
      <c r="O17" s="620"/>
    </row>
    <row r="18" spans="1:15" x14ac:dyDescent="0.15">
      <c r="A18" s="269"/>
      <c r="B18" s="270" t="s">
        <v>81</v>
      </c>
      <c r="C18" s="12" t="s">
        <v>11</v>
      </c>
      <c r="D18" s="98"/>
      <c r="E18" s="12"/>
      <c r="F18" s="12"/>
      <c r="G18" s="12">
        <f t="shared" si="5"/>
        <v>0</v>
      </c>
      <c r="H18" s="98">
        <v>0</v>
      </c>
      <c r="I18" s="98">
        <f t="shared" si="6"/>
        <v>0</v>
      </c>
      <c r="J18" s="98">
        <f t="shared" si="7"/>
        <v>0</v>
      </c>
      <c r="K18" s="98">
        <f t="shared" si="8"/>
        <v>0</v>
      </c>
      <c r="L18" s="268">
        <f t="shared" ref="L18:L33" si="9">K18+J18</f>
        <v>0</v>
      </c>
      <c r="O18" s="620"/>
    </row>
    <row r="19" spans="1:15" x14ac:dyDescent="0.15">
      <c r="A19" s="269"/>
      <c r="B19" s="270" t="s">
        <v>22</v>
      </c>
      <c r="C19" s="12" t="s">
        <v>11</v>
      </c>
      <c r="D19" s="98">
        <v>50</v>
      </c>
      <c r="E19" s="12">
        <v>32</v>
      </c>
      <c r="F19" s="12"/>
      <c r="G19" s="12">
        <f t="shared" si="5"/>
        <v>32</v>
      </c>
      <c r="H19" s="98">
        <v>65</v>
      </c>
      <c r="I19" s="98">
        <f t="shared" si="6"/>
        <v>3250</v>
      </c>
      <c r="J19" s="98">
        <f t="shared" si="7"/>
        <v>2080</v>
      </c>
      <c r="K19" s="98">
        <f t="shared" si="8"/>
        <v>0</v>
      </c>
      <c r="L19" s="268">
        <f t="shared" si="9"/>
        <v>2080</v>
      </c>
      <c r="O19" s="620"/>
    </row>
    <row r="20" spans="1:15" x14ac:dyDescent="0.15">
      <c r="A20" s="269">
        <v>2.2000000000000002</v>
      </c>
      <c r="B20" s="270" t="s">
        <v>165</v>
      </c>
      <c r="C20" s="12" t="s">
        <v>11</v>
      </c>
      <c r="D20" s="98">
        <v>480</v>
      </c>
      <c r="E20" s="12">
        <v>395.88</v>
      </c>
      <c r="F20" s="12"/>
      <c r="G20" s="12">
        <f t="shared" si="5"/>
        <v>395.88</v>
      </c>
      <c r="H20" s="98">
        <v>260</v>
      </c>
      <c r="I20" s="98">
        <f t="shared" si="6"/>
        <v>124800</v>
      </c>
      <c r="J20" s="98">
        <f t="shared" si="7"/>
        <v>102928.8</v>
      </c>
      <c r="K20" s="98">
        <f t="shared" si="8"/>
        <v>0</v>
      </c>
      <c r="L20" s="268">
        <f t="shared" si="9"/>
        <v>102928.8</v>
      </c>
      <c r="O20" s="620"/>
    </row>
    <row r="21" spans="1:15" x14ac:dyDescent="0.15">
      <c r="A21" s="269">
        <v>2.2999999999999998</v>
      </c>
      <c r="B21" s="267" t="s">
        <v>110</v>
      </c>
      <c r="C21" s="12"/>
      <c r="D21" s="98"/>
      <c r="E21" s="12"/>
      <c r="F21" s="620"/>
      <c r="G21" s="12">
        <f t="shared" si="5"/>
        <v>0</v>
      </c>
      <c r="H21" s="98"/>
      <c r="I21" s="98">
        <f t="shared" si="6"/>
        <v>0</v>
      </c>
      <c r="J21" s="98">
        <f t="shared" si="7"/>
        <v>0</v>
      </c>
      <c r="K21" s="98">
        <f t="shared" si="8"/>
        <v>0</v>
      </c>
      <c r="L21" s="268">
        <f t="shared" si="9"/>
        <v>0</v>
      </c>
      <c r="O21" s="620"/>
    </row>
    <row r="22" spans="1:15" x14ac:dyDescent="0.15">
      <c r="A22" s="269"/>
      <c r="B22" s="270" t="s">
        <v>80</v>
      </c>
      <c r="C22" s="12" t="s">
        <v>12</v>
      </c>
      <c r="D22" s="98">
        <v>24</v>
      </c>
      <c r="E22" s="12">
        <v>27.62</v>
      </c>
      <c r="F22" s="620"/>
      <c r="G22" s="12">
        <f t="shared" si="5"/>
        <v>27.62</v>
      </c>
      <c r="H22" s="98">
        <v>2600</v>
      </c>
      <c r="I22" s="98">
        <f t="shared" si="6"/>
        <v>62400</v>
      </c>
      <c r="J22" s="98">
        <f t="shared" si="7"/>
        <v>71812</v>
      </c>
      <c r="K22" s="98">
        <f t="shared" si="8"/>
        <v>0</v>
      </c>
      <c r="L22" s="268">
        <f t="shared" si="9"/>
        <v>71812</v>
      </c>
      <c r="O22" s="620"/>
    </row>
    <row r="23" spans="1:15" x14ac:dyDescent="0.15">
      <c r="A23" s="269"/>
      <c r="B23" s="270" t="s">
        <v>23</v>
      </c>
      <c r="C23" s="12" t="s">
        <v>12</v>
      </c>
      <c r="D23" s="98">
        <v>10</v>
      </c>
      <c r="E23" s="12">
        <v>6.4</v>
      </c>
      <c r="F23" s="620"/>
      <c r="G23" s="12">
        <f t="shared" si="5"/>
        <v>6.4</v>
      </c>
      <c r="H23" s="98">
        <v>2600</v>
      </c>
      <c r="I23" s="98">
        <f t="shared" si="6"/>
        <v>26000</v>
      </c>
      <c r="J23" s="98">
        <f t="shared" si="7"/>
        <v>16640</v>
      </c>
      <c r="K23" s="98">
        <f t="shared" si="8"/>
        <v>0</v>
      </c>
      <c r="L23" s="268">
        <f t="shared" si="9"/>
        <v>16640</v>
      </c>
      <c r="O23" s="620"/>
    </row>
    <row r="24" spans="1:15" x14ac:dyDescent="0.15">
      <c r="A24" s="269"/>
      <c r="B24" s="270" t="s">
        <v>24</v>
      </c>
      <c r="C24" s="12" t="s">
        <v>12</v>
      </c>
      <c r="D24" s="98">
        <v>5</v>
      </c>
      <c r="E24" s="12">
        <v>3.05</v>
      </c>
      <c r="F24" s="620"/>
      <c r="G24" s="12">
        <f t="shared" si="5"/>
        <v>3.05</v>
      </c>
      <c r="H24" s="98"/>
      <c r="I24" s="98">
        <f t="shared" si="6"/>
        <v>0</v>
      </c>
      <c r="J24" s="98">
        <f t="shared" si="7"/>
        <v>0</v>
      </c>
      <c r="K24" s="98">
        <f t="shared" si="8"/>
        <v>0</v>
      </c>
      <c r="L24" s="268">
        <f t="shared" si="9"/>
        <v>0</v>
      </c>
      <c r="O24" s="620"/>
    </row>
    <row r="25" spans="1:15" x14ac:dyDescent="0.15">
      <c r="A25" s="269">
        <v>2.4</v>
      </c>
      <c r="B25" s="267" t="s">
        <v>109</v>
      </c>
      <c r="C25" s="12"/>
      <c r="D25" s="98"/>
      <c r="E25" s="12"/>
      <c r="F25" s="620"/>
      <c r="G25" s="12">
        <f t="shared" si="5"/>
        <v>0</v>
      </c>
      <c r="H25" s="98"/>
      <c r="I25" s="98">
        <f t="shared" si="6"/>
        <v>0</v>
      </c>
      <c r="J25" s="98">
        <f t="shared" si="7"/>
        <v>0</v>
      </c>
      <c r="K25" s="98">
        <f t="shared" si="8"/>
        <v>0</v>
      </c>
      <c r="L25" s="268">
        <f t="shared" si="9"/>
        <v>0</v>
      </c>
      <c r="O25" s="620"/>
    </row>
    <row r="26" spans="1:15" x14ac:dyDescent="0.15">
      <c r="A26" s="269"/>
      <c r="B26" s="270" t="s">
        <v>80</v>
      </c>
      <c r="C26" s="12" t="s">
        <v>11</v>
      </c>
      <c r="D26" s="98">
        <v>204</v>
      </c>
      <c r="E26" s="12">
        <v>216.94</v>
      </c>
      <c r="F26" s="620"/>
      <c r="G26" s="12">
        <f t="shared" si="5"/>
        <v>216.94</v>
      </c>
      <c r="H26" s="98">
        <v>85</v>
      </c>
      <c r="I26" s="98">
        <f t="shared" si="6"/>
        <v>17340</v>
      </c>
      <c r="J26" s="98">
        <f t="shared" si="7"/>
        <v>18439.900000000001</v>
      </c>
      <c r="K26" s="98">
        <f t="shared" si="8"/>
        <v>0</v>
      </c>
      <c r="L26" s="268">
        <f t="shared" si="9"/>
        <v>18439.900000000001</v>
      </c>
      <c r="O26" s="620"/>
    </row>
    <row r="27" spans="1:15" x14ac:dyDescent="0.15">
      <c r="A27" s="269"/>
      <c r="B27" s="270" t="s">
        <v>23</v>
      </c>
      <c r="C27" s="12" t="s">
        <v>11</v>
      </c>
      <c r="D27" s="98">
        <v>31</v>
      </c>
      <c r="E27" s="12">
        <v>25.6</v>
      </c>
      <c r="F27" s="620"/>
      <c r="G27" s="12">
        <f t="shared" si="5"/>
        <v>25.6</v>
      </c>
      <c r="H27" s="98">
        <v>85</v>
      </c>
      <c r="I27" s="98">
        <f t="shared" si="6"/>
        <v>2635</v>
      </c>
      <c r="J27" s="98">
        <f t="shared" si="7"/>
        <v>2176</v>
      </c>
      <c r="K27" s="98">
        <f t="shared" si="8"/>
        <v>0</v>
      </c>
      <c r="L27" s="268">
        <f t="shared" si="9"/>
        <v>2176</v>
      </c>
      <c r="O27" s="620"/>
    </row>
    <row r="28" spans="1:15" x14ac:dyDescent="0.15">
      <c r="A28" s="269"/>
      <c r="B28" s="270" t="s">
        <v>24</v>
      </c>
      <c r="C28" s="12" t="s">
        <v>11</v>
      </c>
      <c r="D28" s="98">
        <v>100</v>
      </c>
      <c r="E28" s="12">
        <v>60.93</v>
      </c>
      <c r="F28" s="620"/>
      <c r="G28" s="12">
        <f t="shared" si="5"/>
        <v>60.93</v>
      </c>
      <c r="H28" s="98">
        <v>85</v>
      </c>
      <c r="I28" s="98">
        <f t="shared" si="6"/>
        <v>8500</v>
      </c>
      <c r="J28" s="98">
        <f t="shared" si="7"/>
        <v>5179.05</v>
      </c>
      <c r="K28" s="98">
        <f t="shared" si="8"/>
        <v>0</v>
      </c>
      <c r="L28" s="268">
        <f t="shared" si="9"/>
        <v>5179.05</v>
      </c>
      <c r="O28" s="620"/>
    </row>
    <row r="29" spans="1:15" x14ac:dyDescent="0.15">
      <c r="A29" s="269">
        <v>2.5</v>
      </c>
      <c r="B29" s="267" t="s">
        <v>15</v>
      </c>
      <c r="C29" s="12"/>
      <c r="D29" s="98"/>
      <c r="E29" s="12"/>
      <c r="F29" s="620"/>
      <c r="G29" s="12">
        <f t="shared" si="5"/>
        <v>0</v>
      </c>
      <c r="H29" s="98"/>
      <c r="I29" s="98">
        <f t="shared" si="6"/>
        <v>0</v>
      </c>
      <c r="J29" s="98">
        <f t="shared" si="7"/>
        <v>0</v>
      </c>
      <c r="K29" s="98">
        <f t="shared" si="8"/>
        <v>0</v>
      </c>
      <c r="L29" s="268">
        <f t="shared" si="9"/>
        <v>0</v>
      </c>
      <c r="O29" s="620"/>
    </row>
    <row r="30" spans="1:15" x14ac:dyDescent="0.15">
      <c r="A30" s="269"/>
      <c r="B30" s="270" t="s">
        <v>85</v>
      </c>
      <c r="C30" s="12" t="s">
        <v>16</v>
      </c>
      <c r="D30" s="98">
        <v>1552</v>
      </c>
      <c r="E30" s="12">
        <f>920.44+1297.25+239.59</f>
        <v>2457.2800000000002</v>
      </c>
      <c r="F30" s="620"/>
      <c r="G30" s="12">
        <f t="shared" si="5"/>
        <v>2457.2800000000002</v>
      </c>
      <c r="H30" s="98">
        <v>34</v>
      </c>
      <c r="I30" s="98">
        <f t="shared" si="6"/>
        <v>52768</v>
      </c>
      <c r="J30" s="98">
        <f t="shared" si="7"/>
        <v>83547.520000000004</v>
      </c>
      <c r="K30" s="98">
        <f t="shared" si="8"/>
        <v>0</v>
      </c>
      <c r="L30" s="268">
        <f t="shared" si="9"/>
        <v>83547.520000000004</v>
      </c>
      <c r="O30" s="620"/>
    </row>
    <row r="31" spans="1:15" x14ac:dyDescent="0.15">
      <c r="A31" s="269"/>
      <c r="B31" s="270" t="s">
        <v>25</v>
      </c>
      <c r="C31" s="12" t="s">
        <v>16</v>
      </c>
      <c r="D31" s="98">
        <v>1069</v>
      </c>
      <c r="E31" s="12">
        <f>450.11+404.64</f>
        <v>854.75</v>
      </c>
      <c r="F31" s="620"/>
      <c r="G31" s="12">
        <f t="shared" si="5"/>
        <v>854.75</v>
      </c>
      <c r="H31" s="98">
        <v>34</v>
      </c>
      <c r="I31" s="98">
        <f t="shared" si="6"/>
        <v>36346</v>
      </c>
      <c r="J31" s="98">
        <f t="shared" si="7"/>
        <v>29061.5</v>
      </c>
      <c r="K31" s="98">
        <f t="shared" si="8"/>
        <v>0</v>
      </c>
      <c r="L31" s="268">
        <f t="shared" si="9"/>
        <v>29061.5</v>
      </c>
      <c r="O31" s="620"/>
    </row>
    <row r="32" spans="1:15" x14ac:dyDescent="0.15">
      <c r="A32" s="269"/>
      <c r="B32" s="270" t="s">
        <v>26</v>
      </c>
      <c r="C32" s="12" t="s">
        <v>16</v>
      </c>
      <c r="D32" s="98">
        <v>2528</v>
      </c>
      <c r="E32" s="12">
        <f>302.1+472.1+1357.07</f>
        <v>2131.27</v>
      </c>
      <c r="F32" s="620"/>
      <c r="G32" s="12">
        <f t="shared" si="5"/>
        <v>2131.27</v>
      </c>
      <c r="H32" s="98">
        <v>35</v>
      </c>
      <c r="I32" s="98">
        <f t="shared" si="6"/>
        <v>88480</v>
      </c>
      <c r="J32" s="98">
        <f t="shared" si="7"/>
        <v>74594.45</v>
      </c>
      <c r="K32" s="98">
        <f t="shared" si="8"/>
        <v>0</v>
      </c>
      <c r="L32" s="268">
        <f t="shared" si="9"/>
        <v>74594.45</v>
      </c>
      <c r="O32" s="620"/>
    </row>
    <row r="33" spans="1:19" x14ac:dyDescent="0.15">
      <c r="A33" s="269">
        <v>2.6</v>
      </c>
      <c r="B33" s="275" t="s">
        <v>199</v>
      </c>
      <c r="C33" s="146" t="s">
        <v>174</v>
      </c>
      <c r="D33" s="99">
        <v>329</v>
      </c>
      <c r="E33" s="146">
        <v>440.24</v>
      </c>
      <c r="F33" s="12"/>
      <c r="G33" s="12">
        <f t="shared" si="5"/>
        <v>440.24</v>
      </c>
      <c r="H33" s="99">
        <v>35</v>
      </c>
      <c r="I33" s="98">
        <f t="shared" si="6"/>
        <v>11515</v>
      </c>
      <c r="J33" s="98">
        <f t="shared" si="7"/>
        <v>15408.4</v>
      </c>
      <c r="K33" s="98">
        <f t="shared" si="8"/>
        <v>0</v>
      </c>
      <c r="L33" s="268">
        <f t="shared" si="9"/>
        <v>15408.4</v>
      </c>
      <c r="O33" s="621"/>
    </row>
    <row r="34" spans="1:19" s="569" customFormat="1" ht="24.95" customHeight="1" thickBot="1" x14ac:dyDescent="0.2">
      <c r="A34" s="567"/>
      <c r="B34" s="1101" t="s">
        <v>64</v>
      </c>
      <c r="C34" s="1102"/>
      <c r="D34" s="1102"/>
      <c r="E34" s="1102"/>
      <c r="F34" s="1102"/>
      <c r="G34" s="1102"/>
      <c r="H34" s="1103"/>
      <c r="I34" s="568">
        <f>SUM(I17:I33)</f>
        <v>444239</v>
      </c>
      <c r="J34" s="568">
        <f>SUM(J17:J33)</f>
        <v>430582.82</v>
      </c>
      <c r="K34" s="568">
        <f>SUM(K17:K33)</f>
        <v>0</v>
      </c>
      <c r="L34" s="568">
        <f>SUM(L17:L33)</f>
        <v>430582.82</v>
      </c>
      <c r="M34" s="616"/>
      <c r="N34" s="616"/>
      <c r="O34" s="617"/>
      <c r="P34" s="616"/>
      <c r="Q34" s="616"/>
      <c r="R34" s="616"/>
      <c r="S34" s="616"/>
    </row>
    <row r="35" spans="1:19" x14ac:dyDescent="0.15">
      <c r="A35" s="266">
        <v>3</v>
      </c>
      <c r="B35" s="262" t="s">
        <v>17</v>
      </c>
      <c r="C35" s="11"/>
      <c r="D35" s="147"/>
      <c r="E35" s="11"/>
      <c r="F35" s="11"/>
      <c r="G35" s="155"/>
      <c r="H35" s="147"/>
      <c r="I35" s="147"/>
      <c r="J35" s="147"/>
      <c r="K35" s="147"/>
      <c r="L35" s="264"/>
    </row>
    <row r="36" spans="1:19" x14ac:dyDescent="0.15">
      <c r="A36" s="269">
        <v>3.1</v>
      </c>
      <c r="B36" s="270" t="s">
        <v>111</v>
      </c>
      <c r="C36" s="12" t="s">
        <v>12</v>
      </c>
      <c r="D36" s="98">
        <v>120</v>
      </c>
      <c r="E36" s="12">
        <v>45.81</v>
      </c>
      <c r="F36" s="12"/>
      <c r="G36" s="12">
        <f>F36+E36</f>
        <v>45.81</v>
      </c>
      <c r="H36" s="98">
        <v>800</v>
      </c>
      <c r="I36" s="98">
        <f>D36*H36</f>
        <v>96000</v>
      </c>
      <c r="J36" s="98">
        <f>H36*E36</f>
        <v>36648</v>
      </c>
      <c r="K36" s="98">
        <f>H36*F36</f>
        <v>0</v>
      </c>
      <c r="L36" s="268">
        <f>K36+J36</f>
        <v>36648</v>
      </c>
      <c r="O36" s="620"/>
    </row>
    <row r="37" spans="1:19" x14ac:dyDescent="0.15">
      <c r="A37" s="269">
        <v>3.2</v>
      </c>
      <c r="B37" s="270" t="s">
        <v>112</v>
      </c>
      <c r="C37" s="12" t="s">
        <v>12</v>
      </c>
      <c r="D37" s="98">
        <v>154</v>
      </c>
      <c r="E37" s="12">
        <v>69.209999999999994</v>
      </c>
      <c r="F37" s="12"/>
      <c r="G37" s="12">
        <f>F37+E37</f>
        <v>69.209999999999994</v>
      </c>
      <c r="H37" s="98">
        <v>880</v>
      </c>
      <c r="I37" s="98">
        <f>D37*H37</f>
        <v>135520</v>
      </c>
      <c r="J37" s="98">
        <f>H37*E37</f>
        <v>60904.799999999996</v>
      </c>
      <c r="K37" s="98">
        <f>H37*F37</f>
        <v>0</v>
      </c>
      <c r="L37" s="268">
        <f>K37+J37</f>
        <v>60904.799999999996</v>
      </c>
      <c r="O37" s="620"/>
    </row>
    <row r="38" spans="1:19" s="569" customFormat="1" ht="24.95" customHeight="1" thickBot="1" x14ac:dyDescent="0.2">
      <c r="A38" s="571"/>
      <c r="B38" s="1104" t="s">
        <v>64</v>
      </c>
      <c r="C38" s="1105"/>
      <c r="D38" s="1105"/>
      <c r="E38" s="1105"/>
      <c r="F38" s="1105"/>
      <c r="G38" s="1105"/>
      <c r="H38" s="1106"/>
      <c r="I38" s="572">
        <f>SUM(I36:I37)</f>
        <v>231520</v>
      </c>
      <c r="J38" s="572">
        <f>SUM(J36:J37)</f>
        <v>97552.799999999988</v>
      </c>
      <c r="K38" s="572">
        <f>SUM(K36:K37)</f>
        <v>0</v>
      </c>
      <c r="L38" s="572">
        <f>SUM(L36:L37)</f>
        <v>97552.799999999988</v>
      </c>
      <c r="M38" s="616"/>
      <c r="N38" s="616"/>
      <c r="O38" s="617"/>
      <c r="P38" s="616"/>
      <c r="Q38" s="616"/>
      <c r="R38" s="616"/>
      <c r="S38" s="616"/>
    </row>
    <row r="39" spans="1:19" s="278" customFormat="1" x14ac:dyDescent="0.15">
      <c r="A39" s="276"/>
      <c r="B39" s="277"/>
      <c r="C39" s="276"/>
      <c r="D39" s="277"/>
      <c r="E39" s="277"/>
      <c r="F39" s="277"/>
      <c r="G39" s="277"/>
      <c r="H39" s="277"/>
      <c r="I39" s="277"/>
      <c r="J39" s="277"/>
      <c r="K39" s="277"/>
      <c r="L39" s="277"/>
      <c r="M39" s="622"/>
      <c r="N39" s="622"/>
      <c r="O39" s="622"/>
      <c r="P39" s="622"/>
      <c r="Q39" s="622"/>
      <c r="R39" s="622"/>
      <c r="S39" s="622"/>
    </row>
    <row r="40" spans="1:19" s="278" customFormat="1" ht="15" thickBot="1" x14ac:dyDescent="0.2">
      <c r="A40" s="279"/>
      <c r="B40" s="1127" t="s">
        <v>60</v>
      </c>
      <c r="C40" s="1127"/>
      <c r="D40" s="1127"/>
      <c r="E40" s="1127"/>
      <c r="F40" s="1127"/>
      <c r="G40" s="1127"/>
      <c r="H40" s="1127"/>
      <c r="I40" s="1127"/>
      <c r="J40" s="1127"/>
      <c r="K40" s="1127"/>
      <c r="L40" s="90"/>
      <c r="M40" s="622"/>
      <c r="N40" s="622"/>
      <c r="O40" s="622"/>
      <c r="P40" s="622"/>
      <c r="Q40" s="622"/>
      <c r="R40" s="622"/>
      <c r="S40" s="622"/>
    </row>
    <row r="41" spans="1:19" s="254" customFormat="1" ht="21.75" customHeight="1" x14ac:dyDescent="0.15">
      <c r="A41" s="1107" t="s">
        <v>61</v>
      </c>
      <c r="B41" s="1128" t="s">
        <v>54</v>
      </c>
      <c r="C41" s="1128" t="s">
        <v>5</v>
      </c>
      <c r="D41" s="1117" t="s">
        <v>4</v>
      </c>
      <c r="E41" s="1118"/>
      <c r="F41" s="1119"/>
      <c r="G41" s="1128" t="s">
        <v>334</v>
      </c>
      <c r="H41" s="1110" t="s">
        <v>8</v>
      </c>
      <c r="I41" s="1136" t="s">
        <v>50</v>
      </c>
      <c r="J41" s="1118"/>
      <c r="K41" s="1119"/>
      <c r="L41" s="503"/>
      <c r="M41" s="616"/>
      <c r="N41" s="616"/>
      <c r="O41" s="616"/>
      <c r="P41" s="616"/>
      <c r="Q41" s="616"/>
      <c r="R41" s="616"/>
      <c r="S41" s="616"/>
    </row>
    <row r="42" spans="1:19" s="254" customFormat="1" ht="19.5" customHeight="1" x14ac:dyDescent="0.15">
      <c r="A42" s="1108"/>
      <c r="B42" s="1129"/>
      <c r="C42" s="1129"/>
      <c r="D42" s="1130" t="s">
        <v>62</v>
      </c>
      <c r="E42" s="1120" t="s">
        <v>63</v>
      </c>
      <c r="F42" s="1121"/>
      <c r="G42" s="1129"/>
      <c r="H42" s="1111"/>
      <c r="I42" s="1122" t="s">
        <v>6</v>
      </c>
      <c r="J42" s="1134" t="s">
        <v>7</v>
      </c>
      <c r="K42" s="1135"/>
      <c r="L42" s="1132" t="s">
        <v>7</v>
      </c>
      <c r="M42" s="616"/>
      <c r="N42" s="616"/>
      <c r="O42" s="616"/>
      <c r="P42" s="616"/>
      <c r="Q42" s="616"/>
      <c r="R42" s="616"/>
      <c r="S42" s="616"/>
    </row>
    <row r="43" spans="1:19" s="254" customFormat="1" ht="21" customHeight="1" thickBot="1" x14ac:dyDescent="0.2">
      <c r="A43" s="1109"/>
      <c r="B43" s="1123"/>
      <c r="C43" s="1123"/>
      <c r="D43" s="1131"/>
      <c r="E43" s="255" t="s">
        <v>98</v>
      </c>
      <c r="F43" s="255" t="s">
        <v>99</v>
      </c>
      <c r="G43" s="1129"/>
      <c r="H43" s="1112"/>
      <c r="I43" s="1123"/>
      <c r="J43" s="255" t="s">
        <v>98</v>
      </c>
      <c r="K43" s="255" t="s">
        <v>99</v>
      </c>
      <c r="L43" s="1133"/>
      <c r="M43" s="616"/>
      <c r="N43" s="616"/>
      <c r="O43" s="616"/>
      <c r="P43" s="616"/>
      <c r="Q43" s="616"/>
      <c r="R43" s="616"/>
      <c r="S43" s="616"/>
    </row>
    <row r="44" spans="1:19" s="254" customFormat="1" ht="21" customHeight="1" thickBot="1" x14ac:dyDescent="0.2">
      <c r="A44" s="280" t="s">
        <v>102</v>
      </c>
      <c r="B44" s="257" t="s">
        <v>103</v>
      </c>
      <c r="C44" s="257" t="s">
        <v>104</v>
      </c>
      <c r="D44" s="258" t="s">
        <v>105</v>
      </c>
      <c r="E44" s="258" t="s">
        <v>106</v>
      </c>
      <c r="F44" s="258" t="s">
        <v>107</v>
      </c>
      <c r="G44" s="1123"/>
      <c r="H44" s="259" t="s">
        <v>108</v>
      </c>
      <c r="I44" s="257" t="s">
        <v>116</v>
      </c>
      <c r="J44" s="258" t="s">
        <v>115</v>
      </c>
      <c r="K44" s="258" t="s">
        <v>114</v>
      </c>
      <c r="L44" s="260" t="s">
        <v>113</v>
      </c>
      <c r="M44" s="616"/>
      <c r="N44" s="616"/>
      <c r="O44" s="616"/>
      <c r="P44" s="616"/>
      <c r="Q44" s="616"/>
      <c r="R44" s="616"/>
      <c r="S44" s="616"/>
    </row>
    <row r="45" spans="1:19" s="278" customFormat="1" x14ac:dyDescent="0.15">
      <c r="A45" s="261"/>
      <c r="B45" s="262" t="s">
        <v>75</v>
      </c>
      <c r="C45" s="11"/>
      <c r="D45" s="147"/>
      <c r="E45" s="11"/>
      <c r="F45" s="11"/>
      <c r="G45" s="155"/>
      <c r="H45" s="147"/>
      <c r="I45" s="147"/>
      <c r="J45" s="263"/>
      <c r="K45" s="263"/>
      <c r="L45" s="264"/>
      <c r="M45" s="622"/>
      <c r="N45" s="622"/>
      <c r="O45" s="622"/>
      <c r="P45" s="622"/>
      <c r="Q45" s="622"/>
      <c r="R45" s="622"/>
      <c r="S45" s="622"/>
    </row>
    <row r="46" spans="1:19" s="278" customFormat="1" x14ac:dyDescent="0.15">
      <c r="A46" s="266"/>
      <c r="B46" s="267" t="s">
        <v>76</v>
      </c>
      <c r="C46" s="149"/>
      <c r="D46" s="148"/>
      <c r="E46" s="149"/>
      <c r="F46" s="149"/>
      <c r="G46" s="12"/>
      <c r="H46" s="148"/>
      <c r="I46" s="148"/>
      <c r="J46" s="230"/>
      <c r="K46" s="230"/>
      <c r="L46" s="268"/>
      <c r="M46" s="622"/>
      <c r="N46" s="622"/>
      <c r="O46" s="622"/>
      <c r="P46" s="622"/>
      <c r="Q46" s="622"/>
      <c r="R46" s="622"/>
      <c r="S46" s="622"/>
    </row>
    <row r="47" spans="1:19" s="278" customFormat="1" x14ac:dyDescent="0.15">
      <c r="A47" s="269">
        <v>1.1000000000000001</v>
      </c>
      <c r="B47" s="267" t="s">
        <v>14</v>
      </c>
      <c r="C47" s="12"/>
      <c r="D47" s="98"/>
      <c r="E47" s="12"/>
      <c r="F47" s="12"/>
      <c r="G47" s="12"/>
      <c r="H47" s="98"/>
      <c r="I47" s="98"/>
      <c r="J47" s="98"/>
      <c r="K47" s="98"/>
      <c r="L47" s="268"/>
      <c r="M47" s="622"/>
      <c r="N47" s="622"/>
      <c r="O47" s="622"/>
      <c r="P47" s="622"/>
      <c r="Q47" s="622"/>
      <c r="R47" s="622"/>
      <c r="S47" s="622"/>
    </row>
    <row r="48" spans="1:19" s="278" customFormat="1" x14ac:dyDescent="0.15">
      <c r="A48" s="269"/>
      <c r="B48" s="270" t="s">
        <v>77</v>
      </c>
      <c r="C48" s="12" t="s">
        <v>12</v>
      </c>
      <c r="D48" s="98">
        <v>4.5</v>
      </c>
      <c r="E48" s="12">
        <v>3.84</v>
      </c>
      <c r="F48" s="12"/>
      <c r="G48" s="12">
        <f>F48+E48</f>
        <v>3.84</v>
      </c>
      <c r="H48" s="98">
        <v>2600</v>
      </c>
      <c r="I48" s="98">
        <f t="shared" ref="I48:I59" si="10">D48*H48</f>
        <v>11700</v>
      </c>
      <c r="J48" s="98">
        <f t="shared" ref="J48:J59" si="11">E48*H48</f>
        <v>9984</v>
      </c>
      <c r="K48" s="98">
        <f t="shared" ref="K48:K57" si="12">H48*F48</f>
        <v>0</v>
      </c>
      <c r="L48" s="268">
        <f>K48+J48</f>
        <v>9984</v>
      </c>
      <c r="M48" s="622"/>
      <c r="N48" s="622"/>
      <c r="O48" s="622"/>
      <c r="P48" s="622"/>
      <c r="Q48" s="622"/>
      <c r="R48" s="622"/>
      <c r="S48" s="622"/>
    </row>
    <row r="49" spans="1:19" s="278" customFormat="1" x14ac:dyDescent="0.15">
      <c r="A49" s="269"/>
      <c r="B49" s="270" t="s">
        <v>74</v>
      </c>
      <c r="C49" s="12" t="s">
        <v>12</v>
      </c>
      <c r="D49" s="98">
        <v>14</v>
      </c>
      <c r="E49" s="12">
        <v>13.41</v>
      </c>
      <c r="F49" s="12"/>
      <c r="G49" s="12">
        <f t="shared" ref="G49:G58" si="13">F49+E49</f>
        <v>13.41</v>
      </c>
      <c r="H49" s="98">
        <v>2600</v>
      </c>
      <c r="I49" s="98">
        <f t="shared" si="10"/>
        <v>36400</v>
      </c>
      <c r="J49" s="98">
        <f t="shared" si="11"/>
        <v>34866</v>
      </c>
      <c r="K49" s="98">
        <f t="shared" si="12"/>
        <v>0</v>
      </c>
      <c r="L49" s="268">
        <f t="shared" ref="L49:L59" si="14">K49+J49</f>
        <v>34866</v>
      </c>
      <c r="M49" s="622"/>
      <c r="N49" s="622"/>
      <c r="O49" s="622"/>
      <c r="P49" s="622"/>
      <c r="Q49" s="622"/>
      <c r="R49" s="622"/>
      <c r="S49" s="622"/>
    </row>
    <row r="50" spans="1:19" s="278" customFormat="1" x14ac:dyDescent="0.15">
      <c r="A50" s="269"/>
      <c r="B50" s="270" t="s">
        <v>78</v>
      </c>
      <c r="C50" s="12" t="s">
        <v>12</v>
      </c>
      <c r="D50" s="98">
        <v>1.1000000000000001</v>
      </c>
      <c r="E50" s="12"/>
      <c r="F50" s="12"/>
      <c r="G50" s="12">
        <f t="shared" si="13"/>
        <v>0</v>
      </c>
      <c r="H50" s="98">
        <v>2600</v>
      </c>
      <c r="I50" s="98">
        <f t="shared" si="10"/>
        <v>2860.0000000000005</v>
      </c>
      <c r="J50" s="98">
        <f t="shared" si="11"/>
        <v>0</v>
      </c>
      <c r="K50" s="98">
        <f t="shared" si="12"/>
        <v>0</v>
      </c>
      <c r="L50" s="268">
        <f t="shared" si="14"/>
        <v>0</v>
      </c>
      <c r="M50" s="622"/>
      <c r="N50" s="622"/>
      <c r="O50" s="622"/>
      <c r="P50" s="622"/>
      <c r="Q50" s="622"/>
      <c r="R50" s="622"/>
      <c r="S50" s="622"/>
    </row>
    <row r="51" spans="1:19" s="278" customFormat="1" x14ac:dyDescent="0.15">
      <c r="A51" s="269">
        <v>1.2</v>
      </c>
      <c r="B51" s="267" t="s">
        <v>109</v>
      </c>
      <c r="C51" s="149"/>
      <c r="D51" s="148"/>
      <c r="E51" s="149"/>
      <c r="F51" s="149"/>
      <c r="G51" s="12">
        <f t="shared" si="13"/>
        <v>0</v>
      </c>
      <c r="H51" s="148"/>
      <c r="I51" s="98">
        <f t="shared" si="10"/>
        <v>0</v>
      </c>
      <c r="J51" s="98">
        <f t="shared" si="11"/>
        <v>0</v>
      </c>
      <c r="K51" s="98">
        <f t="shared" si="12"/>
        <v>0</v>
      </c>
      <c r="L51" s="268">
        <f t="shared" si="14"/>
        <v>0</v>
      </c>
      <c r="M51" s="622"/>
      <c r="N51" s="622"/>
      <c r="O51" s="622"/>
      <c r="P51" s="622"/>
      <c r="Q51" s="622"/>
      <c r="R51" s="622"/>
      <c r="S51" s="622"/>
    </row>
    <row r="52" spans="1:19" s="278" customFormat="1" x14ac:dyDescent="0.15">
      <c r="A52" s="269"/>
      <c r="B52" s="270" t="s">
        <v>77</v>
      </c>
      <c r="C52" s="12" t="s">
        <v>11</v>
      </c>
      <c r="D52" s="98">
        <v>77</v>
      </c>
      <c r="E52" s="12">
        <v>76.8</v>
      </c>
      <c r="F52" s="12"/>
      <c r="G52" s="12">
        <f t="shared" si="13"/>
        <v>76.8</v>
      </c>
      <c r="H52" s="98">
        <v>85</v>
      </c>
      <c r="I52" s="98">
        <f t="shared" si="10"/>
        <v>6545</v>
      </c>
      <c r="J52" s="98">
        <f t="shared" si="11"/>
        <v>6528</v>
      </c>
      <c r="K52" s="98">
        <f t="shared" si="12"/>
        <v>0</v>
      </c>
      <c r="L52" s="268">
        <f t="shared" si="14"/>
        <v>6528</v>
      </c>
      <c r="M52" s="622"/>
      <c r="N52" s="622"/>
      <c r="O52" s="622"/>
      <c r="P52" s="622"/>
      <c r="Q52" s="622"/>
      <c r="R52" s="622"/>
      <c r="S52" s="622"/>
    </row>
    <row r="53" spans="1:19" s="278" customFormat="1" x14ac:dyDescent="0.15">
      <c r="A53" s="274"/>
      <c r="B53" s="270" t="s">
        <v>74</v>
      </c>
      <c r="C53" s="12" t="s">
        <v>11</v>
      </c>
      <c r="D53" s="98">
        <v>192</v>
      </c>
      <c r="E53" s="12">
        <v>175.1</v>
      </c>
      <c r="F53" s="12"/>
      <c r="G53" s="12">
        <f t="shared" si="13"/>
        <v>175.1</v>
      </c>
      <c r="H53" s="98">
        <v>85</v>
      </c>
      <c r="I53" s="98">
        <f t="shared" si="10"/>
        <v>16320</v>
      </c>
      <c r="J53" s="98">
        <f t="shared" si="11"/>
        <v>14883.5</v>
      </c>
      <c r="K53" s="98">
        <f t="shared" si="12"/>
        <v>0</v>
      </c>
      <c r="L53" s="268">
        <f t="shared" si="14"/>
        <v>14883.5</v>
      </c>
      <c r="M53" s="622"/>
      <c r="N53" s="622"/>
      <c r="O53" s="622"/>
      <c r="P53" s="622"/>
      <c r="Q53" s="622"/>
      <c r="R53" s="622"/>
      <c r="S53" s="622"/>
    </row>
    <row r="54" spans="1:19" s="278" customFormat="1" x14ac:dyDescent="0.15">
      <c r="A54" s="269"/>
      <c r="B54" s="270" t="s">
        <v>78</v>
      </c>
      <c r="C54" s="12" t="s">
        <v>11</v>
      </c>
      <c r="D54" s="98">
        <v>10.1</v>
      </c>
      <c r="E54" s="12"/>
      <c r="F54" s="12"/>
      <c r="G54" s="12">
        <f t="shared" si="13"/>
        <v>0</v>
      </c>
      <c r="H54" s="98">
        <v>85</v>
      </c>
      <c r="I54" s="98">
        <f t="shared" si="10"/>
        <v>858.5</v>
      </c>
      <c r="J54" s="98">
        <f t="shared" si="11"/>
        <v>0</v>
      </c>
      <c r="K54" s="98">
        <f t="shared" si="12"/>
        <v>0</v>
      </c>
      <c r="L54" s="268">
        <f t="shared" si="14"/>
        <v>0</v>
      </c>
      <c r="M54" s="622"/>
      <c r="N54" s="622"/>
      <c r="O54" s="622"/>
      <c r="P54" s="622"/>
      <c r="Q54" s="622"/>
      <c r="R54" s="622"/>
      <c r="S54" s="622"/>
    </row>
    <row r="55" spans="1:19" s="278" customFormat="1" x14ac:dyDescent="0.15">
      <c r="A55" s="281">
        <v>1.3</v>
      </c>
      <c r="B55" s="267" t="s">
        <v>15</v>
      </c>
      <c r="C55" s="12"/>
      <c r="D55" s="98"/>
      <c r="E55" s="12"/>
      <c r="F55" s="12"/>
      <c r="G55" s="12">
        <f t="shared" si="13"/>
        <v>0</v>
      </c>
      <c r="H55" s="98"/>
      <c r="I55" s="98">
        <f t="shared" si="10"/>
        <v>0</v>
      </c>
      <c r="J55" s="98">
        <f t="shared" si="11"/>
        <v>0</v>
      </c>
      <c r="K55" s="98">
        <f t="shared" si="12"/>
        <v>0</v>
      </c>
      <c r="L55" s="268">
        <f t="shared" si="14"/>
        <v>0</v>
      </c>
      <c r="M55" s="622"/>
      <c r="N55" s="622"/>
      <c r="O55" s="622"/>
      <c r="P55" s="622"/>
      <c r="Q55" s="622"/>
      <c r="R55" s="622"/>
      <c r="S55" s="622"/>
    </row>
    <row r="56" spans="1:19" s="278" customFormat="1" x14ac:dyDescent="0.15">
      <c r="A56" s="281"/>
      <c r="B56" s="270" t="s">
        <v>85</v>
      </c>
      <c r="C56" s="12" t="s">
        <v>16</v>
      </c>
      <c r="D56" s="98"/>
      <c r="E56" s="12"/>
      <c r="F56" s="12"/>
      <c r="G56" s="12">
        <f t="shared" si="13"/>
        <v>0</v>
      </c>
      <c r="H56" s="98"/>
      <c r="I56" s="98">
        <f t="shared" si="10"/>
        <v>0</v>
      </c>
      <c r="J56" s="98">
        <f t="shared" si="11"/>
        <v>0</v>
      </c>
      <c r="K56" s="98">
        <f t="shared" si="12"/>
        <v>0</v>
      </c>
      <c r="L56" s="268">
        <f t="shared" si="14"/>
        <v>0</v>
      </c>
      <c r="M56" s="622"/>
      <c r="N56" s="622"/>
      <c r="O56" s="622"/>
      <c r="P56" s="622"/>
      <c r="Q56" s="622"/>
      <c r="R56" s="622"/>
      <c r="S56" s="622"/>
    </row>
    <row r="57" spans="1:19" s="278" customFormat="1" x14ac:dyDescent="0.15">
      <c r="A57" s="281"/>
      <c r="B57" s="270" t="s">
        <v>25</v>
      </c>
      <c r="C57" s="12" t="s">
        <v>16</v>
      </c>
      <c r="D57" s="98">
        <v>1727</v>
      </c>
      <c r="E57" s="12">
        <v>1762.15</v>
      </c>
      <c r="F57" s="12"/>
      <c r="G57" s="12">
        <f t="shared" si="13"/>
        <v>1762.15</v>
      </c>
      <c r="H57" s="98">
        <v>34</v>
      </c>
      <c r="I57" s="98">
        <f t="shared" si="10"/>
        <v>58718</v>
      </c>
      <c r="J57" s="98">
        <f t="shared" si="11"/>
        <v>59913.100000000006</v>
      </c>
      <c r="K57" s="98">
        <f t="shared" si="12"/>
        <v>0</v>
      </c>
      <c r="L57" s="268">
        <f t="shared" si="14"/>
        <v>59913.100000000006</v>
      </c>
      <c r="M57" s="622"/>
      <c r="N57" s="622"/>
      <c r="O57" s="622"/>
      <c r="P57" s="622"/>
      <c r="Q57" s="622"/>
      <c r="R57" s="622"/>
      <c r="S57" s="622"/>
    </row>
    <row r="58" spans="1:19" s="278" customFormat="1" x14ac:dyDescent="0.15">
      <c r="A58" s="281"/>
      <c r="B58" s="270" t="s">
        <v>26</v>
      </c>
      <c r="C58" s="12" t="s">
        <v>16</v>
      </c>
      <c r="D58" s="98">
        <v>538</v>
      </c>
      <c r="E58" s="12">
        <v>520.79999999999995</v>
      </c>
      <c r="F58" s="12"/>
      <c r="G58" s="12">
        <f t="shared" si="13"/>
        <v>520.79999999999995</v>
      </c>
      <c r="H58" s="98">
        <v>35</v>
      </c>
      <c r="I58" s="98">
        <f>D58*H58</f>
        <v>18830</v>
      </c>
      <c r="J58" s="98">
        <f>E58*H58</f>
        <v>18228</v>
      </c>
      <c r="K58" s="98">
        <f>H58*F58</f>
        <v>0</v>
      </c>
      <c r="L58" s="268">
        <f t="shared" si="14"/>
        <v>18228</v>
      </c>
      <c r="M58" s="622"/>
      <c r="N58" s="622"/>
      <c r="O58" s="622"/>
      <c r="P58" s="622"/>
      <c r="Q58" s="622"/>
      <c r="R58" s="622"/>
      <c r="S58" s="622"/>
    </row>
    <row r="59" spans="1:19" s="278" customFormat="1" x14ac:dyDescent="0.15">
      <c r="A59" s="281"/>
      <c r="B59" s="271" t="s">
        <v>90</v>
      </c>
      <c r="C59" s="146" t="s">
        <v>16</v>
      </c>
      <c r="D59" s="99">
        <v>0</v>
      </c>
      <c r="E59" s="146">
        <v>0</v>
      </c>
      <c r="F59" s="146"/>
      <c r="G59" s="12">
        <f>F59+E59</f>
        <v>0</v>
      </c>
      <c r="H59" s="99">
        <v>0</v>
      </c>
      <c r="I59" s="98">
        <f t="shared" si="10"/>
        <v>0</v>
      </c>
      <c r="J59" s="98">
        <f t="shared" si="11"/>
        <v>0</v>
      </c>
      <c r="K59" s="98">
        <f>H59*F59</f>
        <v>0</v>
      </c>
      <c r="L59" s="268">
        <f t="shared" si="14"/>
        <v>0</v>
      </c>
      <c r="M59" s="622"/>
      <c r="N59" s="622"/>
      <c r="O59" s="622"/>
      <c r="P59" s="622"/>
      <c r="Q59" s="622"/>
      <c r="R59" s="622"/>
      <c r="S59" s="622"/>
    </row>
    <row r="60" spans="1:19" s="574" customFormat="1" ht="23.25" customHeight="1" x14ac:dyDescent="0.15">
      <c r="A60" s="573"/>
      <c r="B60" s="1124" t="s">
        <v>64</v>
      </c>
      <c r="C60" s="1125"/>
      <c r="D60" s="1125"/>
      <c r="E60" s="1125"/>
      <c r="F60" s="1125"/>
      <c r="G60" s="1125"/>
      <c r="H60" s="1126"/>
      <c r="I60" s="692">
        <f>SUM(I47:I59)</f>
        <v>152231.5</v>
      </c>
      <c r="J60" s="692">
        <f>SUM(J47:J59)</f>
        <v>144402.6</v>
      </c>
      <c r="K60" s="692">
        <f>SUM(K47:K59)</f>
        <v>0</v>
      </c>
      <c r="L60" s="692">
        <f>SUM(L47:L59)</f>
        <v>144402.6</v>
      </c>
      <c r="M60" s="622"/>
      <c r="N60" s="622"/>
      <c r="O60" s="622"/>
      <c r="P60" s="622"/>
      <c r="Q60" s="622"/>
      <c r="R60" s="622"/>
      <c r="S60" s="622"/>
    </row>
    <row r="61" spans="1:19" s="574" customFormat="1" ht="23.25" customHeight="1" x14ac:dyDescent="0.2">
      <c r="A61" s="695"/>
      <c r="B61" s="699" t="s">
        <v>207</v>
      </c>
      <c r="C61" s="696"/>
      <c r="D61" s="696"/>
      <c r="E61" s="696"/>
      <c r="F61" s="696"/>
      <c r="G61" s="696"/>
      <c r="H61" s="696"/>
      <c r="I61" s="696"/>
      <c r="J61" s="696"/>
      <c r="K61" s="696"/>
      <c r="L61" s="696"/>
      <c r="M61" s="622"/>
      <c r="N61" s="622"/>
      <c r="O61" s="622"/>
      <c r="P61" s="622"/>
      <c r="Q61" s="622"/>
      <c r="R61" s="622"/>
      <c r="S61" s="622"/>
    </row>
    <row r="62" spans="1:19" s="254" customFormat="1" ht="21.75" customHeight="1" x14ac:dyDescent="0.15">
      <c r="A62" s="767"/>
      <c r="B62" s="98" t="s">
        <v>294</v>
      </c>
      <c r="C62" s="12" t="s">
        <v>384</v>
      </c>
      <c r="D62" s="12">
        <v>498</v>
      </c>
      <c r="E62" s="98">
        <f>304.4+62.15</f>
        <v>366.54999999999995</v>
      </c>
      <c r="F62" s="98"/>
      <c r="G62" s="98">
        <f>F62+E62</f>
        <v>366.54999999999995</v>
      </c>
      <c r="H62" s="98">
        <v>310</v>
      </c>
      <c r="I62" s="98">
        <f>D62*H62</f>
        <v>154380</v>
      </c>
      <c r="J62" s="98">
        <f>E62*H62</f>
        <v>113630.49999999999</v>
      </c>
      <c r="K62" s="98">
        <f>H62*F62</f>
        <v>0</v>
      </c>
      <c r="L62" s="768">
        <f>J62+K62</f>
        <v>113630.49999999999</v>
      </c>
    </row>
    <row r="63" spans="1:19" s="254" customFormat="1" ht="21.75" customHeight="1" x14ac:dyDescent="0.15">
      <c r="A63" s="767"/>
      <c r="B63" s="98" t="s">
        <v>295</v>
      </c>
      <c r="C63" s="12" t="s">
        <v>300</v>
      </c>
      <c r="D63" s="12">
        <v>156</v>
      </c>
      <c r="E63" s="98"/>
      <c r="F63" s="98">
        <v>208.81</v>
      </c>
      <c r="G63" s="98">
        <f>F63+E63</f>
        <v>208.81</v>
      </c>
      <c r="H63" s="98">
        <v>295</v>
      </c>
      <c r="I63" s="98">
        <f>D63*H63</f>
        <v>46020</v>
      </c>
      <c r="J63" s="98">
        <f>E63*H63</f>
        <v>0</v>
      </c>
      <c r="K63" s="98">
        <f>H63*F63</f>
        <v>61598.95</v>
      </c>
      <c r="L63" s="768">
        <f>J63+K63</f>
        <v>61598.95</v>
      </c>
    </row>
    <row r="64" spans="1:19" s="254" customFormat="1" ht="21.75" customHeight="1" x14ac:dyDescent="0.15">
      <c r="A64" s="767"/>
      <c r="B64" s="99" t="s">
        <v>385</v>
      </c>
      <c r="C64" s="12" t="s">
        <v>300</v>
      </c>
      <c r="D64" s="146">
        <v>18</v>
      </c>
      <c r="E64" s="99"/>
      <c r="F64" s="99">
        <v>18.63</v>
      </c>
      <c r="G64" s="98">
        <f>F64+E64</f>
        <v>18.63</v>
      </c>
      <c r="H64" s="99">
        <v>285</v>
      </c>
      <c r="I64" s="98">
        <f>D64*H64</f>
        <v>5130</v>
      </c>
      <c r="J64" s="98">
        <f>E64*H64</f>
        <v>0</v>
      </c>
      <c r="K64" s="98">
        <f>H64*F64</f>
        <v>5309.5499999999993</v>
      </c>
      <c r="L64" s="768">
        <f>J64+K64</f>
        <v>5309.5499999999993</v>
      </c>
    </row>
    <row r="65" spans="1:19" s="574" customFormat="1" ht="21.75" customHeight="1" thickBot="1" x14ac:dyDescent="0.2">
      <c r="A65" s="693"/>
      <c r="B65" s="1113" t="s">
        <v>64</v>
      </c>
      <c r="C65" s="1114"/>
      <c r="D65" s="1114"/>
      <c r="E65" s="1114"/>
      <c r="F65" s="1114"/>
      <c r="G65" s="1114"/>
      <c r="H65" s="1115"/>
      <c r="I65" s="694">
        <f>SUM(I62:I64)</f>
        <v>205530</v>
      </c>
      <c r="J65" s="694">
        <f>SUM(J62:J64)</f>
        <v>113630.49999999999</v>
      </c>
      <c r="K65" s="694">
        <f>SUM(K62:K64)</f>
        <v>66908.5</v>
      </c>
      <c r="L65" s="694">
        <f>SUM(L62:L64)</f>
        <v>180538.99999999997</v>
      </c>
      <c r="M65" s="622"/>
      <c r="N65" s="622"/>
      <c r="O65" s="622"/>
      <c r="P65" s="622"/>
      <c r="Q65" s="622"/>
      <c r="R65" s="622"/>
      <c r="S65" s="622"/>
    </row>
    <row r="66" spans="1:19" s="278" customFormat="1" x14ac:dyDescent="0.15">
      <c r="A66" s="282"/>
      <c r="B66" s="283" t="s">
        <v>167</v>
      </c>
      <c r="C66" s="229"/>
      <c r="D66" s="228"/>
      <c r="E66" s="229"/>
      <c r="F66" s="229"/>
      <c r="G66" s="229"/>
      <c r="H66" s="228"/>
      <c r="I66" s="228"/>
      <c r="J66" s="228"/>
      <c r="K66" s="228"/>
      <c r="L66" s="284"/>
      <c r="M66" s="622"/>
      <c r="N66" s="622"/>
      <c r="O66" s="622"/>
      <c r="P66" s="622"/>
      <c r="Q66" s="622"/>
      <c r="R66" s="622"/>
      <c r="S66" s="622"/>
    </row>
    <row r="67" spans="1:19" s="278" customFormat="1" x14ac:dyDescent="0.15">
      <c r="A67" s="285">
        <v>3.1</v>
      </c>
      <c r="B67" s="275" t="s">
        <v>166</v>
      </c>
      <c r="C67" s="146" t="s">
        <v>11</v>
      </c>
      <c r="D67" s="99">
        <v>585.38</v>
      </c>
      <c r="E67" s="146">
        <v>533.27</v>
      </c>
      <c r="F67" s="621"/>
      <c r="G67" s="146">
        <f>F67+E67</f>
        <v>533.27</v>
      </c>
      <c r="H67" s="99">
        <v>245</v>
      </c>
      <c r="I67" s="99">
        <f>D67*H67</f>
        <v>143418.1</v>
      </c>
      <c r="J67" s="99">
        <f>E67*H67</f>
        <v>130651.15</v>
      </c>
      <c r="K67" s="99">
        <f>H67*F67</f>
        <v>0</v>
      </c>
      <c r="L67" s="273">
        <f>K67+J67</f>
        <v>130651.15</v>
      </c>
      <c r="M67" s="622"/>
      <c r="N67" s="622"/>
      <c r="O67" s="622"/>
      <c r="P67" s="622"/>
      <c r="Q67" s="622"/>
      <c r="R67" s="622"/>
      <c r="S67" s="622"/>
    </row>
    <row r="68" spans="1:19" s="278" customFormat="1" x14ac:dyDescent="0.15">
      <c r="A68" s="285">
        <v>3.2</v>
      </c>
      <c r="B68" s="928" t="s">
        <v>469</v>
      </c>
      <c r="C68" s="146" t="s">
        <v>12</v>
      </c>
      <c r="D68" s="285">
        <v>59</v>
      </c>
      <c r="E68" s="146"/>
      <c r="F68" s="285">
        <v>64.36</v>
      </c>
      <c r="G68" s="146">
        <f>F68+E68</f>
        <v>64.36</v>
      </c>
      <c r="H68" s="285">
        <v>220</v>
      </c>
      <c r="I68" s="99">
        <f>D68*H68</f>
        <v>12980</v>
      </c>
      <c r="J68" s="99">
        <f>E68*H68</f>
        <v>0</v>
      </c>
      <c r="K68" s="99">
        <f>H68*F68</f>
        <v>14159.2</v>
      </c>
      <c r="L68" s="273">
        <f>K68+J68</f>
        <v>14159.2</v>
      </c>
      <c r="M68" s="622"/>
      <c r="N68" s="622"/>
      <c r="O68" s="622"/>
      <c r="P68" s="622"/>
      <c r="Q68" s="622"/>
      <c r="R68" s="622"/>
      <c r="S68" s="622"/>
    </row>
    <row r="69" spans="1:19" s="574" customFormat="1" ht="21.75" customHeight="1" thickBot="1" x14ac:dyDescent="0.2">
      <c r="A69" s="575"/>
      <c r="B69" s="1101" t="s">
        <v>64</v>
      </c>
      <c r="C69" s="1102"/>
      <c r="D69" s="1102"/>
      <c r="E69" s="1102"/>
      <c r="F69" s="1102"/>
      <c r="G69" s="1102"/>
      <c r="H69" s="1103"/>
      <c r="I69" s="568">
        <f>I67</f>
        <v>143418.1</v>
      </c>
      <c r="J69" s="568">
        <f>SUM(J67:J68)</f>
        <v>130651.15</v>
      </c>
      <c r="K69" s="568">
        <f>SUM(K67:K68)</f>
        <v>14159.2</v>
      </c>
      <c r="L69" s="568">
        <f>SUM(L67:L68)</f>
        <v>144810.35</v>
      </c>
      <c r="M69" s="622"/>
      <c r="N69" s="622"/>
      <c r="O69" s="622"/>
      <c r="P69" s="622"/>
      <c r="Q69" s="622"/>
      <c r="R69" s="622"/>
      <c r="S69" s="622"/>
    </row>
    <row r="70" spans="1:19" s="278" customFormat="1" x14ac:dyDescent="0.15">
      <c r="A70" s="286"/>
      <c r="B70" s="283" t="s">
        <v>168</v>
      </c>
      <c r="C70" s="229"/>
      <c r="D70" s="228"/>
      <c r="E70" s="229"/>
      <c r="F70" s="229"/>
      <c r="G70" s="229"/>
      <c r="H70" s="228"/>
      <c r="I70" s="228"/>
      <c r="J70" s="228"/>
      <c r="K70" s="228"/>
      <c r="L70" s="284"/>
      <c r="M70" s="622"/>
      <c r="N70" s="622"/>
      <c r="O70" s="622"/>
      <c r="P70" s="622"/>
      <c r="Q70" s="622"/>
      <c r="R70" s="622"/>
      <c r="S70" s="622"/>
    </row>
    <row r="71" spans="1:19" s="278" customFormat="1" x14ac:dyDescent="0.15">
      <c r="A71" s="287">
        <v>4.0999999999999996</v>
      </c>
      <c r="B71" s="275" t="s">
        <v>169</v>
      </c>
      <c r="C71" s="146"/>
      <c r="D71" s="99"/>
      <c r="E71" s="146"/>
      <c r="F71" s="146"/>
      <c r="G71" s="146"/>
      <c r="H71" s="99"/>
      <c r="I71" s="99"/>
      <c r="J71" s="99"/>
      <c r="K71" s="99"/>
      <c r="L71" s="273"/>
      <c r="M71" s="622"/>
      <c r="N71" s="622"/>
      <c r="O71" s="622"/>
      <c r="P71" s="622"/>
      <c r="Q71" s="622"/>
      <c r="R71" s="622"/>
      <c r="S71" s="622"/>
    </row>
    <row r="72" spans="1:19" s="278" customFormat="1" x14ac:dyDescent="0.15">
      <c r="A72" s="287"/>
      <c r="B72" s="275" t="s">
        <v>170</v>
      </c>
      <c r="C72" s="146"/>
      <c r="D72" s="99"/>
      <c r="E72" s="146"/>
      <c r="F72" s="146"/>
      <c r="G72" s="146"/>
      <c r="H72" s="99"/>
      <c r="I72" s="99"/>
      <c r="J72" s="99"/>
      <c r="K72" s="99"/>
      <c r="L72" s="273"/>
      <c r="M72" s="622"/>
      <c r="N72" s="622"/>
      <c r="O72" s="622"/>
      <c r="P72" s="622"/>
      <c r="Q72" s="622"/>
      <c r="R72" s="622"/>
      <c r="S72" s="622"/>
    </row>
    <row r="73" spans="1:19" s="278" customFormat="1" x14ac:dyDescent="0.15">
      <c r="A73" s="287"/>
      <c r="B73" s="275" t="s">
        <v>172</v>
      </c>
      <c r="C73" s="146" t="s">
        <v>174</v>
      </c>
      <c r="D73" s="99">
        <v>817</v>
      </c>
      <c r="E73" s="146">
        <v>879.89</v>
      </c>
      <c r="F73" s="146"/>
      <c r="G73" s="146">
        <f>F73+E73</f>
        <v>879.89</v>
      </c>
      <c r="H73" s="99">
        <v>18</v>
      </c>
      <c r="I73" s="99">
        <f>H73*D73</f>
        <v>14706</v>
      </c>
      <c r="J73" s="99">
        <f>H73*E73</f>
        <v>15838.02</v>
      </c>
      <c r="K73" s="99">
        <f>H73*F73</f>
        <v>0</v>
      </c>
      <c r="L73" s="273">
        <f>K73+J73</f>
        <v>15838.02</v>
      </c>
      <c r="M73" s="622"/>
      <c r="N73" s="622"/>
      <c r="O73" s="622"/>
      <c r="P73" s="622"/>
      <c r="Q73" s="622"/>
      <c r="R73" s="622"/>
      <c r="S73" s="622"/>
    </row>
    <row r="74" spans="1:19" s="278" customFormat="1" x14ac:dyDescent="0.15">
      <c r="A74" s="287"/>
      <c r="B74" s="275" t="s">
        <v>173</v>
      </c>
      <c r="C74" s="146" t="s">
        <v>174</v>
      </c>
      <c r="D74" s="99">
        <v>583</v>
      </c>
      <c r="E74" s="146">
        <v>922.55</v>
      </c>
      <c r="F74" s="146"/>
      <c r="G74" s="146">
        <f>F74+E74</f>
        <v>922.55</v>
      </c>
      <c r="H74" s="99">
        <v>16</v>
      </c>
      <c r="I74" s="99">
        <f>H74*D74</f>
        <v>9328</v>
      </c>
      <c r="J74" s="99">
        <f>H74*E74</f>
        <v>14760.8</v>
      </c>
      <c r="K74" s="99">
        <f>H74*F74</f>
        <v>0</v>
      </c>
      <c r="L74" s="273">
        <f>K74+J74</f>
        <v>14760.8</v>
      </c>
      <c r="M74" s="622"/>
      <c r="N74" s="622"/>
      <c r="O74" s="622"/>
      <c r="P74" s="622"/>
      <c r="Q74" s="622"/>
      <c r="R74" s="622"/>
      <c r="S74" s="622"/>
    </row>
    <row r="75" spans="1:19" s="278" customFormat="1" x14ac:dyDescent="0.15">
      <c r="A75" s="287"/>
      <c r="B75" s="275" t="s">
        <v>171</v>
      </c>
      <c r="C75" s="146" t="s">
        <v>174</v>
      </c>
      <c r="D75" s="99">
        <v>563</v>
      </c>
      <c r="E75" s="146">
        <v>730</v>
      </c>
      <c r="F75" s="146"/>
      <c r="G75" s="146">
        <f>F75+E75</f>
        <v>730</v>
      </c>
      <c r="H75" s="99">
        <v>48</v>
      </c>
      <c r="I75" s="99">
        <f>H75*D75</f>
        <v>27024</v>
      </c>
      <c r="J75" s="99">
        <f>H75*E75</f>
        <v>35040</v>
      </c>
      <c r="K75" s="99">
        <f>H75*F75</f>
        <v>0</v>
      </c>
      <c r="L75" s="273">
        <f>K75+J75</f>
        <v>35040</v>
      </c>
      <c r="M75" s="622"/>
      <c r="N75" s="622"/>
      <c r="O75" s="622"/>
      <c r="P75" s="622"/>
      <c r="Q75" s="622"/>
      <c r="R75" s="622"/>
      <c r="S75" s="622"/>
    </row>
    <row r="76" spans="1:19" s="278" customFormat="1" x14ac:dyDescent="0.15">
      <c r="A76" s="287">
        <v>4.2</v>
      </c>
      <c r="B76" s="275" t="s">
        <v>238</v>
      </c>
      <c r="C76" s="146" t="s">
        <v>174</v>
      </c>
      <c r="D76" s="99">
        <v>99</v>
      </c>
      <c r="E76" s="146"/>
      <c r="F76" s="146">
        <v>103.22</v>
      </c>
      <c r="G76" s="146">
        <f>F76+E76</f>
        <v>103.22</v>
      </c>
      <c r="H76" s="99">
        <v>92</v>
      </c>
      <c r="I76" s="99">
        <f>H76*D76</f>
        <v>9108</v>
      </c>
      <c r="J76" s="99">
        <f>H76*E76</f>
        <v>0</v>
      </c>
      <c r="K76" s="99">
        <f>H76*F76</f>
        <v>9496.24</v>
      </c>
      <c r="L76" s="273">
        <f>K76+J76</f>
        <v>9496.24</v>
      </c>
      <c r="M76" s="622"/>
      <c r="N76" s="622"/>
      <c r="O76" s="622"/>
      <c r="P76" s="622"/>
      <c r="Q76" s="622"/>
      <c r="R76" s="622"/>
      <c r="S76" s="622"/>
    </row>
    <row r="77" spans="1:19" s="278" customFormat="1" x14ac:dyDescent="0.15">
      <c r="A77" s="287">
        <v>4.3</v>
      </c>
      <c r="B77" s="275" t="s">
        <v>470</v>
      </c>
      <c r="C77" s="146"/>
      <c r="D77" s="99"/>
      <c r="E77" s="146"/>
      <c r="F77" s="146"/>
      <c r="G77" s="146"/>
      <c r="H77" s="99"/>
      <c r="I77" s="99"/>
      <c r="J77" s="99"/>
      <c r="K77" s="99"/>
      <c r="L77" s="273"/>
      <c r="M77" s="622"/>
      <c r="N77" s="622"/>
      <c r="O77" s="622"/>
      <c r="P77" s="622"/>
      <c r="Q77" s="622"/>
      <c r="R77" s="622"/>
      <c r="S77" s="622"/>
    </row>
    <row r="78" spans="1:19" s="278" customFormat="1" x14ac:dyDescent="0.15">
      <c r="A78" s="287"/>
      <c r="B78" s="275" t="s">
        <v>471</v>
      </c>
      <c r="C78" s="146" t="s">
        <v>142</v>
      </c>
      <c r="D78" s="99">
        <v>4</v>
      </c>
      <c r="E78" s="146"/>
      <c r="F78" s="146"/>
      <c r="G78" s="146">
        <f>F78+E78</f>
        <v>0</v>
      </c>
      <c r="H78" s="99">
        <v>4320</v>
      </c>
      <c r="I78" s="99">
        <f>H78*D78</f>
        <v>17280</v>
      </c>
      <c r="J78" s="99">
        <f>H78*E78</f>
        <v>0</v>
      </c>
      <c r="K78" s="99">
        <f>H78*F78</f>
        <v>0</v>
      </c>
      <c r="L78" s="273">
        <f>K78+J78</f>
        <v>0</v>
      </c>
      <c r="M78" s="622"/>
      <c r="N78" s="622"/>
      <c r="O78" s="622"/>
      <c r="P78" s="622"/>
      <c r="Q78" s="622"/>
      <c r="R78" s="622"/>
      <c r="S78" s="622"/>
    </row>
    <row r="79" spans="1:19" s="278" customFormat="1" x14ac:dyDescent="0.15">
      <c r="A79" s="287"/>
      <c r="B79" s="275" t="s">
        <v>472</v>
      </c>
      <c r="C79" s="146" t="s">
        <v>142</v>
      </c>
      <c r="D79" s="99">
        <v>4</v>
      </c>
      <c r="E79" s="146"/>
      <c r="F79" s="146"/>
      <c r="G79" s="146">
        <f>F79+E79</f>
        <v>0</v>
      </c>
      <c r="H79" s="99">
        <v>3780</v>
      </c>
      <c r="I79" s="99">
        <f>H79*D79</f>
        <v>15120</v>
      </c>
      <c r="J79" s="99">
        <f>H79*E79</f>
        <v>0</v>
      </c>
      <c r="K79" s="99">
        <f>H79*F79</f>
        <v>0</v>
      </c>
      <c r="L79" s="273">
        <f>K79+J79</f>
        <v>0</v>
      </c>
      <c r="M79" s="622"/>
      <c r="N79" s="622"/>
      <c r="O79" s="622"/>
      <c r="P79" s="622"/>
      <c r="Q79" s="622"/>
      <c r="R79" s="622"/>
      <c r="S79" s="622"/>
    </row>
    <row r="80" spans="1:19" s="278" customFormat="1" x14ac:dyDescent="0.15">
      <c r="A80" s="287"/>
      <c r="B80" s="275" t="s">
        <v>473</v>
      </c>
      <c r="C80" s="146" t="s">
        <v>142</v>
      </c>
      <c r="D80" s="99">
        <v>15</v>
      </c>
      <c r="E80" s="146"/>
      <c r="F80" s="146"/>
      <c r="G80" s="146">
        <f>F80+E80</f>
        <v>0</v>
      </c>
      <c r="H80" s="99">
        <v>4860</v>
      </c>
      <c r="I80" s="99">
        <f>H80*D80</f>
        <v>72900</v>
      </c>
      <c r="J80" s="99">
        <f>H80*E80</f>
        <v>0</v>
      </c>
      <c r="K80" s="99">
        <f>H80*F80</f>
        <v>0</v>
      </c>
      <c r="L80" s="273">
        <f>K80+J80</f>
        <v>0</v>
      </c>
      <c r="M80" s="622"/>
      <c r="N80" s="622"/>
      <c r="O80" s="622"/>
      <c r="P80" s="622"/>
      <c r="Q80" s="622"/>
      <c r="R80" s="622"/>
      <c r="S80" s="622"/>
    </row>
    <row r="81" spans="1:22" s="278" customFormat="1" x14ac:dyDescent="0.15">
      <c r="A81" s="287"/>
      <c r="B81" s="275" t="s">
        <v>474</v>
      </c>
      <c r="C81" s="146" t="s">
        <v>142</v>
      </c>
      <c r="D81" s="99">
        <v>1</v>
      </c>
      <c r="E81" s="146"/>
      <c r="F81" s="146"/>
      <c r="G81" s="146">
        <f>F81+E81</f>
        <v>0</v>
      </c>
      <c r="H81" s="99">
        <v>7560</v>
      </c>
      <c r="I81" s="99">
        <f>H81*D81</f>
        <v>7560</v>
      </c>
      <c r="J81" s="99">
        <f>H81*E81</f>
        <v>0</v>
      </c>
      <c r="K81" s="99">
        <f>H81*F81</f>
        <v>0</v>
      </c>
      <c r="L81" s="273">
        <f>K81+J81</f>
        <v>0</v>
      </c>
      <c r="M81" s="622"/>
      <c r="N81" s="622"/>
      <c r="O81" s="622"/>
      <c r="P81" s="622"/>
      <c r="Q81" s="622"/>
      <c r="R81" s="622"/>
      <c r="S81" s="622"/>
    </row>
    <row r="82" spans="1:22" s="574" customFormat="1" ht="29.25" customHeight="1" thickBot="1" x14ac:dyDescent="0.2">
      <c r="A82" s="571"/>
      <c r="B82" s="1104" t="s">
        <v>64</v>
      </c>
      <c r="C82" s="1105"/>
      <c r="D82" s="1105"/>
      <c r="E82" s="1105"/>
      <c r="F82" s="1105"/>
      <c r="G82" s="1105"/>
      <c r="H82" s="1106"/>
      <c r="I82" s="572">
        <f>SUM(I73:I78)</f>
        <v>77446</v>
      </c>
      <c r="J82" s="572">
        <f>SUM(J73:J81)</f>
        <v>65638.820000000007</v>
      </c>
      <c r="K82" s="572">
        <f>SUM(K73:K81)</f>
        <v>9496.24</v>
      </c>
      <c r="L82" s="572">
        <f>SUM(L73:L81)</f>
        <v>75135.060000000012</v>
      </c>
      <c r="M82" s="622"/>
      <c r="N82" s="622"/>
      <c r="O82" s="622"/>
      <c r="P82" s="622"/>
      <c r="Q82" s="622"/>
      <c r="R82" s="622"/>
      <c r="S82" s="622"/>
    </row>
    <row r="83" spans="1:22" s="278" customFormat="1" ht="21.75" customHeight="1" x14ac:dyDescent="0.15">
      <c r="A83" s="286"/>
      <c r="B83" s="769" t="s">
        <v>345</v>
      </c>
      <c r="C83" s="770"/>
      <c r="D83" s="771"/>
      <c r="E83" s="770"/>
      <c r="F83" s="770"/>
      <c r="G83" s="770"/>
      <c r="H83" s="771"/>
      <c r="I83" s="228"/>
      <c r="J83" s="228"/>
      <c r="K83" s="701"/>
      <c r="L83" s="284"/>
    </row>
    <row r="84" spans="1:22" s="704" customFormat="1" ht="21.75" customHeight="1" x14ac:dyDescent="0.15">
      <c r="A84" s="287">
        <v>5.0999999999999996</v>
      </c>
      <c r="B84" s="772" t="s">
        <v>346</v>
      </c>
      <c r="C84" s="146"/>
      <c r="D84" s="99"/>
      <c r="E84" s="12"/>
      <c r="F84" s="146"/>
      <c r="G84" s="146"/>
      <c r="H84" s="99"/>
      <c r="I84" s="99"/>
      <c r="J84" s="99"/>
      <c r="K84" s="272"/>
      <c r="L84" s="273"/>
    </row>
    <row r="85" spans="1:22" s="278" customFormat="1" x14ac:dyDescent="0.15">
      <c r="A85" s="287"/>
      <c r="B85" s="772" t="s">
        <v>386</v>
      </c>
      <c r="C85" s="146" t="s">
        <v>348</v>
      </c>
      <c r="D85" s="99">
        <v>1</v>
      </c>
      <c r="E85" s="773">
        <v>6</v>
      </c>
      <c r="F85" s="12"/>
      <c r="G85" s="146">
        <f>F85+E85</f>
        <v>6</v>
      </c>
      <c r="H85" s="146">
        <v>2000</v>
      </c>
      <c r="I85" s="99">
        <f>H85*D85</f>
        <v>2000</v>
      </c>
      <c r="J85" s="99">
        <f>E85*H85</f>
        <v>12000</v>
      </c>
      <c r="K85" s="272">
        <f>F85*H85</f>
        <v>0</v>
      </c>
      <c r="L85" s="273">
        <f>K85+J85</f>
        <v>12000</v>
      </c>
    </row>
    <row r="86" spans="1:22" s="254" customFormat="1" ht="21.75" customHeight="1" x14ac:dyDescent="0.15">
      <c r="A86" s="287"/>
      <c r="B86" s="772" t="s">
        <v>357</v>
      </c>
      <c r="C86" s="146" t="s">
        <v>348</v>
      </c>
      <c r="D86" s="99">
        <v>15</v>
      </c>
      <c r="E86" s="702">
        <v>10</v>
      </c>
      <c r="F86" s="12"/>
      <c r="G86" s="146">
        <f t="shared" ref="G86:G93" si="15">F86+E86</f>
        <v>10</v>
      </c>
      <c r="H86" s="146">
        <v>3000</v>
      </c>
      <c r="I86" s="99">
        <f t="shared" ref="I86:I93" si="16">H86*D86</f>
        <v>45000</v>
      </c>
      <c r="J86" s="99">
        <f t="shared" ref="J86:J93" si="17">E86*H86</f>
        <v>30000</v>
      </c>
      <c r="K86" s="272">
        <f t="shared" ref="K86:K93" si="18">F86*H86</f>
        <v>0</v>
      </c>
      <c r="L86" s="273">
        <f t="shared" ref="L86:L93" si="19">K86+J86</f>
        <v>30000</v>
      </c>
    </row>
    <row r="87" spans="1:22" s="254" customFormat="1" ht="19.5" customHeight="1" x14ac:dyDescent="0.15">
      <c r="A87" s="287"/>
      <c r="B87" s="772" t="s">
        <v>387</v>
      </c>
      <c r="C87" s="146" t="s">
        <v>348</v>
      </c>
      <c r="D87" s="99">
        <v>1</v>
      </c>
      <c r="E87" s="702">
        <v>2</v>
      </c>
      <c r="F87" s="12"/>
      <c r="G87" s="146">
        <f t="shared" si="15"/>
        <v>2</v>
      </c>
      <c r="H87" s="146">
        <v>937.5</v>
      </c>
      <c r="I87" s="99">
        <f t="shared" si="16"/>
        <v>937.5</v>
      </c>
      <c r="J87" s="99">
        <f t="shared" si="17"/>
        <v>1875</v>
      </c>
      <c r="K87" s="272">
        <f t="shared" si="18"/>
        <v>0</v>
      </c>
      <c r="L87" s="273">
        <f t="shared" si="19"/>
        <v>1875</v>
      </c>
    </row>
    <row r="88" spans="1:22" s="254" customFormat="1" ht="21" customHeight="1" x14ac:dyDescent="0.15">
      <c r="A88" s="287"/>
      <c r="B88" s="772" t="s">
        <v>388</v>
      </c>
      <c r="C88" s="146" t="s">
        <v>348</v>
      </c>
      <c r="D88" s="99">
        <v>5</v>
      </c>
      <c r="E88" s="702">
        <v>6</v>
      </c>
      <c r="F88" s="12"/>
      <c r="G88" s="146">
        <f t="shared" si="15"/>
        <v>6</v>
      </c>
      <c r="H88" s="146">
        <v>2600</v>
      </c>
      <c r="I88" s="99">
        <f t="shared" si="16"/>
        <v>13000</v>
      </c>
      <c r="J88" s="99">
        <f t="shared" si="17"/>
        <v>15600</v>
      </c>
      <c r="K88" s="272">
        <f t="shared" si="18"/>
        <v>0</v>
      </c>
      <c r="L88" s="273">
        <f t="shared" si="19"/>
        <v>15600</v>
      </c>
    </row>
    <row r="89" spans="1:22" s="254" customFormat="1" ht="21" customHeight="1" x14ac:dyDescent="0.15">
      <c r="A89" s="287"/>
      <c r="B89" s="772" t="s">
        <v>389</v>
      </c>
      <c r="C89" s="146" t="s">
        <v>348</v>
      </c>
      <c r="D89" s="99">
        <v>1</v>
      </c>
      <c r="E89" s="702">
        <v>1</v>
      </c>
      <c r="F89" s="12"/>
      <c r="G89" s="146">
        <f t="shared" si="15"/>
        <v>1</v>
      </c>
      <c r="H89" s="146">
        <v>2175</v>
      </c>
      <c r="I89" s="99">
        <f t="shared" si="16"/>
        <v>2175</v>
      </c>
      <c r="J89" s="99">
        <f t="shared" si="17"/>
        <v>2175</v>
      </c>
      <c r="K89" s="272">
        <f t="shared" si="18"/>
        <v>0</v>
      </c>
      <c r="L89" s="273">
        <f t="shared" si="19"/>
        <v>2175</v>
      </c>
    </row>
    <row r="90" spans="1:22" s="278" customFormat="1" x14ac:dyDescent="0.15">
      <c r="A90" s="287"/>
      <c r="B90" s="772" t="s">
        <v>353</v>
      </c>
      <c r="C90" s="146"/>
      <c r="D90" s="99">
        <v>1</v>
      </c>
      <c r="E90" s="702">
        <v>1</v>
      </c>
      <c r="F90" s="12"/>
      <c r="G90" s="146">
        <f t="shared" si="15"/>
        <v>1</v>
      </c>
      <c r="H90" s="146">
        <v>1267</v>
      </c>
      <c r="I90" s="99">
        <f t="shared" si="16"/>
        <v>1267</v>
      </c>
      <c r="J90" s="99">
        <f t="shared" si="17"/>
        <v>1267</v>
      </c>
      <c r="K90" s="272">
        <f t="shared" si="18"/>
        <v>0</v>
      </c>
      <c r="L90" s="273">
        <f t="shared" si="19"/>
        <v>1267</v>
      </c>
    </row>
    <row r="91" spans="1:22" s="278" customFormat="1" x14ac:dyDescent="0.15">
      <c r="A91" s="287">
        <v>5.2</v>
      </c>
      <c r="B91" s="99" t="s">
        <v>390</v>
      </c>
      <c r="C91" s="146"/>
      <c r="D91" s="99"/>
      <c r="E91" s="272"/>
      <c r="F91" s="146"/>
      <c r="G91" s="146">
        <f t="shared" si="15"/>
        <v>0</v>
      </c>
      <c r="H91" s="146"/>
      <c r="I91" s="99">
        <f t="shared" si="16"/>
        <v>0</v>
      </c>
      <c r="J91" s="99">
        <f t="shared" si="17"/>
        <v>0</v>
      </c>
      <c r="K91" s="272">
        <f t="shared" si="18"/>
        <v>0</v>
      </c>
      <c r="L91" s="273">
        <f t="shared" si="19"/>
        <v>0</v>
      </c>
    </row>
    <row r="92" spans="1:22" s="278" customFormat="1" x14ac:dyDescent="0.15">
      <c r="A92" s="287"/>
      <c r="B92" s="99" t="s">
        <v>391</v>
      </c>
      <c r="C92" s="146" t="s">
        <v>348</v>
      </c>
      <c r="D92" s="99">
        <v>2</v>
      </c>
      <c r="E92" s="272"/>
      <c r="F92" s="146"/>
      <c r="G92" s="146">
        <f t="shared" si="15"/>
        <v>0</v>
      </c>
      <c r="H92" s="146">
        <v>4725</v>
      </c>
      <c r="I92" s="99">
        <f t="shared" si="16"/>
        <v>9450</v>
      </c>
      <c r="J92" s="99">
        <f t="shared" si="17"/>
        <v>0</v>
      </c>
      <c r="K92" s="272">
        <f t="shared" si="18"/>
        <v>0</v>
      </c>
      <c r="L92" s="273">
        <f t="shared" si="19"/>
        <v>0</v>
      </c>
    </row>
    <row r="93" spans="1:22" s="278" customFormat="1" x14ac:dyDescent="0.15">
      <c r="A93" s="287"/>
      <c r="B93" s="99" t="s">
        <v>392</v>
      </c>
      <c r="C93" s="146" t="s">
        <v>348</v>
      </c>
      <c r="D93" s="99">
        <v>1</v>
      </c>
      <c r="E93" s="272"/>
      <c r="F93" s="146"/>
      <c r="G93" s="146">
        <f t="shared" si="15"/>
        <v>0</v>
      </c>
      <c r="H93" s="146">
        <v>4387.5</v>
      </c>
      <c r="I93" s="99">
        <f t="shared" si="16"/>
        <v>4387.5</v>
      </c>
      <c r="J93" s="99">
        <f t="shared" si="17"/>
        <v>0</v>
      </c>
      <c r="K93" s="272">
        <f t="shared" si="18"/>
        <v>0</v>
      </c>
      <c r="L93" s="273">
        <f t="shared" si="19"/>
        <v>0</v>
      </c>
    </row>
    <row r="94" spans="1:22" s="278" customFormat="1" ht="25.5" customHeight="1" thickBot="1" x14ac:dyDescent="0.2">
      <c r="A94" s="774"/>
      <c r="B94" s="1098" t="s">
        <v>64</v>
      </c>
      <c r="C94" s="1099"/>
      <c r="D94" s="1099"/>
      <c r="E94" s="1099"/>
      <c r="F94" s="1099"/>
      <c r="G94" s="1099"/>
      <c r="H94" s="1100"/>
      <c r="I94" s="775">
        <f>SUM(I85:I93)</f>
        <v>78217</v>
      </c>
      <c r="J94" s="775">
        <f>SUM(J85:J93)</f>
        <v>62917</v>
      </c>
      <c r="K94" s="775">
        <f>SUM(K85:K93)</f>
        <v>0</v>
      </c>
      <c r="L94" s="775">
        <f>SUM(L85:L93)</f>
        <v>62917</v>
      </c>
    </row>
    <row r="95" spans="1:22" s="312" customFormat="1" x14ac:dyDescent="0.15">
      <c r="A95" s="340"/>
      <c r="B95" s="267" t="s">
        <v>297</v>
      </c>
      <c r="C95" s="149"/>
      <c r="D95" s="149"/>
      <c r="E95" s="341"/>
      <c r="F95" s="341"/>
      <c r="G95" s="341"/>
      <c r="H95" s="342"/>
      <c r="I95" s="342"/>
      <c r="J95" s="295"/>
      <c r="K95" s="295"/>
      <c r="L95" s="295"/>
      <c r="M95" s="628"/>
      <c r="N95" s="628"/>
      <c r="O95" s="628"/>
      <c r="P95" s="628"/>
      <c r="Q95" s="628"/>
      <c r="R95" s="628"/>
      <c r="S95" s="628"/>
      <c r="T95" s="628"/>
      <c r="U95" s="628"/>
      <c r="V95" s="628"/>
    </row>
    <row r="96" spans="1:22" s="312" customFormat="1" x14ac:dyDescent="0.15">
      <c r="A96" s="343">
        <v>6.1</v>
      </c>
      <c r="B96" s="270" t="s">
        <v>298</v>
      </c>
      <c r="C96" s="149"/>
      <c r="D96" s="149"/>
      <c r="E96" s="231"/>
      <c r="F96" s="231"/>
      <c r="G96" s="231"/>
      <c r="H96" s="147"/>
      <c r="I96" s="147"/>
      <c r="J96" s="148"/>
      <c r="K96" s="148"/>
      <c r="L96" s="231"/>
      <c r="M96" s="628"/>
      <c r="N96" s="628"/>
      <c r="O96" s="628"/>
      <c r="P96" s="628"/>
      <c r="Q96" s="628"/>
      <c r="R96" s="628"/>
      <c r="S96" s="628"/>
      <c r="T96" s="628"/>
      <c r="U96" s="628"/>
      <c r="V96" s="628"/>
    </row>
    <row r="97" spans="1:22" s="312" customFormat="1" ht="17.25" x14ac:dyDescent="0.15">
      <c r="A97" s="343"/>
      <c r="B97" s="270" t="s">
        <v>299</v>
      </c>
      <c r="C97" s="12" t="s">
        <v>300</v>
      </c>
      <c r="D97" s="12">
        <v>430</v>
      </c>
      <c r="E97" s="231">
        <v>90.51</v>
      </c>
      <c r="F97" s="231"/>
      <c r="G97" s="231">
        <f>F97+E97</f>
        <v>90.51</v>
      </c>
      <c r="H97" s="98">
        <v>115</v>
      </c>
      <c r="I97" s="98">
        <f t="shared" ref="I97:I104" si="20">H97*D97</f>
        <v>49450</v>
      </c>
      <c r="J97" s="31">
        <f t="shared" ref="J97:J104" si="21">H97*E97</f>
        <v>10408.650000000001</v>
      </c>
      <c r="K97" s="31">
        <f t="shared" ref="K97:K104" si="22">H97*F97</f>
        <v>0</v>
      </c>
      <c r="L97" s="231">
        <f t="shared" ref="L97:L103" si="23">K97+J97</f>
        <v>10408.650000000001</v>
      </c>
      <c r="M97" s="628"/>
      <c r="N97" s="628"/>
      <c r="O97" s="628"/>
      <c r="P97" s="628"/>
      <c r="Q97" s="628"/>
      <c r="R97" s="628"/>
      <c r="S97" s="628"/>
      <c r="T97" s="628"/>
      <c r="U97" s="628"/>
      <c r="V97" s="628"/>
    </row>
    <row r="98" spans="1:22" s="312" customFormat="1" x14ac:dyDescent="0.15">
      <c r="A98" s="343">
        <v>6.2</v>
      </c>
      <c r="B98" s="270" t="s">
        <v>301</v>
      </c>
      <c r="C98" s="12"/>
      <c r="D98" s="12"/>
      <c r="E98" s="310"/>
      <c r="F98" s="310"/>
      <c r="G98" s="231">
        <f t="shared" ref="G98:G104" si="24">F98+E98</f>
        <v>0</v>
      </c>
      <c r="H98" s="98"/>
      <c r="I98" s="98">
        <f t="shared" si="20"/>
        <v>0</v>
      </c>
      <c r="J98" s="31">
        <f t="shared" si="21"/>
        <v>0</v>
      </c>
      <c r="K98" s="31">
        <f t="shared" si="22"/>
        <v>0</v>
      </c>
      <c r="L98" s="231">
        <f t="shared" si="23"/>
        <v>0</v>
      </c>
      <c r="M98" s="628"/>
      <c r="N98" s="628"/>
      <c r="O98" s="628"/>
      <c r="P98" s="628"/>
      <c r="Q98" s="628"/>
      <c r="R98" s="628"/>
      <c r="S98" s="628"/>
      <c r="T98" s="628"/>
      <c r="U98" s="628"/>
      <c r="V98" s="628"/>
    </row>
    <row r="99" spans="1:22" s="312" customFormat="1" ht="17.25" customHeight="1" x14ac:dyDescent="0.15">
      <c r="A99" s="343"/>
      <c r="B99" s="344" t="s">
        <v>302</v>
      </c>
      <c r="C99" s="12" t="s">
        <v>300</v>
      </c>
      <c r="D99" s="12">
        <v>789</v>
      </c>
      <c r="E99" s="231"/>
      <c r="F99" s="872">
        <v>1290.44</v>
      </c>
      <c r="G99" s="231">
        <f>F99+E99</f>
        <v>1290.44</v>
      </c>
      <c r="H99" s="98">
        <v>140</v>
      </c>
      <c r="I99" s="98">
        <f t="shared" si="20"/>
        <v>110460</v>
      </c>
      <c r="J99" s="31">
        <f>H99*E99</f>
        <v>0</v>
      </c>
      <c r="K99" s="31">
        <f t="shared" si="22"/>
        <v>180661.6</v>
      </c>
      <c r="L99" s="231">
        <f t="shared" si="23"/>
        <v>180661.6</v>
      </c>
      <c r="M99" s="628"/>
      <c r="N99" s="628"/>
      <c r="O99" s="628"/>
      <c r="P99" s="628"/>
      <c r="Q99" s="628"/>
      <c r="R99" s="628"/>
      <c r="S99" s="628"/>
      <c r="T99" s="628"/>
      <c r="U99" s="628"/>
      <c r="V99" s="628"/>
    </row>
    <row r="100" spans="1:22" s="312" customFormat="1" ht="17.25" customHeight="1" x14ac:dyDescent="0.15">
      <c r="A100" s="343">
        <v>6.3</v>
      </c>
      <c r="B100" s="344" t="s">
        <v>485</v>
      </c>
      <c r="C100" s="12" t="s">
        <v>11</v>
      </c>
      <c r="D100" s="12">
        <v>480</v>
      </c>
      <c r="E100" s="231"/>
      <c r="F100" s="872">
        <v>373.49</v>
      </c>
      <c r="G100" s="231">
        <f t="shared" si="24"/>
        <v>373.49</v>
      </c>
      <c r="H100" s="98">
        <v>340</v>
      </c>
      <c r="I100" s="98">
        <f t="shared" si="20"/>
        <v>163200</v>
      </c>
      <c r="J100" s="31">
        <f>H100*E100</f>
        <v>0</v>
      </c>
      <c r="K100" s="31">
        <f>H100*F100</f>
        <v>126986.6</v>
      </c>
      <c r="L100" s="231">
        <f t="shared" si="23"/>
        <v>126986.6</v>
      </c>
      <c r="M100" s="628"/>
      <c r="N100" s="628"/>
      <c r="O100" s="628"/>
      <c r="P100" s="628"/>
      <c r="Q100" s="628"/>
      <c r="R100" s="628"/>
      <c r="S100" s="628"/>
      <c r="T100" s="628"/>
      <c r="U100" s="628"/>
      <c r="V100" s="628"/>
    </row>
    <row r="101" spans="1:22" s="312" customFormat="1" ht="17.25" customHeight="1" x14ac:dyDescent="0.15">
      <c r="A101" s="343">
        <v>6.5</v>
      </c>
      <c r="B101" s="344" t="s">
        <v>525</v>
      </c>
      <c r="C101" s="12" t="s">
        <v>11</v>
      </c>
      <c r="D101" s="12">
        <v>480</v>
      </c>
      <c r="E101" s="231"/>
      <c r="F101" s="872">
        <v>373.49</v>
      </c>
      <c r="G101" s="231">
        <f t="shared" si="24"/>
        <v>373.49</v>
      </c>
      <c r="H101" s="98">
        <v>380</v>
      </c>
      <c r="I101" s="98">
        <f t="shared" si="20"/>
        <v>182400</v>
      </c>
      <c r="J101" s="31">
        <f t="shared" si="21"/>
        <v>0</v>
      </c>
      <c r="K101" s="31">
        <f t="shared" si="22"/>
        <v>141926.20000000001</v>
      </c>
      <c r="L101" s="231">
        <f t="shared" si="23"/>
        <v>141926.20000000001</v>
      </c>
      <c r="M101" s="628"/>
      <c r="N101" s="628"/>
      <c r="O101" s="628"/>
      <c r="P101" s="628"/>
      <c r="Q101" s="628"/>
      <c r="R101" s="628"/>
      <c r="S101" s="628"/>
      <c r="T101" s="628"/>
      <c r="U101" s="628"/>
      <c r="V101" s="628"/>
    </row>
    <row r="102" spans="1:22" s="312" customFormat="1" ht="17.25" customHeight="1" x14ac:dyDescent="0.15">
      <c r="A102" s="343">
        <v>6.6</v>
      </c>
      <c r="B102" s="344" t="s">
        <v>526</v>
      </c>
      <c r="C102" s="12" t="s">
        <v>174</v>
      </c>
      <c r="D102" s="12">
        <v>450</v>
      </c>
      <c r="E102" s="231"/>
      <c r="F102" s="872">
        <v>325</v>
      </c>
      <c r="G102" s="231">
        <f t="shared" si="24"/>
        <v>325</v>
      </c>
      <c r="H102" s="98">
        <v>50</v>
      </c>
      <c r="I102" s="98">
        <f t="shared" si="20"/>
        <v>22500</v>
      </c>
      <c r="J102" s="31">
        <f t="shared" si="21"/>
        <v>0</v>
      </c>
      <c r="K102" s="31">
        <f t="shared" si="22"/>
        <v>16250</v>
      </c>
      <c r="L102" s="231">
        <f t="shared" si="23"/>
        <v>16250</v>
      </c>
      <c r="M102" s="628"/>
      <c r="N102" s="628"/>
      <c r="O102" s="628"/>
      <c r="P102" s="628"/>
      <c r="Q102" s="628"/>
      <c r="R102" s="628"/>
      <c r="S102" s="628"/>
      <c r="T102" s="628"/>
      <c r="U102" s="628"/>
      <c r="V102" s="628"/>
    </row>
    <row r="103" spans="1:22" s="312" customFormat="1" ht="17.25" customHeight="1" x14ac:dyDescent="0.15">
      <c r="A103" s="343">
        <v>6.7</v>
      </c>
      <c r="B103" s="344" t="s">
        <v>476</v>
      </c>
      <c r="C103" s="12" t="s">
        <v>174</v>
      </c>
      <c r="D103" s="12">
        <v>43</v>
      </c>
      <c r="E103" s="231"/>
      <c r="F103" s="872"/>
      <c r="G103" s="231">
        <f t="shared" si="24"/>
        <v>0</v>
      </c>
      <c r="H103" s="98">
        <v>275</v>
      </c>
      <c r="I103" s="98">
        <f t="shared" si="20"/>
        <v>11825</v>
      </c>
      <c r="J103" s="31">
        <f t="shared" si="21"/>
        <v>0</v>
      </c>
      <c r="K103" s="31">
        <f t="shared" si="22"/>
        <v>0</v>
      </c>
      <c r="L103" s="231">
        <f t="shared" si="23"/>
        <v>0</v>
      </c>
      <c r="M103" s="628"/>
      <c r="N103" s="628"/>
      <c r="O103" s="628"/>
      <c r="P103" s="628"/>
      <c r="Q103" s="628"/>
      <c r="R103" s="628"/>
      <c r="S103" s="628"/>
      <c r="T103" s="628"/>
      <c r="U103" s="628"/>
      <c r="V103" s="628"/>
    </row>
    <row r="104" spans="1:22" s="312" customFormat="1" ht="17.25" customHeight="1" x14ac:dyDescent="0.15">
      <c r="A104" s="343">
        <v>6.9</v>
      </c>
      <c r="B104" s="344" t="s">
        <v>477</v>
      </c>
      <c r="C104" s="12" t="s">
        <v>11</v>
      </c>
      <c r="D104" s="12">
        <v>122</v>
      </c>
      <c r="E104" s="231"/>
      <c r="F104" s="872">
        <v>121.7</v>
      </c>
      <c r="G104" s="231">
        <f t="shared" si="24"/>
        <v>121.7</v>
      </c>
      <c r="H104" s="98">
        <v>450</v>
      </c>
      <c r="I104" s="98">
        <f t="shared" si="20"/>
        <v>54900</v>
      </c>
      <c r="J104" s="31">
        <f t="shared" si="21"/>
        <v>0</v>
      </c>
      <c r="K104" s="31">
        <f t="shared" si="22"/>
        <v>54765</v>
      </c>
      <c r="L104" s="231">
        <f>K104+J104</f>
        <v>54765</v>
      </c>
      <c r="M104" s="628"/>
      <c r="N104" s="628"/>
      <c r="O104" s="628"/>
      <c r="P104" s="628"/>
      <c r="Q104" s="628"/>
      <c r="R104" s="628"/>
      <c r="S104" s="628"/>
      <c r="T104" s="628"/>
      <c r="U104" s="628"/>
      <c r="V104" s="628"/>
    </row>
    <row r="105" spans="1:22" s="582" customFormat="1" ht="25.5" customHeight="1" thickBot="1" x14ac:dyDescent="0.2">
      <c r="A105" s="571"/>
      <c r="B105" s="1104" t="s">
        <v>64</v>
      </c>
      <c r="C105" s="1105"/>
      <c r="D105" s="1105"/>
      <c r="E105" s="1105"/>
      <c r="F105" s="1105"/>
      <c r="G105" s="1105"/>
      <c r="H105" s="1106"/>
      <c r="I105" s="572">
        <f>SUM(I97:I104)</f>
        <v>594735</v>
      </c>
      <c r="J105" s="572">
        <f>SUM(J97:J104)</f>
        <v>10408.650000000001</v>
      </c>
      <c r="K105" s="572">
        <f>SUM(K97:K104)</f>
        <v>520589.4</v>
      </c>
      <c r="L105" s="572">
        <f>SUM(L97:L104)</f>
        <v>530998.05000000005</v>
      </c>
      <c r="M105" s="628"/>
      <c r="N105" s="628"/>
      <c r="O105" s="628"/>
      <c r="P105" s="628"/>
      <c r="Q105" s="628"/>
      <c r="R105" s="628"/>
      <c r="S105" s="628"/>
      <c r="T105" s="628"/>
      <c r="U105" s="628"/>
      <c r="V105" s="628"/>
    </row>
    <row r="106" spans="1:22" s="278" customFormat="1" x14ac:dyDescent="0.15">
      <c r="A106" s="288"/>
      <c r="C106" s="288"/>
      <c r="M106" s="622"/>
      <c r="N106" s="622"/>
      <c r="O106" s="622"/>
      <c r="P106" s="622"/>
      <c r="Q106" s="622"/>
      <c r="R106" s="622"/>
      <c r="S106" s="622"/>
    </row>
    <row r="107" spans="1:22" s="278" customFormat="1" x14ac:dyDescent="0.15">
      <c r="A107" s="288"/>
      <c r="C107" s="288"/>
      <c r="M107" s="622"/>
      <c r="N107" s="622"/>
      <c r="O107" s="622"/>
      <c r="P107" s="622"/>
      <c r="Q107" s="622"/>
      <c r="R107" s="622"/>
      <c r="S107" s="622"/>
    </row>
    <row r="108" spans="1:22" s="278" customFormat="1" x14ac:dyDescent="0.15">
      <c r="A108" s="288"/>
      <c r="C108" s="288"/>
      <c r="M108" s="622"/>
      <c r="N108" s="622"/>
      <c r="O108" s="622"/>
      <c r="P108" s="622"/>
      <c r="Q108" s="622"/>
      <c r="R108" s="622"/>
      <c r="S108" s="622"/>
    </row>
    <row r="109" spans="1:22" s="278" customFormat="1" x14ac:dyDescent="0.15">
      <c r="A109" s="288"/>
      <c r="C109" s="288"/>
      <c r="M109" s="622"/>
      <c r="N109" s="622"/>
      <c r="O109" s="622"/>
      <c r="P109" s="622"/>
      <c r="Q109" s="622"/>
      <c r="R109" s="622"/>
      <c r="S109" s="622"/>
    </row>
    <row r="110" spans="1:22" s="278" customFormat="1" x14ac:dyDescent="0.15">
      <c r="A110" s="288"/>
      <c r="C110" s="288"/>
      <c r="M110" s="622"/>
      <c r="N110" s="622"/>
      <c r="O110" s="622"/>
      <c r="P110" s="622"/>
      <c r="Q110" s="622"/>
      <c r="R110" s="622"/>
      <c r="S110" s="622"/>
    </row>
    <row r="111" spans="1:22" s="278" customFormat="1" x14ac:dyDescent="0.15">
      <c r="A111" s="288"/>
      <c r="C111" s="288"/>
      <c r="M111" s="622"/>
      <c r="N111" s="622"/>
      <c r="O111" s="622"/>
      <c r="P111" s="622"/>
      <c r="Q111" s="622"/>
      <c r="R111" s="622"/>
      <c r="S111" s="622"/>
    </row>
    <row r="112" spans="1:22" s="278" customFormat="1" x14ac:dyDescent="0.15">
      <c r="A112" s="288"/>
      <c r="C112" s="288"/>
      <c r="M112" s="622"/>
      <c r="N112" s="622"/>
      <c r="O112" s="622"/>
      <c r="P112" s="622"/>
      <c r="Q112" s="622"/>
      <c r="R112" s="622"/>
      <c r="S112" s="622"/>
    </row>
    <row r="113" spans="1:19" s="278" customFormat="1" x14ac:dyDescent="0.15">
      <c r="A113" s="288"/>
      <c r="C113" s="288"/>
      <c r="M113" s="622"/>
      <c r="N113" s="622"/>
      <c r="O113" s="622"/>
      <c r="P113" s="622"/>
      <c r="Q113" s="622"/>
      <c r="R113" s="622"/>
      <c r="S113" s="622"/>
    </row>
    <row r="114" spans="1:19" s="278" customFormat="1" x14ac:dyDescent="0.15">
      <c r="A114" s="288"/>
      <c r="C114" s="288"/>
      <c r="M114" s="622"/>
      <c r="N114" s="622"/>
      <c r="O114" s="622"/>
      <c r="P114" s="622"/>
      <c r="Q114" s="622"/>
      <c r="R114" s="622"/>
      <c r="S114" s="622"/>
    </row>
    <row r="115" spans="1:19" s="278" customFormat="1" x14ac:dyDescent="0.15">
      <c r="A115" s="288"/>
      <c r="C115" s="288"/>
      <c r="M115" s="622"/>
      <c r="N115" s="622"/>
      <c r="O115" s="622"/>
      <c r="P115" s="622"/>
      <c r="Q115" s="622"/>
      <c r="R115" s="622"/>
      <c r="S115" s="622"/>
    </row>
    <row r="116" spans="1:19" s="278" customFormat="1" x14ac:dyDescent="0.15">
      <c r="A116" s="288"/>
      <c r="C116" s="288"/>
      <c r="M116" s="622"/>
      <c r="N116" s="622"/>
      <c r="O116" s="622"/>
      <c r="P116" s="622"/>
      <c r="Q116" s="622"/>
      <c r="R116" s="622"/>
      <c r="S116" s="622"/>
    </row>
    <row r="117" spans="1:19" s="278" customFormat="1" x14ac:dyDescent="0.15">
      <c r="A117" s="288"/>
      <c r="C117" s="288"/>
      <c r="M117" s="622"/>
      <c r="N117" s="622"/>
      <c r="O117" s="622"/>
      <c r="P117" s="622"/>
      <c r="Q117" s="622"/>
      <c r="R117" s="622"/>
      <c r="S117" s="622"/>
    </row>
    <row r="118" spans="1:19" s="278" customFormat="1" x14ac:dyDescent="0.15">
      <c r="A118" s="288"/>
      <c r="C118" s="288"/>
      <c r="M118" s="622"/>
      <c r="N118" s="622"/>
      <c r="O118" s="622"/>
      <c r="P118" s="622"/>
      <c r="Q118" s="622"/>
      <c r="R118" s="622"/>
      <c r="S118" s="622"/>
    </row>
    <row r="119" spans="1:19" s="278" customFormat="1" x14ac:dyDescent="0.15">
      <c r="A119" s="288"/>
      <c r="C119" s="288"/>
      <c r="M119" s="622"/>
      <c r="N119" s="622"/>
      <c r="O119" s="622"/>
      <c r="P119" s="622"/>
      <c r="Q119" s="622"/>
      <c r="R119" s="622"/>
      <c r="S119" s="622"/>
    </row>
    <row r="120" spans="1:19" s="278" customFormat="1" x14ac:dyDescent="0.15">
      <c r="A120" s="288"/>
      <c r="C120" s="288"/>
      <c r="M120" s="622"/>
      <c r="N120" s="622"/>
      <c r="O120" s="622"/>
      <c r="P120" s="622"/>
      <c r="Q120" s="622"/>
      <c r="R120" s="622"/>
      <c r="S120" s="622"/>
    </row>
    <row r="121" spans="1:19" s="278" customFormat="1" x14ac:dyDescent="0.15">
      <c r="A121" s="288"/>
      <c r="C121" s="288"/>
      <c r="M121" s="622"/>
      <c r="N121" s="622"/>
      <c r="O121" s="622"/>
      <c r="P121" s="622"/>
      <c r="Q121" s="622"/>
      <c r="R121" s="622"/>
      <c r="S121" s="622"/>
    </row>
    <row r="122" spans="1:19" s="278" customFormat="1" x14ac:dyDescent="0.15">
      <c r="A122" s="288"/>
      <c r="C122" s="288"/>
      <c r="M122" s="622"/>
      <c r="N122" s="622"/>
      <c r="O122" s="622"/>
      <c r="P122" s="622"/>
      <c r="Q122" s="622"/>
      <c r="R122" s="622"/>
      <c r="S122" s="622"/>
    </row>
    <row r="123" spans="1:19" s="278" customFormat="1" x14ac:dyDescent="0.15">
      <c r="A123" s="288"/>
      <c r="C123" s="288"/>
      <c r="M123" s="622"/>
      <c r="N123" s="622"/>
      <c r="O123" s="622"/>
      <c r="P123" s="622"/>
      <c r="Q123" s="622"/>
      <c r="R123" s="622"/>
      <c r="S123" s="622"/>
    </row>
    <row r="124" spans="1:19" s="278" customFormat="1" x14ac:dyDescent="0.15">
      <c r="A124" s="288"/>
      <c r="C124" s="288"/>
      <c r="M124" s="622"/>
      <c r="N124" s="622"/>
      <c r="O124" s="622"/>
      <c r="P124" s="622"/>
      <c r="Q124" s="622"/>
      <c r="R124" s="622"/>
      <c r="S124" s="622"/>
    </row>
    <row r="125" spans="1:19" s="278" customFormat="1" x14ac:dyDescent="0.15">
      <c r="A125" s="288"/>
      <c r="C125" s="288"/>
      <c r="M125" s="622"/>
      <c r="N125" s="622"/>
      <c r="O125" s="622"/>
      <c r="P125" s="622"/>
      <c r="Q125" s="622"/>
      <c r="R125" s="622"/>
      <c r="S125" s="622"/>
    </row>
    <row r="126" spans="1:19" s="278" customFormat="1" x14ac:dyDescent="0.15">
      <c r="A126" s="288"/>
      <c r="C126" s="288"/>
      <c r="M126" s="622"/>
      <c r="N126" s="622"/>
      <c r="O126" s="622"/>
      <c r="P126" s="622"/>
      <c r="Q126" s="622"/>
      <c r="R126" s="622"/>
      <c r="S126" s="622"/>
    </row>
    <row r="127" spans="1:19" s="278" customFormat="1" x14ac:dyDescent="0.15">
      <c r="A127" s="288"/>
      <c r="C127" s="288"/>
      <c r="M127" s="622"/>
      <c r="N127" s="622"/>
      <c r="O127" s="622"/>
      <c r="P127" s="622"/>
      <c r="Q127" s="622"/>
      <c r="R127" s="622"/>
      <c r="S127" s="622"/>
    </row>
    <row r="128" spans="1:19" s="278" customFormat="1" x14ac:dyDescent="0.15">
      <c r="A128" s="288"/>
      <c r="C128" s="288"/>
      <c r="M128" s="622"/>
      <c r="N128" s="622"/>
      <c r="O128" s="622"/>
      <c r="P128" s="622"/>
      <c r="Q128" s="622"/>
      <c r="R128" s="622"/>
      <c r="S128" s="622"/>
    </row>
    <row r="129" spans="1:19" s="278" customFormat="1" x14ac:dyDescent="0.15">
      <c r="A129" s="288"/>
      <c r="C129" s="288"/>
      <c r="M129" s="622"/>
      <c r="N129" s="622"/>
      <c r="O129" s="622"/>
      <c r="P129" s="622"/>
      <c r="Q129" s="622"/>
      <c r="R129" s="622"/>
      <c r="S129" s="622"/>
    </row>
    <row r="130" spans="1:19" s="278" customFormat="1" x14ac:dyDescent="0.15">
      <c r="A130" s="288"/>
      <c r="C130" s="288"/>
      <c r="M130" s="622"/>
      <c r="N130" s="622"/>
      <c r="O130" s="622"/>
      <c r="P130" s="622"/>
      <c r="Q130" s="622"/>
      <c r="R130" s="622"/>
      <c r="S130" s="622"/>
    </row>
    <row r="131" spans="1:19" s="278" customFormat="1" x14ac:dyDescent="0.15">
      <c r="A131" s="288"/>
      <c r="C131" s="288"/>
      <c r="M131" s="622"/>
      <c r="N131" s="622"/>
      <c r="O131" s="622"/>
      <c r="P131" s="622"/>
      <c r="Q131" s="622"/>
      <c r="R131" s="622"/>
      <c r="S131" s="622"/>
    </row>
    <row r="132" spans="1:19" s="278" customFormat="1" x14ac:dyDescent="0.15">
      <c r="A132" s="288"/>
      <c r="C132" s="288"/>
      <c r="M132" s="622"/>
      <c r="N132" s="622"/>
      <c r="O132" s="622"/>
      <c r="P132" s="622"/>
      <c r="Q132" s="622"/>
      <c r="R132" s="622"/>
      <c r="S132" s="622"/>
    </row>
    <row r="133" spans="1:19" s="278" customFormat="1" x14ac:dyDescent="0.15">
      <c r="A133" s="288"/>
      <c r="C133" s="288"/>
      <c r="M133" s="622"/>
      <c r="N133" s="622"/>
      <c r="O133" s="622"/>
      <c r="P133" s="622"/>
      <c r="Q133" s="622"/>
      <c r="R133" s="622"/>
      <c r="S133" s="622"/>
    </row>
    <row r="134" spans="1:19" s="278" customFormat="1" x14ac:dyDescent="0.15">
      <c r="A134" s="288"/>
      <c r="C134" s="288"/>
      <c r="M134" s="622"/>
      <c r="N134" s="622"/>
      <c r="O134" s="622"/>
      <c r="P134" s="622"/>
      <c r="Q134" s="622"/>
      <c r="R134" s="622"/>
      <c r="S134" s="622"/>
    </row>
    <row r="135" spans="1:19" s="278" customFormat="1" x14ac:dyDescent="0.15">
      <c r="A135" s="288"/>
      <c r="C135" s="288"/>
      <c r="M135" s="622"/>
      <c r="N135" s="622"/>
      <c r="O135" s="622"/>
      <c r="P135" s="622"/>
      <c r="Q135" s="622"/>
      <c r="R135" s="622"/>
      <c r="S135" s="622"/>
    </row>
    <row r="136" spans="1:19" s="278" customFormat="1" x14ac:dyDescent="0.15">
      <c r="A136" s="288"/>
      <c r="C136" s="288"/>
      <c r="M136" s="622"/>
      <c r="N136" s="622"/>
      <c r="O136" s="622"/>
      <c r="P136" s="622"/>
      <c r="Q136" s="622"/>
      <c r="R136" s="622"/>
      <c r="S136" s="622"/>
    </row>
    <row r="137" spans="1:19" s="278" customFormat="1" x14ac:dyDescent="0.15">
      <c r="A137" s="288"/>
      <c r="C137" s="288"/>
      <c r="M137" s="622"/>
      <c r="N137" s="622"/>
      <c r="O137" s="622"/>
      <c r="P137" s="622"/>
      <c r="Q137" s="622"/>
      <c r="R137" s="622"/>
      <c r="S137" s="622"/>
    </row>
    <row r="138" spans="1:19" s="278" customFormat="1" x14ac:dyDescent="0.15">
      <c r="A138" s="288"/>
      <c r="C138" s="288"/>
      <c r="M138" s="622"/>
      <c r="N138" s="622"/>
      <c r="O138" s="622"/>
      <c r="P138" s="622"/>
      <c r="Q138" s="622"/>
      <c r="R138" s="622"/>
      <c r="S138" s="622"/>
    </row>
    <row r="139" spans="1:19" s="278" customFormat="1" x14ac:dyDescent="0.15">
      <c r="A139" s="288"/>
      <c r="C139" s="288"/>
      <c r="M139" s="622"/>
      <c r="N139" s="622"/>
      <c r="O139" s="622"/>
      <c r="P139" s="622"/>
      <c r="Q139" s="622"/>
      <c r="R139" s="622"/>
      <c r="S139" s="622"/>
    </row>
    <row r="140" spans="1:19" s="278" customFormat="1" x14ac:dyDescent="0.15">
      <c r="A140" s="288"/>
      <c r="C140" s="288"/>
      <c r="M140" s="622"/>
      <c r="N140" s="622"/>
      <c r="O140" s="622"/>
      <c r="P140" s="622"/>
      <c r="Q140" s="622"/>
      <c r="R140" s="622"/>
      <c r="S140" s="622"/>
    </row>
    <row r="141" spans="1:19" s="278" customFormat="1" x14ac:dyDescent="0.15">
      <c r="A141" s="288"/>
      <c r="C141" s="288"/>
      <c r="M141" s="622"/>
      <c r="N141" s="622"/>
      <c r="O141" s="622"/>
      <c r="P141" s="622"/>
      <c r="Q141" s="622"/>
      <c r="R141" s="622"/>
      <c r="S141" s="622"/>
    </row>
    <row r="142" spans="1:19" s="278" customFormat="1" x14ac:dyDescent="0.15">
      <c r="A142" s="288"/>
      <c r="C142" s="288"/>
      <c r="M142" s="622"/>
      <c r="N142" s="622"/>
      <c r="O142" s="622"/>
      <c r="P142" s="622"/>
      <c r="Q142" s="622"/>
      <c r="R142" s="622"/>
      <c r="S142" s="622"/>
    </row>
    <row r="143" spans="1:19" s="278" customFormat="1" x14ac:dyDescent="0.15">
      <c r="A143" s="288"/>
      <c r="C143" s="288"/>
      <c r="M143" s="622"/>
      <c r="N143" s="622"/>
      <c r="O143" s="622"/>
      <c r="P143" s="622"/>
      <c r="Q143" s="622"/>
      <c r="R143" s="622"/>
      <c r="S143" s="622"/>
    </row>
    <row r="144" spans="1:19" s="278" customFormat="1" x14ac:dyDescent="0.15">
      <c r="A144" s="288"/>
      <c r="C144" s="288"/>
      <c r="M144" s="622"/>
      <c r="N144" s="622"/>
      <c r="O144" s="622"/>
      <c r="P144" s="622"/>
      <c r="Q144" s="622"/>
      <c r="R144" s="622"/>
      <c r="S144" s="622"/>
    </row>
    <row r="145" spans="1:19" s="278" customFormat="1" x14ac:dyDescent="0.15">
      <c r="A145" s="288"/>
      <c r="C145" s="288"/>
      <c r="M145" s="622"/>
      <c r="N145" s="622"/>
      <c r="O145" s="622"/>
      <c r="P145" s="622"/>
      <c r="Q145" s="622"/>
      <c r="R145" s="622"/>
      <c r="S145" s="622"/>
    </row>
    <row r="146" spans="1:19" s="278" customFormat="1" x14ac:dyDescent="0.15">
      <c r="A146" s="288"/>
      <c r="C146" s="288"/>
      <c r="M146" s="622"/>
      <c r="N146" s="622"/>
      <c r="O146" s="622"/>
      <c r="P146" s="622"/>
      <c r="Q146" s="622"/>
      <c r="R146" s="622"/>
      <c r="S146" s="622"/>
    </row>
    <row r="147" spans="1:19" s="278" customFormat="1" x14ac:dyDescent="0.15">
      <c r="A147" s="288"/>
      <c r="C147" s="288"/>
      <c r="M147" s="622"/>
      <c r="N147" s="622"/>
      <c r="O147" s="622"/>
      <c r="P147" s="622"/>
      <c r="Q147" s="622"/>
      <c r="R147" s="622"/>
      <c r="S147" s="622"/>
    </row>
    <row r="148" spans="1:19" s="278" customFormat="1" x14ac:dyDescent="0.15">
      <c r="A148" s="288"/>
      <c r="C148" s="288"/>
      <c r="M148" s="622"/>
      <c r="N148" s="622"/>
      <c r="O148" s="622"/>
      <c r="P148" s="622"/>
      <c r="Q148" s="622"/>
      <c r="R148" s="622"/>
      <c r="S148" s="622"/>
    </row>
    <row r="149" spans="1:19" s="278" customFormat="1" x14ac:dyDescent="0.15">
      <c r="A149" s="288"/>
      <c r="C149" s="288"/>
      <c r="M149" s="622"/>
      <c r="N149" s="622"/>
      <c r="O149" s="622"/>
      <c r="P149" s="622"/>
      <c r="Q149" s="622"/>
      <c r="R149" s="622"/>
      <c r="S149" s="622"/>
    </row>
    <row r="150" spans="1:19" s="278" customFormat="1" x14ac:dyDescent="0.15">
      <c r="A150" s="288"/>
      <c r="C150" s="288"/>
      <c r="M150" s="622"/>
      <c r="N150" s="622"/>
      <c r="O150" s="622"/>
      <c r="P150" s="622"/>
      <c r="Q150" s="622"/>
      <c r="R150" s="622"/>
      <c r="S150" s="622"/>
    </row>
    <row r="151" spans="1:19" s="278" customFormat="1" x14ac:dyDescent="0.15">
      <c r="A151" s="288"/>
      <c r="C151" s="288"/>
      <c r="M151" s="622"/>
      <c r="N151" s="622"/>
      <c r="O151" s="622"/>
      <c r="P151" s="622"/>
      <c r="Q151" s="622"/>
      <c r="R151" s="622"/>
      <c r="S151" s="622"/>
    </row>
    <row r="152" spans="1:19" s="278" customFormat="1" x14ac:dyDescent="0.15">
      <c r="A152" s="288"/>
      <c r="C152" s="288"/>
      <c r="M152" s="622"/>
      <c r="N152" s="622"/>
      <c r="O152" s="622"/>
      <c r="P152" s="622"/>
      <c r="Q152" s="622"/>
      <c r="R152" s="622"/>
      <c r="S152" s="622"/>
    </row>
    <row r="153" spans="1:19" s="278" customFormat="1" x14ac:dyDescent="0.15">
      <c r="A153" s="288"/>
      <c r="C153" s="288"/>
      <c r="M153" s="622"/>
      <c r="N153" s="622"/>
      <c r="O153" s="622"/>
      <c r="P153" s="622"/>
      <c r="Q153" s="622"/>
      <c r="R153" s="622"/>
      <c r="S153" s="622"/>
    </row>
    <row r="154" spans="1:19" s="278" customFormat="1" x14ac:dyDescent="0.15">
      <c r="A154" s="288"/>
      <c r="C154" s="288"/>
      <c r="M154" s="622"/>
      <c r="N154" s="622"/>
      <c r="O154" s="622"/>
      <c r="P154" s="622"/>
      <c r="Q154" s="622"/>
      <c r="R154" s="622"/>
      <c r="S154" s="622"/>
    </row>
    <row r="155" spans="1:19" s="278" customFormat="1" x14ac:dyDescent="0.15">
      <c r="A155" s="288"/>
      <c r="C155" s="288"/>
      <c r="M155" s="622"/>
      <c r="N155" s="622"/>
      <c r="O155" s="622"/>
      <c r="P155" s="622"/>
      <c r="Q155" s="622"/>
      <c r="R155" s="622"/>
      <c r="S155" s="622"/>
    </row>
    <row r="156" spans="1:19" s="278" customFormat="1" x14ac:dyDescent="0.15">
      <c r="A156" s="288"/>
      <c r="C156" s="288"/>
      <c r="M156" s="622"/>
      <c r="N156" s="622"/>
      <c r="O156" s="622"/>
      <c r="P156" s="622"/>
      <c r="Q156" s="622"/>
      <c r="R156" s="622"/>
      <c r="S156" s="622"/>
    </row>
    <row r="157" spans="1:19" s="278" customFormat="1" x14ac:dyDescent="0.15">
      <c r="A157" s="288"/>
      <c r="C157" s="288"/>
      <c r="M157" s="622"/>
      <c r="N157" s="622"/>
      <c r="O157" s="622"/>
      <c r="P157" s="622"/>
      <c r="Q157" s="622"/>
      <c r="R157" s="622"/>
      <c r="S157" s="622"/>
    </row>
    <row r="158" spans="1:19" s="278" customFormat="1" x14ac:dyDescent="0.15">
      <c r="A158" s="288"/>
      <c r="C158" s="288"/>
      <c r="M158" s="622"/>
      <c r="N158" s="622"/>
      <c r="O158" s="622"/>
      <c r="P158" s="622"/>
      <c r="Q158" s="622"/>
      <c r="R158" s="622"/>
      <c r="S158" s="622"/>
    </row>
    <row r="159" spans="1:19" s="278" customFormat="1" x14ac:dyDescent="0.15">
      <c r="A159" s="288"/>
      <c r="C159" s="288"/>
      <c r="M159" s="622"/>
      <c r="N159" s="622"/>
      <c r="O159" s="622"/>
      <c r="P159" s="622"/>
      <c r="Q159" s="622"/>
      <c r="R159" s="622"/>
      <c r="S159" s="622"/>
    </row>
    <row r="160" spans="1:19" s="278" customFormat="1" x14ac:dyDescent="0.15">
      <c r="A160" s="288"/>
      <c r="C160" s="288"/>
      <c r="M160" s="622"/>
      <c r="N160" s="622"/>
      <c r="O160" s="622"/>
      <c r="P160" s="622"/>
      <c r="Q160" s="622"/>
      <c r="R160" s="622"/>
      <c r="S160" s="622"/>
    </row>
    <row r="161" spans="1:19" s="278" customFormat="1" x14ac:dyDescent="0.15">
      <c r="A161" s="288"/>
      <c r="C161" s="288"/>
      <c r="M161" s="622"/>
      <c r="N161" s="622"/>
      <c r="O161" s="622"/>
      <c r="P161" s="622"/>
      <c r="Q161" s="622"/>
      <c r="R161" s="622"/>
      <c r="S161" s="622"/>
    </row>
    <row r="162" spans="1:19" s="278" customFormat="1" x14ac:dyDescent="0.15">
      <c r="A162" s="288"/>
      <c r="C162" s="288"/>
      <c r="M162" s="622"/>
      <c r="N162" s="622"/>
      <c r="O162" s="622"/>
      <c r="P162" s="622"/>
      <c r="Q162" s="622"/>
      <c r="R162" s="622"/>
      <c r="S162" s="622"/>
    </row>
    <row r="163" spans="1:19" s="278" customFormat="1" x14ac:dyDescent="0.15">
      <c r="A163" s="288"/>
      <c r="C163" s="288"/>
      <c r="M163" s="622"/>
      <c r="N163" s="622"/>
      <c r="O163" s="622"/>
      <c r="P163" s="622"/>
      <c r="Q163" s="622"/>
      <c r="R163" s="622"/>
      <c r="S163" s="622"/>
    </row>
    <row r="164" spans="1:19" s="278" customFormat="1" x14ac:dyDescent="0.15">
      <c r="A164" s="288"/>
      <c r="C164" s="288"/>
      <c r="M164" s="622"/>
      <c r="N164" s="622"/>
      <c r="O164" s="622"/>
      <c r="P164" s="622"/>
      <c r="Q164" s="622"/>
      <c r="R164" s="622"/>
      <c r="S164" s="622"/>
    </row>
    <row r="165" spans="1:19" s="278" customFormat="1" x14ac:dyDescent="0.15">
      <c r="A165" s="288"/>
      <c r="C165" s="288"/>
      <c r="M165" s="622"/>
      <c r="N165" s="622"/>
      <c r="O165" s="622"/>
      <c r="P165" s="622"/>
      <c r="Q165" s="622"/>
      <c r="R165" s="622"/>
      <c r="S165" s="622"/>
    </row>
    <row r="166" spans="1:19" s="278" customFormat="1" x14ac:dyDescent="0.15">
      <c r="A166" s="288"/>
      <c r="C166" s="288"/>
      <c r="M166" s="622"/>
      <c r="N166" s="622"/>
      <c r="O166" s="622"/>
      <c r="P166" s="622"/>
      <c r="Q166" s="622"/>
      <c r="R166" s="622"/>
      <c r="S166" s="622"/>
    </row>
    <row r="167" spans="1:19" s="278" customFormat="1" x14ac:dyDescent="0.15">
      <c r="A167" s="288"/>
      <c r="C167" s="288"/>
      <c r="M167" s="622"/>
      <c r="N167" s="622"/>
      <c r="O167" s="622"/>
      <c r="P167" s="622"/>
      <c r="Q167" s="622"/>
      <c r="R167" s="622"/>
      <c r="S167" s="622"/>
    </row>
    <row r="168" spans="1:19" s="278" customFormat="1" x14ac:dyDescent="0.15">
      <c r="A168" s="288"/>
      <c r="C168" s="288"/>
      <c r="M168" s="622"/>
      <c r="N168" s="622"/>
      <c r="O168" s="622"/>
      <c r="P168" s="622"/>
      <c r="Q168" s="622"/>
      <c r="R168" s="622"/>
      <c r="S168" s="622"/>
    </row>
    <row r="169" spans="1:19" s="278" customFormat="1" x14ac:dyDescent="0.15">
      <c r="A169" s="288"/>
      <c r="C169" s="288"/>
      <c r="M169" s="622"/>
      <c r="N169" s="622"/>
      <c r="O169" s="622"/>
      <c r="P169" s="622"/>
      <c r="Q169" s="622"/>
      <c r="R169" s="622"/>
      <c r="S169" s="622"/>
    </row>
    <row r="170" spans="1:19" s="278" customFormat="1" x14ac:dyDescent="0.15">
      <c r="A170" s="288"/>
      <c r="C170" s="288"/>
      <c r="M170" s="622"/>
      <c r="N170" s="622"/>
      <c r="O170" s="622"/>
      <c r="P170" s="622"/>
      <c r="Q170" s="622"/>
      <c r="R170" s="622"/>
      <c r="S170" s="622"/>
    </row>
    <row r="171" spans="1:19" s="278" customFormat="1" x14ac:dyDescent="0.15">
      <c r="A171" s="288"/>
      <c r="C171" s="288"/>
      <c r="M171" s="622"/>
      <c r="N171" s="622"/>
      <c r="O171" s="622"/>
      <c r="P171" s="622"/>
      <c r="Q171" s="622"/>
      <c r="R171" s="622"/>
      <c r="S171" s="622"/>
    </row>
    <row r="172" spans="1:19" s="278" customFormat="1" x14ac:dyDescent="0.15">
      <c r="A172" s="288"/>
      <c r="C172" s="288"/>
      <c r="M172" s="622"/>
      <c r="N172" s="622"/>
      <c r="O172" s="622"/>
      <c r="P172" s="622"/>
      <c r="Q172" s="622"/>
      <c r="R172" s="622"/>
      <c r="S172" s="622"/>
    </row>
    <row r="173" spans="1:19" s="278" customFormat="1" x14ac:dyDescent="0.15">
      <c r="A173" s="288"/>
      <c r="C173" s="288"/>
      <c r="M173" s="622"/>
      <c r="N173" s="622"/>
      <c r="O173" s="622"/>
      <c r="P173" s="622"/>
      <c r="Q173" s="622"/>
      <c r="R173" s="622"/>
      <c r="S173" s="622"/>
    </row>
    <row r="174" spans="1:19" s="278" customFormat="1" x14ac:dyDescent="0.15">
      <c r="A174" s="288"/>
      <c r="C174" s="288"/>
      <c r="M174" s="622"/>
      <c r="N174" s="622"/>
      <c r="O174" s="622"/>
      <c r="P174" s="622"/>
      <c r="Q174" s="622"/>
      <c r="R174" s="622"/>
      <c r="S174" s="622"/>
    </row>
    <row r="175" spans="1:19" s="278" customFormat="1" x14ac:dyDescent="0.15">
      <c r="A175" s="288"/>
      <c r="C175" s="288"/>
      <c r="M175" s="622"/>
      <c r="N175" s="622"/>
      <c r="O175" s="622"/>
      <c r="P175" s="622"/>
      <c r="Q175" s="622"/>
      <c r="R175" s="622"/>
      <c r="S175" s="622"/>
    </row>
    <row r="176" spans="1:19" s="278" customFormat="1" x14ac:dyDescent="0.15">
      <c r="A176" s="288"/>
      <c r="C176" s="288"/>
      <c r="M176" s="622"/>
      <c r="N176" s="622"/>
      <c r="O176" s="622"/>
      <c r="P176" s="622"/>
      <c r="Q176" s="622"/>
      <c r="R176" s="622"/>
      <c r="S176" s="622"/>
    </row>
    <row r="177" spans="1:19" s="278" customFormat="1" x14ac:dyDescent="0.15">
      <c r="A177" s="288"/>
      <c r="C177" s="288"/>
      <c r="M177" s="622"/>
      <c r="N177" s="622"/>
      <c r="O177" s="622"/>
      <c r="P177" s="622"/>
      <c r="Q177" s="622"/>
      <c r="R177" s="622"/>
      <c r="S177" s="622"/>
    </row>
    <row r="178" spans="1:19" s="278" customFormat="1" x14ac:dyDescent="0.15">
      <c r="A178" s="288"/>
      <c r="C178" s="288"/>
      <c r="M178" s="622"/>
      <c r="N178" s="622"/>
      <c r="O178" s="622"/>
      <c r="P178" s="622"/>
      <c r="Q178" s="622"/>
      <c r="R178" s="622"/>
      <c r="S178" s="622"/>
    </row>
    <row r="179" spans="1:19" s="278" customFormat="1" x14ac:dyDescent="0.15">
      <c r="A179" s="288"/>
      <c r="C179" s="288"/>
      <c r="M179" s="622"/>
      <c r="N179" s="622"/>
      <c r="O179" s="622"/>
      <c r="P179" s="622"/>
      <c r="Q179" s="622"/>
      <c r="R179" s="622"/>
      <c r="S179" s="622"/>
    </row>
    <row r="180" spans="1:19" s="278" customFormat="1" x14ac:dyDescent="0.15">
      <c r="A180" s="288"/>
      <c r="C180" s="288"/>
      <c r="M180" s="622"/>
      <c r="N180" s="622"/>
      <c r="O180" s="622"/>
      <c r="P180" s="622"/>
      <c r="Q180" s="622"/>
      <c r="R180" s="622"/>
      <c r="S180" s="622"/>
    </row>
    <row r="181" spans="1:19" s="278" customFormat="1" x14ac:dyDescent="0.15">
      <c r="A181" s="288"/>
      <c r="C181" s="288"/>
      <c r="M181" s="622"/>
      <c r="N181" s="622"/>
      <c r="O181" s="622"/>
      <c r="P181" s="622"/>
      <c r="Q181" s="622"/>
      <c r="R181" s="622"/>
      <c r="S181" s="622"/>
    </row>
    <row r="182" spans="1:19" s="278" customFormat="1" x14ac:dyDescent="0.15">
      <c r="A182" s="288"/>
      <c r="C182" s="288"/>
      <c r="M182" s="622"/>
      <c r="N182" s="622"/>
      <c r="O182" s="622"/>
      <c r="P182" s="622"/>
      <c r="Q182" s="622"/>
      <c r="R182" s="622"/>
      <c r="S182" s="622"/>
    </row>
    <row r="183" spans="1:19" s="278" customFormat="1" x14ac:dyDescent="0.15">
      <c r="A183" s="288"/>
      <c r="C183" s="288"/>
      <c r="M183" s="622"/>
      <c r="N183" s="622"/>
      <c r="O183" s="622"/>
      <c r="P183" s="622"/>
      <c r="Q183" s="622"/>
      <c r="R183" s="622"/>
      <c r="S183" s="622"/>
    </row>
    <row r="184" spans="1:19" s="278" customFormat="1" x14ac:dyDescent="0.15">
      <c r="A184" s="288"/>
      <c r="C184" s="288"/>
      <c r="M184" s="622"/>
      <c r="N184" s="622"/>
      <c r="O184" s="622"/>
      <c r="P184" s="622"/>
      <c r="Q184" s="622"/>
      <c r="R184" s="622"/>
      <c r="S184" s="622"/>
    </row>
    <row r="185" spans="1:19" s="278" customFormat="1" x14ac:dyDescent="0.15">
      <c r="A185" s="288"/>
      <c r="C185" s="288"/>
      <c r="M185" s="622"/>
      <c r="N185" s="622"/>
      <c r="O185" s="622"/>
      <c r="P185" s="622"/>
      <c r="Q185" s="622"/>
      <c r="R185" s="622"/>
      <c r="S185" s="622"/>
    </row>
    <row r="186" spans="1:19" s="278" customFormat="1" x14ac:dyDescent="0.15">
      <c r="A186" s="288"/>
      <c r="C186" s="288"/>
      <c r="M186" s="622"/>
      <c r="N186" s="622"/>
      <c r="O186" s="622"/>
      <c r="P186" s="622"/>
      <c r="Q186" s="622"/>
      <c r="R186" s="622"/>
      <c r="S186" s="622"/>
    </row>
    <row r="187" spans="1:19" s="278" customFormat="1" x14ac:dyDescent="0.15">
      <c r="A187" s="288"/>
      <c r="C187" s="288"/>
      <c r="M187" s="622"/>
      <c r="N187" s="622"/>
      <c r="O187" s="622"/>
      <c r="P187" s="622"/>
      <c r="Q187" s="622"/>
      <c r="R187" s="622"/>
      <c r="S187" s="622"/>
    </row>
    <row r="188" spans="1:19" s="278" customFormat="1" x14ac:dyDescent="0.15">
      <c r="A188" s="288"/>
      <c r="C188" s="288"/>
      <c r="M188" s="622"/>
      <c r="N188" s="622"/>
      <c r="O188" s="622"/>
      <c r="P188" s="622"/>
      <c r="Q188" s="622"/>
      <c r="R188" s="622"/>
      <c r="S188" s="622"/>
    </row>
    <row r="189" spans="1:19" s="278" customFormat="1" x14ac:dyDescent="0.15">
      <c r="A189" s="288"/>
      <c r="C189" s="288"/>
      <c r="M189" s="622"/>
      <c r="N189" s="622"/>
      <c r="O189" s="622"/>
      <c r="P189" s="622"/>
      <c r="Q189" s="622"/>
      <c r="R189" s="622"/>
      <c r="S189" s="622"/>
    </row>
    <row r="190" spans="1:19" s="278" customFormat="1" x14ac:dyDescent="0.15">
      <c r="A190" s="288"/>
      <c r="C190" s="288"/>
      <c r="M190" s="622"/>
      <c r="N190" s="622"/>
      <c r="O190" s="622"/>
      <c r="P190" s="622"/>
      <c r="Q190" s="622"/>
      <c r="R190" s="622"/>
      <c r="S190" s="622"/>
    </row>
    <row r="191" spans="1:19" s="278" customFormat="1" x14ac:dyDescent="0.15">
      <c r="A191" s="288"/>
      <c r="C191" s="288"/>
      <c r="M191" s="622"/>
      <c r="N191" s="622"/>
      <c r="O191" s="622"/>
      <c r="P191" s="622"/>
      <c r="Q191" s="622"/>
      <c r="R191" s="622"/>
      <c r="S191" s="622"/>
    </row>
    <row r="192" spans="1:19" s="278" customFormat="1" x14ac:dyDescent="0.15">
      <c r="A192" s="288"/>
      <c r="C192" s="288"/>
      <c r="M192" s="622"/>
      <c r="N192" s="622"/>
      <c r="O192" s="622"/>
      <c r="P192" s="622"/>
      <c r="Q192" s="622"/>
      <c r="R192" s="622"/>
      <c r="S192" s="622"/>
    </row>
    <row r="193" spans="1:19" s="278" customFormat="1" x14ac:dyDescent="0.15">
      <c r="A193" s="288"/>
      <c r="C193" s="288"/>
      <c r="M193" s="622"/>
      <c r="N193" s="622"/>
      <c r="O193" s="622"/>
      <c r="P193" s="622"/>
      <c r="Q193" s="622"/>
      <c r="R193" s="622"/>
      <c r="S193" s="622"/>
    </row>
    <row r="194" spans="1:19" s="278" customFormat="1" x14ac:dyDescent="0.15">
      <c r="A194" s="288"/>
      <c r="C194" s="288"/>
      <c r="M194" s="622"/>
      <c r="N194" s="622"/>
      <c r="O194" s="622"/>
      <c r="P194" s="622"/>
      <c r="Q194" s="622"/>
      <c r="R194" s="622"/>
      <c r="S194" s="622"/>
    </row>
    <row r="195" spans="1:19" s="278" customFormat="1" x14ac:dyDescent="0.15">
      <c r="A195" s="288"/>
      <c r="C195" s="288"/>
      <c r="M195" s="622"/>
      <c r="N195" s="622"/>
      <c r="O195" s="622"/>
      <c r="P195" s="622"/>
      <c r="Q195" s="622"/>
      <c r="R195" s="622"/>
      <c r="S195" s="622"/>
    </row>
    <row r="196" spans="1:19" s="278" customFormat="1" x14ac:dyDescent="0.15">
      <c r="A196" s="288"/>
      <c r="C196" s="288"/>
      <c r="M196" s="622"/>
      <c r="N196" s="622"/>
      <c r="O196" s="622"/>
      <c r="P196" s="622"/>
      <c r="Q196" s="622"/>
      <c r="R196" s="622"/>
      <c r="S196" s="622"/>
    </row>
    <row r="197" spans="1:19" s="278" customFormat="1" x14ac:dyDescent="0.15">
      <c r="A197" s="288"/>
      <c r="C197" s="288"/>
      <c r="M197" s="622"/>
      <c r="N197" s="622"/>
      <c r="O197" s="622"/>
      <c r="P197" s="622"/>
      <c r="Q197" s="622"/>
      <c r="R197" s="622"/>
      <c r="S197" s="622"/>
    </row>
    <row r="198" spans="1:19" s="278" customFormat="1" x14ac:dyDescent="0.15">
      <c r="A198" s="288"/>
      <c r="C198" s="288"/>
      <c r="M198" s="622"/>
      <c r="N198" s="622"/>
      <c r="O198" s="622"/>
      <c r="P198" s="622"/>
      <c r="Q198" s="622"/>
      <c r="R198" s="622"/>
      <c r="S198" s="622"/>
    </row>
    <row r="199" spans="1:19" s="278" customFormat="1" x14ac:dyDescent="0.15">
      <c r="A199" s="288"/>
      <c r="C199" s="288"/>
      <c r="M199" s="622"/>
      <c r="N199" s="622"/>
      <c r="O199" s="622"/>
      <c r="P199" s="622"/>
      <c r="Q199" s="622"/>
      <c r="R199" s="622"/>
      <c r="S199" s="622"/>
    </row>
    <row r="200" spans="1:19" s="278" customFormat="1" x14ac:dyDescent="0.15">
      <c r="A200" s="288"/>
      <c r="C200" s="288"/>
      <c r="M200" s="622"/>
      <c r="N200" s="622"/>
      <c r="O200" s="622"/>
      <c r="P200" s="622"/>
      <c r="Q200" s="622"/>
      <c r="R200" s="622"/>
      <c r="S200" s="622"/>
    </row>
    <row r="201" spans="1:19" s="278" customFormat="1" x14ac:dyDescent="0.15">
      <c r="A201" s="288"/>
      <c r="C201" s="288"/>
      <c r="M201" s="622"/>
      <c r="N201" s="622"/>
      <c r="O201" s="622"/>
      <c r="P201" s="622"/>
      <c r="Q201" s="622"/>
      <c r="R201" s="622"/>
      <c r="S201" s="622"/>
    </row>
    <row r="202" spans="1:19" s="278" customFormat="1" x14ac:dyDescent="0.15">
      <c r="A202" s="288"/>
      <c r="C202" s="288"/>
      <c r="M202" s="622"/>
      <c r="N202" s="622"/>
      <c r="O202" s="622"/>
      <c r="P202" s="622"/>
      <c r="Q202" s="622"/>
      <c r="R202" s="622"/>
      <c r="S202" s="622"/>
    </row>
    <row r="203" spans="1:19" s="278" customFormat="1" x14ac:dyDescent="0.15">
      <c r="A203" s="288"/>
      <c r="C203" s="288"/>
      <c r="M203" s="622"/>
      <c r="N203" s="622"/>
      <c r="O203" s="622"/>
      <c r="P203" s="622"/>
      <c r="Q203" s="622"/>
      <c r="R203" s="622"/>
      <c r="S203" s="622"/>
    </row>
    <row r="204" spans="1:19" s="278" customFormat="1" x14ac:dyDescent="0.15">
      <c r="A204" s="288"/>
      <c r="C204" s="288"/>
      <c r="M204" s="622"/>
      <c r="N204" s="622"/>
      <c r="O204" s="622"/>
      <c r="P204" s="622"/>
      <c r="Q204" s="622"/>
      <c r="R204" s="622"/>
      <c r="S204" s="622"/>
    </row>
    <row r="205" spans="1:19" s="278" customFormat="1" x14ac:dyDescent="0.15">
      <c r="A205" s="288"/>
      <c r="C205" s="288"/>
      <c r="M205" s="622"/>
      <c r="N205" s="622"/>
      <c r="O205" s="622"/>
      <c r="P205" s="622"/>
      <c r="Q205" s="622"/>
      <c r="R205" s="622"/>
      <c r="S205" s="622"/>
    </row>
    <row r="206" spans="1:19" s="278" customFormat="1" x14ac:dyDescent="0.15">
      <c r="A206" s="288"/>
      <c r="C206" s="288"/>
      <c r="M206" s="622"/>
      <c r="N206" s="622"/>
      <c r="O206" s="622"/>
      <c r="P206" s="622"/>
      <c r="Q206" s="622"/>
      <c r="R206" s="622"/>
      <c r="S206" s="622"/>
    </row>
    <row r="207" spans="1:19" s="278" customFormat="1" x14ac:dyDescent="0.15">
      <c r="A207" s="288"/>
      <c r="C207" s="288"/>
      <c r="M207" s="622"/>
      <c r="N207" s="622"/>
      <c r="O207" s="622"/>
      <c r="P207" s="622"/>
      <c r="Q207" s="622"/>
      <c r="R207" s="622"/>
      <c r="S207" s="622"/>
    </row>
    <row r="208" spans="1:19" s="278" customFormat="1" x14ac:dyDescent="0.15">
      <c r="A208" s="288"/>
      <c r="C208" s="288"/>
      <c r="M208" s="622"/>
      <c r="N208" s="622"/>
      <c r="O208" s="622"/>
      <c r="P208" s="622"/>
      <c r="Q208" s="622"/>
      <c r="R208" s="622"/>
      <c r="S208" s="622"/>
    </row>
    <row r="209" spans="1:19" s="278" customFormat="1" x14ac:dyDescent="0.15">
      <c r="A209" s="288"/>
      <c r="C209" s="288"/>
      <c r="M209" s="622"/>
      <c r="N209" s="622"/>
      <c r="O209" s="622"/>
      <c r="P209" s="622"/>
      <c r="Q209" s="622"/>
      <c r="R209" s="622"/>
      <c r="S209" s="622"/>
    </row>
    <row r="210" spans="1:19" s="278" customFormat="1" x14ac:dyDescent="0.15">
      <c r="A210" s="288"/>
      <c r="C210" s="288"/>
      <c r="M210" s="622"/>
      <c r="N210" s="622"/>
      <c r="O210" s="622"/>
      <c r="P210" s="622"/>
      <c r="Q210" s="622"/>
      <c r="R210" s="622"/>
      <c r="S210" s="622"/>
    </row>
    <row r="211" spans="1:19" s="278" customFormat="1" x14ac:dyDescent="0.15">
      <c r="A211" s="288"/>
      <c r="C211" s="288"/>
      <c r="M211" s="622"/>
      <c r="N211" s="622"/>
      <c r="O211" s="622"/>
      <c r="P211" s="622"/>
      <c r="Q211" s="622"/>
      <c r="R211" s="622"/>
      <c r="S211" s="622"/>
    </row>
    <row r="212" spans="1:19" s="278" customFormat="1" x14ac:dyDescent="0.15">
      <c r="A212" s="288"/>
      <c r="C212" s="288"/>
      <c r="M212" s="622"/>
      <c r="N212" s="622"/>
      <c r="O212" s="622"/>
      <c r="P212" s="622"/>
      <c r="Q212" s="622"/>
      <c r="R212" s="622"/>
      <c r="S212" s="622"/>
    </row>
    <row r="213" spans="1:19" s="278" customFormat="1" x14ac:dyDescent="0.15">
      <c r="A213" s="288"/>
      <c r="C213" s="288"/>
      <c r="M213" s="622"/>
      <c r="N213" s="622"/>
      <c r="O213" s="622"/>
      <c r="P213" s="622"/>
      <c r="Q213" s="622"/>
      <c r="R213" s="622"/>
      <c r="S213" s="622"/>
    </row>
    <row r="214" spans="1:19" s="278" customFormat="1" x14ac:dyDescent="0.15">
      <c r="A214" s="288"/>
      <c r="C214" s="288"/>
      <c r="M214" s="622"/>
      <c r="N214" s="622"/>
      <c r="O214" s="622"/>
      <c r="P214" s="622"/>
      <c r="Q214" s="622"/>
      <c r="R214" s="622"/>
      <c r="S214" s="622"/>
    </row>
    <row r="215" spans="1:19" s="278" customFormat="1" x14ac:dyDescent="0.15">
      <c r="A215" s="288"/>
      <c r="C215" s="288"/>
      <c r="M215" s="622"/>
      <c r="N215" s="622"/>
      <c r="O215" s="622"/>
      <c r="P215" s="622"/>
      <c r="Q215" s="622"/>
      <c r="R215" s="622"/>
      <c r="S215" s="622"/>
    </row>
    <row r="216" spans="1:19" s="278" customFormat="1" x14ac:dyDescent="0.15">
      <c r="A216" s="288"/>
      <c r="C216" s="288"/>
      <c r="M216" s="622"/>
      <c r="N216" s="622"/>
      <c r="O216" s="622"/>
      <c r="P216" s="622"/>
      <c r="Q216" s="622"/>
      <c r="R216" s="622"/>
      <c r="S216" s="622"/>
    </row>
    <row r="217" spans="1:19" s="278" customFormat="1" x14ac:dyDescent="0.15">
      <c r="A217" s="288"/>
      <c r="C217" s="288"/>
      <c r="M217" s="622"/>
      <c r="N217" s="622"/>
      <c r="O217" s="622"/>
      <c r="P217" s="622"/>
      <c r="Q217" s="622"/>
      <c r="R217" s="622"/>
      <c r="S217" s="622"/>
    </row>
    <row r="218" spans="1:19" s="278" customFormat="1" x14ac:dyDescent="0.15">
      <c r="A218" s="288"/>
      <c r="C218" s="288"/>
      <c r="M218" s="622"/>
      <c r="N218" s="622"/>
      <c r="O218" s="622"/>
      <c r="P218" s="622"/>
      <c r="Q218" s="622"/>
      <c r="R218" s="622"/>
      <c r="S218" s="622"/>
    </row>
    <row r="219" spans="1:19" s="278" customFormat="1" x14ac:dyDescent="0.15">
      <c r="A219" s="288"/>
      <c r="C219" s="288"/>
      <c r="M219" s="622"/>
      <c r="N219" s="622"/>
      <c r="O219" s="622"/>
      <c r="P219" s="622"/>
      <c r="Q219" s="622"/>
      <c r="R219" s="622"/>
      <c r="S219" s="622"/>
    </row>
    <row r="220" spans="1:19" s="278" customFormat="1" x14ac:dyDescent="0.15">
      <c r="A220" s="288"/>
      <c r="C220" s="288"/>
      <c r="M220" s="622"/>
      <c r="N220" s="622"/>
      <c r="O220" s="622"/>
      <c r="P220" s="622"/>
      <c r="Q220" s="622"/>
      <c r="R220" s="622"/>
      <c r="S220" s="622"/>
    </row>
    <row r="221" spans="1:19" s="278" customFormat="1" x14ac:dyDescent="0.15">
      <c r="A221" s="288"/>
      <c r="C221" s="288"/>
      <c r="M221" s="622"/>
      <c r="N221" s="622"/>
      <c r="O221" s="622"/>
      <c r="P221" s="622"/>
      <c r="Q221" s="622"/>
      <c r="R221" s="622"/>
      <c r="S221" s="622"/>
    </row>
    <row r="222" spans="1:19" s="278" customFormat="1" x14ac:dyDescent="0.15">
      <c r="A222" s="288"/>
      <c r="C222" s="288"/>
      <c r="M222" s="622"/>
      <c r="N222" s="622"/>
      <c r="O222" s="622"/>
      <c r="P222" s="622"/>
      <c r="Q222" s="622"/>
      <c r="R222" s="622"/>
      <c r="S222" s="622"/>
    </row>
    <row r="223" spans="1:19" s="278" customFormat="1" x14ac:dyDescent="0.15">
      <c r="A223" s="288"/>
      <c r="C223" s="288"/>
      <c r="M223" s="622"/>
      <c r="N223" s="622"/>
      <c r="O223" s="622"/>
      <c r="P223" s="622"/>
      <c r="Q223" s="622"/>
      <c r="R223" s="622"/>
      <c r="S223" s="622"/>
    </row>
    <row r="224" spans="1:19" s="278" customFormat="1" x14ac:dyDescent="0.15">
      <c r="A224" s="288"/>
      <c r="C224" s="288"/>
      <c r="M224" s="622"/>
      <c r="N224" s="622"/>
      <c r="O224" s="622"/>
      <c r="P224" s="622"/>
      <c r="Q224" s="622"/>
      <c r="R224" s="622"/>
      <c r="S224" s="622"/>
    </row>
    <row r="225" spans="1:19" s="278" customFormat="1" x14ac:dyDescent="0.15">
      <c r="A225" s="288"/>
      <c r="C225" s="288"/>
      <c r="M225" s="622"/>
      <c r="N225" s="622"/>
      <c r="O225" s="622"/>
      <c r="P225" s="622"/>
      <c r="Q225" s="622"/>
      <c r="R225" s="622"/>
      <c r="S225" s="622"/>
    </row>
    <row r="226" spans="1:19" s="278" customFormat="1" x14ac:dyDescent="0.15">
      <c r="A226" s="288"/>
      <c r="C226" s="288"/>
      <c r="M226" s="622"/>
      <c r="N226" s="622"/>
      <c r="O226" s="622"/>
      <c r="P226" s="622"/>
      <c r="Q226" s="622"/>
      <c r="R226" s="622"/>
      <c r="S226" s="622"/>
    </row>
    <row r="227" spans="1:19" s="278" customFormat="1" x14ac:dyDescent="0.15">
      <c r="A227" s="288"/>
      <c r="C227" s="288"/>
      <c r="M227" s="622"/>
      <c r="N227" s="622"/>
      <c r="O227" s="622"/>
      <c r="P227" s="622"/>
      <c r="Q227" s="622"/>
      <c r="R227" s="622"/>
      <c r="S227" s="622"/>
    </row>
    <row r="228" spans="1:19" s="278" customFormat="1" x14ac:dyDescent="0.15">
      <c r="A228" s="288"/>
      <c r="C228" s="288"/>
      <c r="M228" s="622"/>
      <c r="N228" s="622"/>
      <c r="O228" s="622"/>
      <c r="P228" s="622"/>
      <c r="Q228" s="622"/>
      <c r="R228" s="622"/>
      <c r="S228" s="622"/>
    </row>
    <row r="229" spans="1:19" s="278" customFormat="1" x14ac:dyDescent="0.15">
      <c r="A229" s="288"/>
      <c r="C229" s="288"/>
      <c r="M229" s="622"/>
      <c r="N229" s="622"/>
      <c r="O229" s="622"/>
      <c r="P229" s="622"/>
      <c r="Q229" s="622"/>
      <c r="R229" s="622"/>
      <c r="S229" s="622"/>
    </row>
    <row r="230" spans="1:19" s="278" customFormat="1" x14ac:dyDescent="0.15">
      <c r="A230" s="288"/>
      <c r="C230" s="288"/>
      <c r="M230" s="622"/>
      <c r="N230" s="622"/>
      <c r="O230" s="622"/>
      <c r="P230" s="622"/>
      <c r="Q230" s="622"/>
      <c r="R230" s="622"/>
      <c r="S230" s="622"/>
    </row>
    <row r="231" spans="1:19" s="278" customFormat="1" x14ac:dyDescent="0.15">
      <c r="A231" s="288"/>
      <c r="C231" s="288"/>
      <c r="M231" s="622"/>
      <c r="N231" s="622"/>
      <c r="O231" s="622"/>
      <c r="P231" s="622"/>
      <c r="Q231" s="622"/>
      <c r="R231" s="622"/>
      <c r="S231" s="622"/>
    </row>
    <row r="232" spans="1:19" s="278" customFormat="1" x14ac:dyDescent="0.15">
      <c r="A232" s="288"/>
      <c r="C232" s="288"/>
      <c r="M232" s="622"/>
      <c r="N232" s="622"/>
      <c r="O232" s="622"/>
      <c r="P232" s="622"/>
      <c r="Q232" s="622"/>
      <c r="R232" s="622"/>
      <c r="S232" s="622"/>
    </row>
    <row r="233" spans="1:19" s="278" customFormat="1" x14ac:dyDescent="0.15">
      <c r="A233" s="288"/>
      <c r="C233" s="288"/>
      <c r="M233" s="622"/>
      <c r="N233" s="622"/>
      <c r="O233" s="622"/>
      <c r="P233" s="622"/>
      <c r="Q233" s="622"/>
      <c r="R233" s="622"/>
      <c r="S233" s="622"/>
    </row>
    <row r="234" spans="1:19" s="278" customFormat="1" x14ac:dyDescent="0.15">
      <c r="A234" s="288"/>
      <c r="C234" s="288"/>
      <c r="M234" s="622"/>
      <c r="N234" s="622"/>
      <c r="O234" s="622"/>
      <c r="P234" s="622"/>
      <c r="Q234" s="622"/>
      <c r="R234" s="622"/>
      <c r="S234" s="622"/>
    </row>
    <row r="235" spans="1:19" s="278" customFormat="1" x14ac:dyDescent="0.15">
      <c r="A235" s="288"/>
      <c r="C235" s="288"/>
      <c r="M235" s="622"/>
      <c r="N235" s="622"/>
      <c r="O235" s="622"/>
      <c r="P235" s="622"/>
      <c r="Q235" s="622"/>
      <c r="R235" s="622"/>
      <c r="S235" s="622"/>
    </row>
    <row r="236" spans="1:19" s="278" customFormat="1" x14ac:dyDescent="0.15">
      <c r="A236" s="288"/>
      <c r="C236" s="288"/>
      <c r="M236" s="622"/>
      <c r="N236" s="622"/>
      <c r="O236" s="622"/>
      <c r="P236" s="622"/>
      <c r="Q236" s="622"/>
      <c r="R236" s="622"/>
      <c r="S236" s="622"/>
    </row>
    <row r="237" spans="1:19" s="278" customFormat="1" x14ac:dyDescent="0.15">
      <c r="A237" s="288"/>
      <c r="C237" s="288"/>
      <c r="M237" s="622"/>
      <c r="N237" s="622"/>
      <c r="O237" s="622"/>
      <c r="P237" s="622"/>
      <c r="Q237" s="622"/>
      <c r="R237" s="622"/>
      <c r="S237" s="622"/>
    </row>
    <row r="238" spans="1:19" s="278" customFormat="1" x14ac:dyDescent="0.15">
      <c r="A238" s="288"/>
      <c r="C238" s="288"/>
      <c r="M238" s="622"/>
      <c r="N238" s="622"/>
      <c r="O238" s="622"/>
      <c r="P238" s="622"/>
      <c r="Q238" s="622"/>
      <c r="R238" s="622"/>
      <c r="S238" s="622"/>
    </row>
    <row r="239" spans="1:19" s="278" customFormat="1" x14ac:dyDescent="0.15">
      <c r="A239" s="288"/>
      <c r="C239" s="288"/>
      <c r="M239" s="622"/>
      <c r="N239" s="622"/>
      <c r="O239" s="622"/>
      <c r="P239" s="622"/>
      <c r="Q239" s="622"/>
      <c r="R239" s="622"/>
      <c r="S239" s="622"/>
    </row>
    <row r="240" spans="1:19" s="278" customFormat="1" x14ac:dyDescent="0.15">
      <c r="A240" s="288"/>
      <c r="C240" s="288"/>
      <c r="M240" s="622"/>
      <c r="N240" s="622"/>
      <c r="O240" s="622"/>
      <c r="P240" s="622"/>
      <c r="Q240" s="622"/>
      <c r="R240" s="622"/>
      <c r="S240" s="622"/>
    </row>
    <row r="241" spans="1:19" s="278" customFormat="1" x14ac:dyDescent="0.15">
      <c r="A241" s="288"/>
      <c r="C241" s="288"/>
      <c r="M241" s="622"/>
      <c r="N241" s="622"/>
      <c r="O241" s="622"/>
      <c r="P241" s="622"/>
      <c r="Q241" s="622"/>
      <c r="R241" s="622"/>
      <c r="S241" s="622"/>
    </row>
    <row r="242" spans="1:19" s="278" customFormat="1" x14ac:dyDescent="0.15">
      <c r="A242" s="288"/>
      <c r="C242" s="288"/>
      <c r="M242" s="622"/>
      <c r="N242" s="622"/>
      <c r="O242" s="622"/>
      <c r="P242" s="622"/>
      <c r="Q242" s="622"/>
      <c r="R242" s="622"/>
      <c r="S242" s="622"/>
    </row>
    <row r="243" spans="1:19" s="278" customFormat="1" x14ac:dyDescent="0.15">
      <c r="A243" s="288"/>
      <c r="C243" s="288"/>
      <c r="M243" s="622"/>
      <c r="N243" s="622"/>
      <c r="O243" s="622"/>
      <c r="P243" s="622"/>
      <c r="Q243" s="622"/>
      <c r="R243" s="622"/>
      <c r="S243" s="622"/>
    </row>
    <row r="244" spans="1:19" s="278" customFormat="1" x14ac:dyDescent="0.15">
      <c r="A244" s="288"/>
      <c r="C244" s="288"/>
      <c r="M244" s="622"/>
      <c r="N244" s="622"/>
      <c r="O244" s="622"/>
      <c r="P244" s="622"/>
      <c r="Q244" s="622"/>
      <c r="R244" s="622"/>
      <c r="S244" s="622"/>
    </row>
    <row r="245" spans="1:19" s="278" customFormat="1" x14ac:dyDescent="0.15">
      <c r="A245" s="288"/>
      <c r="C245" s="288"/>
      <c r="M245" s="622"/>
      <c r="N245" s="622"/>
      <c r="O245" s="622"/>
      <c r="P245" s="622"/>
      <c r="Q245" s="622"/>
      <c r="R245" s="622"/>
      <c r="S245" s="622"/>
    </row>
    <row r="246" spans="1:19" s="278" customFormat="1" x14ac:dyDescent="0.15">
      <c r="A246" s="288"/>
      <c r="C246" s="288"/>
      <c r="M246" s="622"/>
      <c r="N246" s="622"/>
      <c r="O246" s="622"/>
      <c r="P246" s="622"/>
      <c r="Q246" s="622"/>
      <c r="R246" s="622"/>
      <c r="S246" s="622"/>
    </row>
    <row r="247" spans="1:19" s="278" customFormat="1" x14ac:dyDescent="0.15">
      <c r="A247" s="288"/>
      <c r="C247" s="288"/>
      <c r="M247" s="622"/>
      <c r="N247" s="622"/>
      <c r="O247" s="622"/>
      <c r="P247" s="622"/>
      <c r="Q247" s="622"/>
      <c r="R247" s="622"/>
      <c r="S247" s="622"/>
    </row>
    <row r="248" spans="1:19" s="278" customFormat="1" x14ac:dyDescent="0.15">
      <c r="A248" s="288"/>
      <c r="C248" s="288"/>
      <c r="M248" s="622"/>
      <c r="N248" s="622"/>
      <c r="O248" s="622"/>
      <c r="P248" s="622"/>
      <c r="Q248" s="622"/>
      <c r="R248" s="622"/>
      <c r="S248" s="622"/>
    </row>
    <row r="249" spans="1:19" s="278" customFormat="1" x14ac:dyDescent="0.15">
      <c r="A249" s="288"/>
      <c r="C249" s="288"/>
      <c r="M249" s="622"/>
      <c r="N249" s="622"/>
      <c r="O249" s="622"/>
      <c r="P249" s="622"/>
      <c r="Q249" s="622"/>
      <c r="R249" s="622"/>
      <c r="S249" s="622"/>
    </row>
    <row r="250" spans="1:19" s="278" customFormat="1" x14ac:dyDescent="0.15">
      <c r="A250" s="288"/>
      <c r="C250" s="288"/>
      <c r="M250" s="622"/>
      <c r="N250" s="622"/>
      <c r="O250" s="622"/>
      <c r="P250" s="622"/>
      <c r="Q250" s="622"/>
      <c r="R250" s="622"/>
      <c r="S250" s="622"/>
    </row>
    <row r="251" spans="1:19" s="278" customFormat="1" x14ac:dyDescent="0.15">
      <c r="A251" s="288"/>
      <c r="C251" s="288"/>
      <c r="M251" s="622"/>
      <c r="N251" s="622"/>
      <c r="O251" s="622"/>
      <c r="P251" s="622"/>
      <c r="Q251" s="622"/>
      <c r="R251" s="622"/>
      <c r="S251" s="622"/>
    </row>
    <row r="252" spans="1:19" s="278" customFormat="1" x14ac:dyDescent="0.15">
      <c r="A252" s="288"/>
      <c r="C252" s="288"/>
      <c r="M252" s="622"/>
      <c r="N252" s="622"/>
      <c r="O252" s="622"/>
      <c r="P252" s="622"/>
      <c r="Q252" s="622"/>
      <c r="R252" s="622"/>
      <c r="S252" s="622"/>
    </row>
    <row r="253" spans="1:19" s="278" customFormat="1" x14ac:dyDescent="0.15">
      <c r="A253" s="288"/>
      <c r="C253" s="288"/>
      <c r="M253" s="622"/>
      <c r="N253" s="622"/>
      <c r="O253" s="622"/>
      <c r="P253" s="622"/>
      <c r="Q253" s="622"/>
      <c r="R253" s="622"/>
      <c r="S253" s="622"/>
    </row>
    <row r="254" spans="1:19" s="278" customFormat="1" x14ac:dyDescent="0.15">
      <c r="A254" s="288"/>
      <c r="C254" s="288"/>
      <c r="M254" s="622"/>
      <c r="N254" s="622"/>
      <c r="O254" s="622"/>
      <c r="P254" s="622"/>
      <c r="Q254" s="622"/>
      <c r="R254" s="622"/>
      <c r="S254" s="622"/>
    </row>
    <row r="255" spans="1:19" s="278" customFormat="1" x14ac:dyDescent="0.15">
      <c r="A255" s="288"/>
      <c r="C255" s="288"/>
      <c r="M255" s="622"/>
      <c r="N255" s="622"/>
      <c r="O255" s="622"/>
      <c r="P255" s="622"/>
      <c r="Q255" s="622"/>
      <c r="R255" s="622"/>
      <c r="S255" s="622"/>
    </row>
    <row r="256" spans="1:19" s="278" customFormat="1" x14ac:dyDescent="0.15">
      <c r="A256" s="288"/>
      <c r="C256" s="288"/>
      <c r="M256" s="622"/>
      <c r="N256" s="622"/>
      <c r="O256" s="622"/>
      <c r="P256" s="622"/>
      <c r="Q256" s="622"/>
      <c r="R256" s="622"/>
      <c r="S256" s="622"/>
    </row>
  </sheetData>
  <mergeCells count="35">
    <mergeCell ref="B105:H105"/>
    <mergeCell ref="L3:L4"/>
    <mergeCell ref="B2:B4"/>
    <mergeCell ref="J3:K3"/>
    <mergeCell ref="I2:K2"/>
    <mergeCell ref="I41:K41"/>
    <mergeCell ref="J42:K42"/>
    <mergeCell ref="G41:G44"/>
    <mergeCell ref="C2:C4"/>
    <mergeCell ref="L42:L43"/>
    <mergeCell ref="B1:K1"/>
    <mergeCell ref="D2:F2"/>
    <mergeCell ref="E3:F3"/>
    <mergeCell ref="I3:I4"/>
    <mergeCell ref="B60:H60"/>
    <mergeCell ref="B38:H38"/>
    <mergeCell ref="B40:K40"/>
    <mergeCell ref="G2:G4"/>
    <mergeCell ref="D42:D43"/>
    <mergeCell ref="E42:F42"/>
    <mergeCell ref="I42:I43"/>
    <mergeCell ref="D3:D4"/>
    <mergeCell ref="B34:H34"/>
    <mergeCell ref="B41:B43"/>
    <mergeCell ref="C41:C43"/>
    <mergeCell ref="D41:F41"/>
    <mergeCell ref="B94:H94"/>
    <mergeCell ref="B69:H69"/>
    <mergeCell ref="B82:H82"/>
    <mergeCell ref="A2:A4"/>
    <mergeCell ref="H2:H4"/>
    <mergeCell ref="B14:H14"/>
    <mergeCell ref="B65:H65"/>
    <mergeCell ref="A41:A43"/>
    <mergeCell ref="H41:H43"/>
  </mergeCells>
  <pageMargins left="0.21" right="0.34" top="0.85" bottom="0.56999999999999995" header="0.3" footer="0.3"/>
  <pageSetup scale="61" orientation="landscape" horizontalDpi="300" verticalDpi="300" r:id="rId1"/>
  <headerFooter>
    <oddHeader>&amp;C&amp;22BRIGHT CONSTRUCTION plc</oddHeader>
    <oddFooter>&amp;LCONTRACTOR:-_________________&amp;RSUPERVISER:-___________________</oddFooter>
  </headerFooter>
  <rowBreaks count="2" manualBreakCount="2">
    <brk id="38" max="16383" man="1"/>
    <brk id="82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93"/>
  <sheetViews>
    <sheetView topLeftCell="A67" zoomScale="70" zoomScaleNormal="70" zoomScaleSheetLayoutView="70" workbookViewId="0">
      <selection activeCell="K98" sqref="K98"/>
    </sheetView>
  </sheetViews>
  <sheetFormatPr defaultColWidth="9.14453125" defaultRowHeight="14.25" x14ac:dyDescent="0.15"/>
  <cols>
    <col min="1" max="1" width="7.6640625" style="265" customWidth="1"/>
    <col min="2" max="2" width="42.375" style="265" customWidth="1"/>
    <col min="3" max="3" width="10.22265625" style="265" customWidth="1"/>
    <col min="4" max="4" width="16.140625" style="265" customWidth="1"/>
    <col min="5" max="5" width="13.44921875" style="265" bestFit="1" customWidth="1"/>
    <col min="6" max="6" width="13.5859375" style="265" bestFit="1" customWidth="1"/>
    <col min="7" max="7" width="13.5859375" style="265" customWidth="1"/>
    <col min="8" max="8" width="15.46875" style="265" bestFit="1" customWidth="1"/>
    <col min="9" max="9" width="17.08203125" style="265" bestFit="1" customWidth="1"/>
    <col min="10" max="10" width="17.08203125" style="265" customWidth="1"/>
    <col min="11" max="11" width="17.08203125" style="265" bestFit="1" customWidth="1"/>
    <col min="12" max="12" width="18.83203125" style="265" customWidth="1"/>
    <col min="13" max="13" width="18.16015625" style="617" customWidth="1"/>
    <col min="14" max="14" width="9.14453125" style="617"/>
    <col min="15" max="16" width="12.375" style="617" bestFit="1" customWidth="1"/>
    <col min="17" max="23" width="9.14453125" style="617"/>
    <col min="24" max="16384" width="9.14453125" style="265"/>
  </cols>
  <sheetData>
    <row r="1" spans="1:23" s="414" customFormat="1" ht="21.75" customHeight="1" thickBot="1" x14ac:dyDescent="0.2">
      <c r="A1" s="507"/>
      <c r="B1" s="1139" t="s">
        <v>177</v>
      </c>
      <c r="C1" s="1139"/>
      <c r="D1" s="1139"/>
      <c r="E1" s="1139"/>
      <c r="F1" s="1139"/>
      <c r="G1" s="1139"/>
      <c r="H1" s="1139"/>
      <c r="I1" s="1139"/>
      <c r="J1" s="1139"/>
      <c r="K1" s="1139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</row>
    <row r="2" spans="1:23" s="254" customFormat="1" ht="21.75" customHeight="1" x14ac:dyDescent="0.15">
      <c r="A2" s="1107" t="s">
        <v>61</v>
      </c>
      <c r="B2" s="1128" t="s">
        <v>54</v>
      </c>
      <c r="C2" s="1128" t="s">
        <v>5</v>
      </c>
      <c r="D2" s="1117" t="s">
        <v>4</v>
      </c>
      <c r="E2" s="1118"/>
      <c r="F2" s="1119"/>
      <c r="G2" s="1128" t="s">
        <v>334</v>
      </c>
      <c r="H2" s="1110" t="s">
        <v>8</v>
      </c>
      <c r="I2" s="1136" t="s">
        <v>50</v>
      </c>
      <c r="J2" s="1118"/>
      <c r="K2" s="1119"/>
      <c r="L2" s="503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</row>
    <row r="3" spans="1:23" s="254" customFormat="1" ht="19.5" customHeight="1" x14ac:dyDescent="0.15">
      <c r="A3" s="1108"/>
      <c r="B3" s="1129"/>
      <c r="C3" s="1129"/>
      <c r="D3" s="1130" t="s">
        <v>62</v>
      </c>
      <c r="E3" s="1120" t="s">
        <v>63</v>
      </c>
      <c r="F3" s="1121"/>
      <c r="G3" s="1129"/>
      <c r="H3" s="1111"/>
      <c r="I3" s="1122" t="s">
        <v>6</v>
      </c>
      <c r="J3" s="1134" t="s">
        <v>7</v>
      </c>
      <c r="K3" s="1135"/>
      <c r="L3" s="1132" t="s">
        <v>336</v>
      </c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</row>
    <row r="4" spans="1:23" s="254" customFormat="1" ht="21" customHeight="1" thickBot="1" x14ac:dyDescent="0.2">
      <c r="A4" s="1109"/>
      <c r="B4" s="1123"/>
      <c r="C4" s="1123"/>
      <c r="D4" s="1131"/>
      <c r="E4" s="255" t="s">
        <v>98</v>
      </c>
      <c r="F4" s="255" t="s">
        <v>99</v>
      </c>
      <c r="G4" s="1123"/>
      <c r="H4" s="1112"/>
      <c r="I4" s="1123"/>
      <c r="J4" s="255" t="s">
        <v>98</v>
      </c>
      <c r="K4" s="255" t="s">
        <v>99</v>
      </c>
      <c r="L4" s="1133"/>
      <c r="M4" s="616"/>
      <c r="N4" s="616"/>
      <c r="O4" s="616"/>
      <c r="P4" s="616"/>
      <c r="Q4" s="616"/>
      <c r="R4" s="616"/>
      <c r="S4" s="616"/>
      <c r="T4" s="616"/>
      <c r="U4" s="616"/>
      <c r="V4" s="616"/>
      <c r="W4" s="616"/>
    </row>
    <row r="5" spans="1:23" s="254" customFormat="1" ht="21" customHeight="1" thickBot="1" x14ac:dyDescent="0.2">
      <c r="A5" s="280" t="s">
        <v>102</v>
      </c>
      <c r="B5" s="257" t="s">
        <v>103</v>
      </c>
      <c r="C5" s="257" t="s">
        <v>104</v>
      </c>
      <c r="D5" s="258" t="s">
        <v>105</v>
      </c>
      <c r="E5" s="258" t="s">
        <v>106</v>
      </c>
      <c r="F5" s="258" t="s">
        <v>107</v>
      </c>
      <c r="G5" s="258"/>
      <c r="H5" s="259" t="s">
        <v>108</v>
      </c>
      <c r="I5" s="257" t="s">
        <v>116</v>
      </c>
      <c r="J5" s="258" t="s">
        <v>115</v>
      </c>
      <c r="K5" s="258" t="s">
        <v>114</v>
      </c>
      <c r="L5" s="260" t="s">
        <v>113</v>
      </c>
      <c r="M5" s="616"/>
      <c r="N5" s="616"/>
      <c r="O5" s="616"/>
      <c r="P5" s="616"/>
      <c r="Q5" s="616"/>
      <c r="R5" s="616"/>
      <c r="S5" s="616"/>
      <c r="T5" s="616"/>
      <c r="U5" s="616"/>
      <c r="V5" s="616"/>
      <c r="W5" s="616"/>
    </row>
    <row r="6" spans="1:23" x14ac:dyDescent="0.15">
      <c r="A6" s="508"/>
      <c r="B6" s="509" t="s">
        <v>9</v>
      </c>
      <c r="C6" s="510"/>
      <c r="D6" s="511"/>
      <c r="E6" s="512"/>
      <c r="F6" s="512"/>
      <c r="G6" s="512"/>
      <c r="H6" s="511"/>
      <c r="I6" s="511"/>
      <c r="J6" s="513"/>
      <c r="K6" s="513"/>
      <c r="L6" s="514"/>
    </row>
    <row r="7" spans="1:23" x14ac:dyDescent="0.15">
      <c r="A7" s="515"/>
      <c r="B7" s="516" t="s">
        <v>65</v>
      </c>
      <c r="C7" s="517"/>
      <c r="D7" s="98"/>
      <c r="E7" s="12"/>
      <c r="F7" s="12"/>
      <c r="G7" s="12"/>
      <c r="H7" s="98"/>
      <c r="I7" s="98"/>
      <c r="J7" s="230"/>
      <c r="K7" s="230"/>
      <c r="L7" s="268"/>
    </row>
    <row r="8" spans="1:23" x14ac:dyDescent="0.15">
      <c r="A8" s="281">
        <v>1.1000000000000001</v>
      </c>
      <c r="B8" s="270" t="s">
        <v>18</v>
      </c>
      <c r="C8" s="517" t="s">
        <v>11</v>
      </c>
      <c r="D8" s="98">
        <v>245.7</v>
      </c>
      <c r="E8" s="150">
        <v>214.6</v>
      </c>
      <c r="F8" s="12"/>
      <c r="G8" s="12">
        <f t="shared" ref="G8:G13" si="0">F8+E8</f>
        <v>214.6</v>
      </c>
      <c r="H8" s="98">
        <f>'WORK MESUREMENT OPD'!H8</f>
        <v>6</v>
      </c>
      <c r="I8" s="98">
        <f t="shared" ref="I8:I13" si="1">D8*H8</f>
        <v>1474.1999999999998</v>
      </c>
      <c r="J8" s="98">
        <f t="shared" ref="J8:J13" si="2">H8*E8</f>
        <v>1287.5999999999999</v>
      </c>
      <c r="K8" s="230">
        <f t="shared" ref="K8:K13" si="3">H8*F8</f>
        <v>0</v>
      </c>
      <c r="L8" s="268">
        <f t="shared" ref="L8:L13" si="4">K8+J8</f>
        <v>1287.5999999999999</v>
      </c>
      <c r="M8" s="700"/>
      <c r="N8" s="622"/>
    </row>
    <row r="9" spans="1:23" x14ac:dyDescent="0.15">
      <c r="A9" s="281">
        <v>1.2</v>
      </c>
      <c r="B9" s="270" t="s">
        <v>117</v>
      </c>
      <c r="C9" s="517" t="s">
        <v>12</v>
      </c>
      <c r="D9" s="98">
        <v>237.6</v>
      </c>
      <c r="E9" s="150">
        <v>130.37</v>
      </c>
      <c r="F9" s="12"/>
      <c r="G9" s="12">
        <f t="shared" si="0"/>
        <v>130.37</v>
      </c>
      <c r="H9" s="98">
        <f>'WORK MESUREMENT OPD'!H9</f>
        <v>25</v>
      </c>
      <c r="I9" s="98">
        <f t="shared" si="1"/>
        <v>5940</v>
      </c>
      <c r="J9" s="98">
        <f t="shared" si="2"/>
        <v>3259.25</v>
      </c>
      <c r="K9" s="230">
        <f t="shared" si="3"/>
        <v>0</v>
      </c>
      <c r="L9" s="268">
        <f t="shared" si="4"/>
        <v>3259.25</v>
      </c>
      <c r="M9" s="700"/>
      <c r="N9" s="622"/>
    </row>
    <row r="10" spans="1:23" x14ac:dyDescent="0.15">
      <c r="A10" s="281">
        <v>1.4</v>
      </c>
      <c r="B10" s="270" t="s">
        <v>13</v>
      </c>
      <c r="C10" s="517" t="s">
        <v>12</v>
      </c>
      <c r="D10" s="98">
        <v>79.2</v>
      </c>
      <c r="E10" s="150">
        <v>0</v>
      </c>
      <c r="F10" s="12"/>
      <c r="G10" s="12">
        <f t="shared" si="0"/>
        <v>0</v>
      </c>
      <c r="H10" s="98">
        <f>'WORK MESUREMENT OPD'!H10</f>
        <v>45</v>
      </c>
      <c r="I10" s="98">
        <f t="shared" si="1"/>
        <v>3564</v>
      </c>
      <c r="J10" s="98">
        <f t="shared" si="2"/>
        <v>0</v>
      </c>
      <c r="K10" s="230">
        <f t="shared" si="3"/>
        <v>0</v>
      </c>
      <c r="L10" s="268">
        <f t="shared" si="4"/>
        <v>0</v>
      </c>
      <c r="M10" s="700"/>
      <c r="N10" s="622"/>
    </row>
    <row r="11" spans="1:23" x14ac:dyDescent="0.15">
      <c r="A11" s="281">
        <v>1.5</v>
      </c>
      <c r="B11" s="270" t="s">
        <v>101</v>
      </c>
      <c r="C11" s="517" t="s">
        <v>12</v>
      </c>
      <c r="D11" s="98">
        <v>443.52</v>
      </c>
      <c r="E11" s="150">
        <v>150.21</v>
      </c>
      <c r="F11" s="12"/>
      <c r="G11" s="12">
        <f t="shared" si="0"/>
        <v>150.21</v>
      </c>
      <c r="H11" s="98">
        <f>'WORK MESUREMENT OPD'!H11</f>
        <v>40</v>
      </c>
      <c r="I11" s="98">
        <f t="shared" si="1"/>
        <v>17740.8</v>
      </c>
      <c r="J11" s="98">
        <f t="shared" si="2"/>
        <v>6008.4000000000005</v>
      </c>
      <c r="K11" s="230">
        <f t="shared" si="3"/>
        <v>0</v>
      </c>
      <c r="L11" s="268">
        <f t="shared" si="4"/>
        <v>6008.4000000000005</v>
      </c>
      <c r="M11" s="700"/>
      <c r="N11" s="622"/>
    </row>
    <row r="12" spans="1:23" x14ac:dyDescent="0.15">
      <c r="A12" s="281">
        <v>1.6</v>
      </c>
      <c r="B12" s="518" t="s">
        <v>87</v>
      </c>
      <c r="C12" s="519" t="s">
        <v>12</v>
      </c>
      <c r="D12" s="98">
        <v>390.51</v>
      </c>
      <c r="E12" s="150">
        <v>194.75</v>
      </c>
      <c r="F12" s="12"/>
      <c r="G12" s="12">
        <f t="shared" si="0"/>
        <v>194.75</v>
      </c>
      <c r="H12" s="98">
        <f>'WORK MESUREMENT OPD'!H12</f>
        <v>25</v>
      </c>
      <c r="I12" s="98">
        <f t="shared" si="1"/>
        <v>9762.75</v>
      </c>
      <c r="J12" s="98">
        <f t="shared" si="2"/>
        <v>4868.75</v>
      </c>
      <c r="K12" s="230">
        <f t="shared" si="3"/>
        <v>0</v>
      </c>
      <c r="L12" s="268">
        <f t="shared" si="4"/>
        <v>4868.75</v>
      </c>
      <c r="M12" s="700"/>
      <c r="N12" s="622"/>
    </row>
    <row r="13" spans="1:23" x14ac:dyDescent="0.15">
      <c r="A13" s="269">
        <v>1.7</v>
      </c>
      <c r="B13" s="520" t="s">
        <v>94</v>
      </c>
      <c r="C13" s="521" t="s">
        <v>12</v>
      </c>
      <c r="D13" s="151">
        <v>135</v>
      </c>
      <c r="E13" s="152">
        <v>133.21</v>
      </c>
      <c r="F13" s="12"/>
      <c r="G13" s="12">
        <f t="shared" si="0"/>
        <v>133.21</v>
      </c>
      <c r="H13" s="98">
        <f>'WORK MESUREMENT OPD'!H13</f>
        <v>105</v>
      </c>
      <c r="I13" s="98">
        <f t="shared" si="1"/>
        <v>14175</v>
      </c>
      <c r="J13" s="98">
        <f t="shared" si="2"/>
        <v>13987.050000000001</v>
      </c>
      <c r="K13" s="230">
        <f t="shared" si="3"/>
        <v>0</v>
      </c>
      <c r="L13" s="268">
        <f t="shared" si="4"/>
        <v>13987.050000000001</v>
      </c>
      <c r="M13" s="700"/>
      <c r="N13" s="622"/>
    </row>
    <row r="14" spans="1:23" s="569" customFormat="1" ht="24.95" customHeight="1" thickBot="1" x14ac:dyDescent="0.2">
      <c r="A14" s="576"/>
      <c r="B14" s="1101" t="s">
        <v>64</v>
      </c>
      <c r="C14" s="1102"/>
      <c r="D14" s="1102"/>
      <c r="E14" s="1102"/>
      <c r="F14" s="1102"/>
      <c r="G14" s="1102"/>
      <c r="H14" s="1103"/>
      <c r="I14" s="568">
        <f>SUM(I8:I13)</f>
        <v>52656.75</v>
      </c>
      <c r="J14" s="568">
        <f>SUM(J8:J13)</f>
        <v>29411.050000000003</v>
      </c>
      <c r="K14" s="568">
        <f>SUM(K8:K13)</f>
        <v>0</v>
      </c>
      <c r="L14" s="568">
        <f>SUM(L8:L13)</f>
        <v>29411.050000000003</v>
      </c>
      <c r="M14" s="624"/>
      <c r="N14" s="616"/>
      <c r="O14" s="616">
        <f>2100-300</f>
        <v>1800</v>
      </c>
      <c r="P14" s="616"/>
      <c r="Q14" s="616"/>
      <c r="R14" s="616"/>
      <c r="S14" s="616"/>
      <c r="T14" s="616"/>
      <c r="U14" s="616"/>
      <c r="V14" s="616"/>
      <c r="W14" s="616"/>
    </row>
    <row r="15" spans="1:23" x14ac:dyDescent="0.15">
      <c r="A15" s="515"/>
      <c r="B15" s="522" t="s">
        <v>19</v>
      </c>
      <c r="C15" s="523"/>
      <c r="D15" s="154"/>
      <c r="E15" s="155"/>
      <c r="F15" s="155"/>
      <c r="G15" s="155"/>
      <c r="H15" s="154"/>
      <c r="I15" s="154"/>
      <c r="J15" s="154"/>
      <c r="K15" s="154"/>
      <c r="L15" s="264"/>
    </row>
    <row r="16" spans="1:23" x14ac:dyDescent="0.15">
      <c r="A16" s="515">
        <v>2.1</v>
      </c>
      <c r="B16" s="516" t="s">
        <v>20</v>
      </c>
      <c r="C16" s="517"/>
      <c r="D16" s="98"/>
      <c r="E16" s="12"/>
      <c r="F16" s="12"/>
      <c r="G16" s="12"/>
      <c r="H16" s="98"/>
      <c r="I16" s="98"/>
      <c r="J16" s="98"/>
      <c r="K16" s="98"/>
      <c r="L16" s="268">
        <f>K16+J16</f>
        <v>0</v>
      </c>
    </row>
    <row r="17" spans="1:23" x14ac:dyDescent="0.15">
      <c r="A17" s="524"/>
      <c r="B17" s="516" t="s">
        <v>21</v>
      </c>
      <c r="C17" s="517" t="s">
        <v>11</v>
      </c>
      <c r="D17" s="98">
        <v>49.2</v>
      </c>
      <c r="E17" s="150">
        <v>48.18</v>
      </c>
      <c r="F17" s="12"/>
      <c r="G17" s="12">
        <f>F17+E17</f>
        <v>48.18</v>
      </c>
      <c r="H17" s="98">
        <v>65</v>
      </c>
      <c r="I17" s="98">
        <f>D17*H17</f>
        <v>3198</v>
      </c>
      <c r="J17" s="98">
        <f t="shared" ref="J17:J31" si="5">H17*E17</f>
        <v>3131.7</v>
      </c>
      <c r="K17" s="98"/>
      <c r="L17" s="268">
        <f t="shared" ref="L17:L32" si="6">K17+J17</f>
        <v>3131.7</v>
      </c>
    </row>
    <row r="18" spans="1:23" x14ac:dyDescent="0.15">
      <c r="A18" s="515"/>
      <c r="B18" s="516" t="s">
        <v>22</v>
      </c>
      <c r="C18" s="517" t="s">
        <v>11</v>
      </c>
      <c r="D18" s="98">
        <v>16</v>
      </c>
      <c r="E18" s="150">
        <v>16</v>
      </c>
      <c r="F18" s="12"/>
      <c r="G18" s="12">
        <f t="shared" ref="G18:G32" si="7">F18+E18</f>
        <v>16</v>
      </c>
      <c r="H18" s="98">
        <v>0</v>
      </c>
      <c r="I18" s="98">
        <f t="shared" ref="I18:I32" si="8">D18*H18</f>
        <v>0</v>
      </c>
      <c r="J18" s="98">
        <f t="shared" si="5"/>
        <v>0</v>
      </c>
      <c r="K18" s="98"/>
      <c r="L18" s="268">
        <f t="shared" si="6"/>
        <v>0</v>
      </c>
    </row>
    <row r="19" spans="1:23" x14ac:dyDescent="0.15">
      <c r="A19" s="269">
        <v>2.2000000000000002</v>
      </c>
      <c r="B19" s="270" t="s">
        <v>165</v>
      </c>
      <c r="C19" s="12" t="s">
        <v>11</v>
      </c>
      <c r="D19" s="98">
        <v>135</v>
      </c>
      <c r="E19" s="150">
        <v>133.21</v>
      </c>
      <c r="F19" s="12"/>
      <c r="G19" s="12">
        <f t="shared" si="7"/>
        <v>133.21</v>
      </c>
      <c r="H19" s="98">
        <v>260</v>
      </c>
      <c r="I19" s="98">
        <f t="shared" si="8"/>
        <v>35100</v>
      </c>
      <c r="J19" s="98">
        <f t="shared" si="5"/>
        <v>34634.6</v>
      </c>
      <c r="K19" s="98">
        <f>F19*H19</f>
        <v>0</v>
      </c>
      <c r="L19" s="268">
        <f t="shared" si="6"/>
        <v>34634.6</v>
      </c>
    </row>
    <row r="20" spans="1:23" x14ac:dyDescent="0.15">
      <c r="A20" s="515">
        <v>2.2999999999999998</v>
      </c>
      <c r="B20" s="516" t="s">
        <v>110</v>
      </c>
      <c r="C20" s="517"/>
      <c r="D20" s="98"/>
      <c r="E20" s="150"/>
      <c r="F20" s="12"/>
      <c r="G20" s="12">
        <f t="shared" si="7"/>
        <v>0</v>
      </c>
      <c r="H20" s="98"/>
      <c r="I20" s="98">
        <f t="shared" si="8"/>
        <v>0</v>
      </c>
      <c r="J20" s="98">
        <f t="shared" si="5"/>
        <v>0</v>
      </c>
      <c r="K20" s="98">
        <f t="shared" ref="K20:K31" si="9">F20*H20</f>
        <v>0</v>
      </c>
      <c r="L20" s="268">
        <f t="shared" si="6"/>
        <v>0</v>
      </c>
    </row>
    <row r="21" spans="1:23" x14ac:dyDescent="0.15">
      <c r="A21" s="515"/>
      <c r="B21" s="516" t="s">
        <v>84</v>
      </c>
      <c r="C21" s="517" t="s">
        <v>12</v>
      </c>
      <c r="D21" s="98">
        <v>10.039999999999999</v>
      </c>
      <c r="E21" s="150">
        <v>10.039999999999999</v>
      </c>
      <c r="F21" s="12"/>
      <c r="G21" s="12">
        <f t="shared" si="7"/>
        <v>10.039999999999999</v>
      </c>
      <c r="H21" s="98">
        <v>2732</v>
      </c>
      <c r="I21" s="98">
        <f t="shared" si="8"/>
        <v>27429.279999999999</v>
      </c>
      <c r="J21" s="98">
        <f t="shared" si="5"/>
        <v>27429.279999999999</v>
      </c>
      <c r="K21" s="98">
        <f t="shared" si="9"/>
        <v>0</v>
      </c>
      <c r="L21" s="268">
        <f t="shared" si="6"/>
        <v>27429.279999999999</v>
      </c>
    </row>
    <row r="22" spans="1:23" x14ac:dyDescent="0.15">
      <c r="A22" s="515"/>
      <c r="B22" s="516" t="s">
        <v>23</v>
      </c>
      <c r="C22" s="517" t="s">
        <v>12</v>
      </c>
      <c r="D22" s="98">
        <v>3.2</v>
      </c>
      <c r="E22" s="150">
        <v>3.2</v>
      </c>
      <c r="F22" s="12"/>
      <c r="G22" s="12">
        <f t="shared" si="7"/>
        <v>3.2</v>
      </c>
      <c r="H22" s="98">
        <v>2732</v>
      </c>
      <c r="I22" s="98">
        <f t="shared" si="8"/>
        <v>8742.4</v>
      </c>
      <c r="J22" s="98">
        <f t="shared" si="5"/>
        <v>8742.4</v>
      </c>
      <c r="K22" s="98">
        <f t="shared" si="9"/>
        <v>0</v>
      </c>
      <c r="L22" s="268">
        <f t="shared" si="6"/>
        <v>8742.4</v>
      </c>
    </row>
    <row r="23" spans="1:23" x14ac:dyDescent="0.15">
      <c r="A23" s="515"/>
      <c r="B23" s="516" t="s">
        <v>24</v>
      </c>
      <c r="C23" s="517" t="s">
        <v>12</v>
      </c>
      <c r="D23" s="98">
        <v>1.28</v>
      </c>
      <c r="E23" s="150">
        <v>1.22</v>
      </c>
      <c r="F23" s="12"/>
      <c r="G23" s="12">
        <f t="shared" si="7"/>
        <v>1.22</v>
      </c>
      <c r="H23" s="98">
        <v>2732</v>
      </c>
      <c r="I23" s="98">
        <f t="shared" si="8"/>
        <v>3496.96</v>
      </c>
      <c r="J23" s="98">
        <f t="shared" si="5"/>
        <v>3333.04</v>
      </c>
      <c r="K23" s="98">
        <f t="shared" si="9"/>
        <v>0</v>
      </c>
      <c r="L23" s="268">
        <f t="shared" si="6"/>
        <v>3333.04</v>
      </c>
    </row>
    <row r="24" spans="1:23" x14ac:dyDescent="0.15">
      <c r="A24" s="515">
        <v>2.4</v>
      </c>
      <c r="B24" s="516" t="s">
        <v>109</v>
      </c>
      <c r="C24" s="517"/>
      <c r="D24" s="98"/>
      <c r="E24" s="150"/>
      <c r="F24" s="12"/>
      <c r="G24" s="12">
        <f t="shared" si="7"/>
        <v>0</v>
      </c>
      <c r="H24" s="98"/>
      <c r="I24" s="98">
        <f t="shared" si="8"/>
        <v>0</v>
      </c>
      <c r="J24" s="98">
        <f t="shared" si="5"/>
        <v>0</v>
      </c>
      <c r="K24" s="98">
        <f t="shared" si="9"/>
        <v>0</v>
      </c>
      <c r="L24" s="268">
        <f t="shared" si="6"/>
        <v>0</v>
      </c>
    </row>
    <row r="25" spans="1:23" x14ac:dyDescent="0.15">
      <c r="A25" s="515"/>
      <c r="B25" s="516" t="s">
        <v>84</v>
      </c>
      <c r="C25" s="517" t="s">
        <v>11</v>
      </c>
      <c r="D25" s="98">
        <v>83.52</v>
      </c>
      <c r="E25" s="150">
        <v>78.72</v>
      </c>
      <c r="F25" s="12"/>
      <c r="G25" s="12">
        <f t="shared" si="7"/>
        <v>78.72</v>
      </c>
      <c r="H25" s="98">
        <v>85</v>
      </c>
      <c r="I25" s="98">
        <f t="shared" si="8"/>
        <v>7099.2</v>
      </c>
      <c r="J25" s="98">
        <f t="shared" si="5"/>
        <v>6691.2</v>
      </c>
      <c r="K25" s="98">
        <f t="shared" si="9"/>
        <v>0</v>
      </c>
      <c r="L25" s="268">
        <f t="shared" si="6"/>
        <v>6691.2</v>
      </c>
    </row>
    <row r="26" spans="1:23" x14ac:dyDescent="0.15">
      <c r="A26" s="515"/>
      <c r="B26" s="516" t="s">
        <v>23</v>
      </c>
      <c r="C26" s="517" t="s">
        <v>11</v>
      </c>
      <c r="D26" s="98">
        <v>12.8</v>
      </c>
      <c r="E26" s="150">
        <v>12.8</v>
      </c>
      <c r="F26" s="12"/>
      <c r="G26" s="12">
        <f t="shared" si="7"/>
        <v>12.8</v>
      </c>
      <c r="H26" s="98">
        <v>85</v>
      </c>
      <c r="I26" s="98">
        <f t="shared" si="8"/>
        <v>1088</v>
      </c>
      <c r="J26" s="98">
        <f t="shared" si="5"/>
        <v>1088</v>
      </c>
      <c r="K26" s="98">
        <f t="shared" si="9"/>
        <v>0</v>
      </c>
      <c r="L26" s="268">
        <f t="shared" si="6"/>
        <v>1088</v>
      </c>
    </row>
    <row r="27" spans="1:23" x14ac:dyDescent="0.15">
      <c r="A27" s="515"/>
      <c r="B27" s="516" t="s">
        <v>24</v>
      </c>
      <c r="C27" s="517" t="s">
        <v>11</v>
      </c>
      <c r="D27" s="98">
        <v>25.6</v>
      </c>
      <c r="E27" s="150">
        <v>21.76</v>
      </c>
      <c r="F27" s="12"/>
      <c r="G27" s="12">
        <f t="shared" si="7"/>
        <v>21.76</v>
      </c>
      <c r="H27" s="98">
        <v>85</v>
      </c>
      <c r="I27" s="98">
        <f t="shared" si="8"/>
        <v>2176</v>
      </c>
      <c r="J27" s="98">
        <f t="shared" si="5"/>
        <v>1849.6000000000001</v>
      </c>
      <c r="K27" s="98">
        <f t="shared" si="9"/>
        <v>0</v>
      </c>
      <c r="L27" s="268">
        <f t="shared" si="6"/>
        <v>1849.6000000000001</v>
      </c>
    </row>
    <row r="28" spans="1:23" x14ac:dyDescent="0.15">
      <c r="A28" s="515">
        <v>2.5</v>
      </c>
      <c r="B28" s="516" t="s">
        <v>15</v>
      </c>
      <c r="C28" s="517"/>
      <c r="D28" s="98"/>
      <c r="E28" s="150"/>
      <c r="F28" s="12"/>
      <c r="G28" s="12">
        <f t="shared" si="7"/>
        <v>0</v>
      </c>
      <c r="H28" s="98"/>
      <c r="I28" s="98">
        <f t="shared" si="8"/>
        <v>0</v>
      </c>
      <c r="J28" s="98">
        <f t="shared" si="5"/>
        <v>0</v>
      </c>
      <c r="K28" s="98">
        <f t="shared" si="9"/>
        <v>0</v>
      </c>
      <c r="L28" s="268">
        <f t="shared" si="6"/>
        <v>0</v>
      </c>
    </row>
    <row r="29" spans="1:23" x14ac:dyDescent="0.15">
      <c r="A29" s="515"/>
      <c r="B29" s="516" t="s">
        <v>85</v>
      </c>
      <c r="C29" s="517" t="s">
        <v>16</v>
      </c>
      <c r="D29" s="98">
        <v>827.31</v>
      </c>
      <c r="E29" s="150">
        <v>788.95</v>
      </c>
      <c r="F29" s="12"/>
      <c r="G29" s="12">
        <f t="shared" si="7"/>
        <v>788.95</v>
      </c>
      <c r="H29" s="98">
        <v>34</v>
      </c>
      <c r="I29" s="98">
        <f t="shared" si="8"/>
        <v>28128.539999999997</v>
      </c>
      <c r="J29" s="98">
        <f t="shared" si="5"/>
        <v>26824.300000000003</v>
      </c>
      <c r="K29" s="98">
        <f t="shared" si="9"/>
        <v>0</v>
      </c>
      <c r="L29" s="268">
        <f t="shared" si="6"/>
        <v>26824.300000000003</v>
      </c>
    </row>
    <row r="30" spans="1:23" x14ac:dyDescent="0.15">
      <c r="A30" s="515"/>
      <c r="B30" s="516" t="s">
        <v>25</v>
      </c>
      <c r="C30" s="517" t="s">
        <v>16</v>
      </c>
      <c r="D30" s="98">
        <v>335.63</v>
      </c>
      <c r="E30" s="150">
        <f>379.07+28.42</f>
        <v>407.49</v>
      </c>
      <c r="F30" s="12"/>
      <c r="G30" s="12">
        <f t="shared" si="7"/>
        <v>407.49</v>
      </c>
      <c r="H30" s="98">
        <v>34</v>
      </c>
      <c r="I30" s="98">
        <f t="shared" si="8"/>
        <v>11411.42</v>
      </c>
      <c r="J30" s="98">
        <f t="shared" si="5"/>
        <v>13854.66</v>
      </c>
      <c r="K30" s="98">
        <f t="shared" si="9"/>
        <v>0</v>
      </c>
      <c r="L30" s="268">
        <f t="shared" si="6"/>
        <v>13854.66</v>
      </c>
    </row>
    <row r="31" spans="1:23" x14ac:dyDescent="0.15">
      <c r="A31" s="515"/>
      <c r="B31" s="525" t="s">
        <v>26</v>
      </c>
      <c r="C31" s="526" t="s">
        <v>16</v>
      </c>
      <c r="D31" s="99">
        <v>693.5</v>
      </c>
      <c r="E31" s="153">
        <f>279.42+656.02</f>
        <v>935.44</v>
      </c>
      <c r="F31" s="12"/>
      <c r="G31" s="12">
        <f t="shared" si="7"/>
        <v>935.44</v>
      </c>
      <c r="H31" s="99">
        <v>35</v>
      </c>
      <c r="I31" s="98">
        <f t="shared" si="8"/>
        <v>24272.5</v>
      </c>
      <c r="J31" s="98">
        <f t="shared" si="5"/>
        <v>32740.400000000001</v>
      </c>
      <c r="K31" s="98">
        <f t="shared" si="9"/>
        <v>0</v>
      </c>
      <c r="L31" s="268">
        <f t="shared" si="6"/>
        <v>32740.400000000001</v>
      </c>
    </row>
    <row r="32" spans="1:23" x14ac:dyDescent="0.15">
      <c r="A32" s="269">
        <v>2.6</v>
      </c>
      <c r="B32" s="275" t="s">
        <v>199</v>
      </c>
      <c r="C32" s="146" t="s">
        <v>174</v>
      </c>
      <c r="D32" s="99">
        <v>156.6</v>
      </c>
      <c r="E32" s="146">
        <v>148.80000000000001</v>
      </c>
      <c r="F32" s="12"/>
      <c r="G32" s="12">
        <f t="shared" si="7"/>
        <v>148.80000000000001</v>
      </c>
      <c r="H32" s="99">
        <v>35</v>
      </c>
      <c r="I32" s="98">
        <f t="shared" si="8"/>
        <v>5481</v>
      </c>
      <c r="J32" s="98">
        <f>E32*H32</f>
        <v>5208</v>
      </c>
      <c r="K32" s="98">
        <f>H32*F32</f>
        <v>0</v>
      </c>
      <c r="L32" s="268">
        <f t="shared" si="6"/>
        <v>5208</v>
      </c>
      <c r="O32" s="621"/>
      <c r="T32" s="265"/>
      <c r="U32" s="265"/>
      <c r="V32" s="265"/>
      <c r="W32" s="265"/>
    </row>
    <row r="33" spans="1:23" s="569" customFormat="1" ht="24.95" customHeight="1" thickBot="1" x14ac:dyDescent="0.2">
      <c r="A33" s="576"/>
      <c r="B33" s="1101" t="s">
        <v>64</v>
      </c>
      <c r="C33" s="1102"/>
      <c r="D33" s="1102"/>
      <c r="E33" s="1102"/>
      <c r="F33" s="1102"/>
      <c r="G33" s="1102"/>
      <c r="H33" s="1103"/>
      <c r="I33" s="568">
        <f>SUM(I16:I32)</f>
        <v>157623.29999999999</v>
      </c>
      <c r="J33" s="568">
        <f>SUM(J16:J32)</f>
        <v>165527.18</v>
      </c>
      <c r="K33" s="568">
        <f>SUM(K16:K32)</f>
        <v>0</v>
      </c>
      <c r="L33" s="568">
        <f>SUM(L16:L32)</f>
        <v>165527.18</v>
      </c>
      <c r="M33" s="616"/>
      <c r="N33" s="616"/>
      <c r="O33" s="616"/>
      <c r="P33" s="616"/>
      <c r="Q33" s="616"/>
      <c r="R33" s="616"/>
      <c r="S33" s="616"/>
      <c r="T33" s="616"/>
      <c r="U33" s="616"/>
      <c r="V33" s="616"/>
      <c r="W33" s="616"/>
    </row>
    <row r="34" spans="1:23" x14ac:dyDescent="0.15">
      <c r="A34" s="515">
        <v>3</v>
      </c>
      <c r="B34" s="522" t="s">
        <v>17</v>
      </c>
      <c r="C34" s="523"/>
      <c r="D34" s="154"/>
      <c r="E34" s="155"/>
      <c r="F34" s="155"/>
      <c r="G34" s="155"/>
      <c r="H34" s="154"/>
      <c r="I34" s="154"/>
      <c r="J34" s="154"/>
      <c r="K34" s="154"/>
      <c r="L34" s="264"/>
    </row>
    <row r="35" spans="1:23" x14ac:dyDescent="0.15">
      <c r="A35" s="515">
        <v>3.1</v>
      </c>
      <c r="B35" s="516" t="s">
        <v>118</v>
      </c>
      <c r="C35" s="517" t="s">
        <v>12</v>
      </c>
      <c r="D35" s="98">
        <v>51.2</v>
      </c>
      <c r="E35" s="230">
        <v>28.92</v>
      </c>
      <c r="F35" s="527"/>
      <c r="G35" s="527">
        <f>F35+E35</f>
        <v>28.92</v>
      </c>
      <c r="H35" s="98">
        <v>800</v>
      </c>
      <c r="I35" s="98">
        <f>D35*H35</f>
        <v>40960</v>
      </c>
      <c r="J35" s="98">
        <f>H35*E35</f>
        <v>23136</v>
      </c>
      <c r="K35" s="265">
        <f>H35*F35</f>
        <v>0</v>
      </c>
      <c r="L35" s="268">
        <f>K35+J35</f>
        <v>23136</v>
      </c>
      <c r="M35" s="620"/>
    </row>
    <row r="36" spans="1:23" x14ac:dyDescent="0.15">
      <c r="A36" s="515">
        <v>3.2</v>
      </c>
      <c r="B36" s="516" t="s">
        <v>119</v>
      </c>
      <c r="C36" s="517" t="s">
        <v>12</v>
      </c>
      <c r="D36" s="98">
        <v>51.2</v>
      </c>
      <c r="E36" s="230">
        <v>14.46</v>
      </c>
      <c r="F36" s="527"/>
      <c r="G36" s="527">
        <f>F36+E36</f>
        <v>14.46</v>
      </c>
      <c r="H36" s="98">
        <v>880</v>
      </c>
      <c r="I36" s="98">
        <f>D36*H36</f>
        <v>45056</v>
      </c>
      <c r="J36" s="98">
        <f>H36*E36</f>
        <v>12724.800000000001</v>
      </c>
      <c r="K36" s="265">
        <f>H36*F36</f>
        <v>0</v>
      </c>
      <c r="L36" s="268">
        <f>K36+J36</f>
        <v>12724.800000000001</v>
      </c>
      <c r="M36" s="620"/>
    </row>
    <row r="37" spans="1:23" s="569" customFormat="1" ht="24.95" customHeight="1" thickBot="1" x14ac:dyDescent="0.2">
      <c r="A37" s="575"/>
      <c r="B37" s="1105" t="s">
        <v>64</v>
      </c>
      <c r="C37" s="1105"/>
      <c r="D37" s="1105"/>
      <c r="E37" s="1105"/>
      <c r="F37" s="1105"/>
      <c r="G37" s="1105"/>
      <c r="H37" s="1106"/>
      <c r="I37" s="572">
        <f>SUM(I35:I36)</f>
        <v>86016</v>
      </c>
      <c r="J37" s="572">
        <f>SUM(J35:J36)</f>
        <v>35860.800000000003</v>
      </c>
      <c r="K37" s="572">
        <f>SUM(K35:K36)</f>
        <v>0</v>
      </c>
      <c r="L37" s="572">
        <f>SUM(L35:L36)</f>
        <v>35860.800000000003</v>
      </c>
      <c r="M37" s="616"/>
      <c r="N37" s="616"/>
      <c r="O37" s="616"/>
      <c r="P37" s="616">
        <f>50*6</f>
        <v>300</v>
      </c>
      <c r="Q37" s="616"/>
      <c r="R37" s="616"/>
      <c r="S37" s="616"/>
      <c r="T37" s="616"/>
      <c r="U37" s="616"/>
      <c r="V37" s="616"/>
      <c r="W37" s="616"/>
    </row>
    <row r="38" spans="1:23" x14ac:dyDescent="0.15">
      <c r="A38" s="500"/>
      <c r="B38" s="500"/>
      <c r="C38" s="528"/>
      <c r="D38" s="500"/>
      <c r="E38" s="500"/>
      <c r="F38" s="500"/>
      <c r="G38" s="500"/>
      <c r="H38" s="500"/>
      <c r="I38" s="500"/>
      <c r="J38" s="500"/>
      <c r="K38" s="500"/>
      <c r="L38" s="500"/>
    </row>
    <row r="39" spans="1:23" x14ac:dyDescent="0.15">
      <c r="A39" s="276"/>
      <c r="B39" s="277"/>
      <c r="C39" s="276"/>
      <c r="D39" s="277"/>
      <c r="E39" s="277"/>
      <c r="F39" s="277"/>
      <c r="G39" s="277"/>
      <c r="H39" s="277"/>
      <c r="I39" s="277"/>
      <c r="J39" s="277"/>
      <c r="K39" s="277"/>
      <c r="L39" s="277"/>
    </row>
    <row r="40" spans="1:23" s="278" customFormat="1" ht="32.25" customHeight="1" thickBot="1" x14ac:dyDescent="0.25">
      <c r="A40" s="412"/>
      <c r="B40" s="1138" t="s">
        <v>239</v>
      </c>
      <c r="C40" s="1138"/>
      <c r="D40" s="1138"/>
      <c r="E40" s="1138"/>
      <c r="F40" s="1138"/>
      <c r="G40" s="1138"/>
      <c r="H40" s="1138"/>
      <c r="I40" s="1138"/>
      <c r="J40" s="1138"/>
      <c r="K40" s="1138"/>
      <c r="L40" s="413"/>
      <c r="M40" s="622"/>
      <c r="N40" s="622"/>
      <c r="O40" s="622"/>
      <c r="P40" s="622"/>
      <c r="Q40" s="622"/>
      <c r="R40" s="622"/>
      <c r="S40" s="622"/>
      <c r="T40" s="622"/>
      <c r="U40" s="622"/>
      <c r="V40" s="622"/>
      <c r="W40" s="622"/>
    </row>
    <row r="41" spans="1:23" s="254" customFormat="1" ht="21.75" customHeight="1" x14ac:dyDescent="0.15">
      <c r="A41" s="1107" t="s">
        <v>61</v>
      </c>
      <c r="B41" s="1128" t="s">
        <v>54</v>
      </c>
      <c r="C41" s="1128" t="s">
        <v>5</v>
      </c>
      <c r="D41" s="1117" t="s">
        <v>4</v>
      </c>
      <c r="E41" s="1118"/>
      <c r="F41" s="1119"/>
      <c r="G41" s="1128" t="s">
        <v>334</v>
      </c>
      <c r="H41" s="1110" t="s">
        <v>8</v>
      </c>
      <c r="I41" s="1136" t="s">
        <v>50</v>
      </c>
      <c r="J41" s="1118"/>
      <c r="K41" s="1119"/>
      <c r="L41" s="503"/>
      <c r="M41" s="616"/>
      <c r="N41" s="616"/>
      <c r="O41" s="616"/>
      <c r="P41" s="616"/>
      <c r="Q41" s="616"/>
      <c r="R41" s="616"/>
      <c r="S41" s="616"/>
      <c r="T41" s="616"/>
      <c r="U41" s="616"/>
      <c r="V41" s="616"/>
      <c r="W41" s="616"/>
    </row>
    <row r="42" spans="1:23" s="254" customFormat="1" ht="19.5" customHeight="1" x14ac:dyDescent="0.15">
      <c r="A42" s="1108"/>
      <c r="B42" s="1129"/>
      <c r="C42" s="1129"/>
      <c r="D42" s="1130" t="s">
        <v>62</v>
      </c>
      <c r="E42" s="1120" t="s">
        <v>63</v>
      </c>
      <c r="F42" s="1121"/>
      <c r="G42" s="1129"/>
      <c r="H42" s="1111"/>
      <c r="I42" s="1122" t="s">
        <v>6</v>
      </c>
      <c r="J42" s="1134" t="s">
        <v>7</v>
      </c>
      <c r="K42" s="1135"/>
      <c r="L42" s="1132" t="s">
        <v>7</v>
      </c>
      <c r="M42" s="616"/>
      <c r="N42" s="616"/>
      <c r="O42" s="616"/>
      <c r="P42" s="616"/>
      <c r="Q42" s="616"/>
      <c r="R42" s="616"/>
      <c r="S42" s="616"/>
      <c r="T42" s="616"/>
      <c r="U42" s="616"/>
      <c r="V42" s="616"/>
      <c r="W42" s="616"/>
    </row>
    <row r="43" spans="1:23" s="254" customFormat="1" ht="21" customHeight="1" thickBot="1" x14ac:dyDescent="0.2">
      <c r="A43" s="1109"/>
      <c r="B43" s="1123"/>
      <c r="C43" s="1123"/>
      <c r="D43" s="1131"/>
      <c r="E43" s="255" t="s">
        <v>98</v>
      </c>
      <c r="F43" s="255" t="s">
        <v>99</v>
      </c>
      <c r="G43" s="1123"/>
      <c r="H43" s="1112"/>
      <c r="I43" s="1123"/>
      <c r="J43" s="255" t="s">
        <v>98</v>
      </c>
      <c r="K43" s="255" t="s">
        <v>99</v>
      </c>
      <c r="L43" s="1133"/>
      <c r="M43" s="616"/>
      <c r="N43" s="616"/>
      <c r="O43" s="616"/>
      <c r="P43" s="616"/>
      <c r="Q43" s="616"/>
      <c r="R43" s="616"/>
      <c r="S43" s="616"/>
      <c r="T43" s="616"/>
      <c r="U43" s="616"/>
      <c r="V43" s="616"/>
      <c r="W43" s="616"/>
    </row>
    <row r="44" spans="1:23" s="254" customFormat="1" ht="21" customHeight="1" thickBot="1" x14ac:dyDescent="0.2">
      <c r="A44" s="280" t="s">
        <v>102</v>
      </c>
      <c r="B44" s="257" t="s">
        <v>103</v>
      </c>
      <c r="C44" s="257" t="s">
        <v>104</v>
      </c>
      <c r="D44" s="258" t="s">
        <v>105</v>
      </c>
      <c r="E44" s="258" t="s">
        <v>106</v>
      </c>
      <c r="F44" s="258" t="s">
        <v>107</v>
      </c>
      <c r="G44" s="258"/>
      <c r="H44" s="259" t="s">
        <v>108</v>
      </c>
      <c r="I44" s="257" t="s">
        <v>116</v>
      </c>
      <c r="J44" s="258" t="s">
        <v>115</v>
      </c>
      <c r="K44" s="258" t="s">
        <v>114</v>
      </c>
      <c r="L44" s="260" t="s">
        <v>113</v>
      </c>
      <c r="M44" s="616"/>
      <c r="N44" s="616"/>
      <c r="O44" s="616"/>
      <c r="P44" s="616"/>
      <c r="Q44" s="616"/>
      <c r="R44" s="616"/>
      <c r="S44" s="616"/>
      <c r="T44" s="616"/>
      <c r="U44" s="616"/>
      <c r="V44" s="616"/>
      <c r="W44" s="616"/>
    </row>
    <row r="45" spans="1:23" s="278" customFormat="1" x14ac:dyDescent="0.15">
      <c r="A45" s="529"/>
      <c r="B45" s="530" t="s">
        <v>75</v>
      </c>
      <c r="C45" s="155"/>
      <c r="D45" s="154"/>
      <c r="E45" s="155"/>
      <c r="F45" s="155"/>
      <c r="G45" s="155"/>
      <c r="H45" s="154"/>
      <c r="I45" s="154"/>
      <c r="J45" s="263"/>
      <c r="K45" s="263"/>
      <c r="L45" s="264"/>
      <c r="M45" s="622"/>
      <c r="N45" s="622"/>
      <c r="O45" s="622"/>
      <c r="P45" s="622"/>
      <c r="Q45" s="622"/>
      <c r="R45" s="622"/>
      <c r="S45" s="622"/>
      <c r="T45" s="622"/>
      <c r="U45" s="622"/>
      <c r="V45" s="622"/>
      <c r="W45" s="622"/>
    </row>
    <row r="46" spans="1:23" s="278" customFormat="1" x14ac:dyDescent="0.15">
      <c r="A46" s="269"/>
      <c r="B46" s="270" t="s">
        <v>76</v>
      </c>
      <c r="C46" s="12"/>
      <c r="D46" s="98"/>
      <c r="E46" s="12"/>
      <c r="F46" s="12"/>
      <c r="G46" s="12"/>
      <c r="H46" s="98"/>
      <c r="I46" s="98"/>
      <c r="J46" s="230"/>
      <c r="K46" s="230"/>
      <c r="L46" s="268"/>
      <c r="M46" s="622"/>
      <c r="N46" s="622"/>
      <c r="O46" s="622"/>
      <c r="P46" s="622"/>
      <c r="Q46" s="622"/>
      <c r="R46" s="622"/>
      <c r="S46" s="622"/>
      <c r="T46" s="622"/>
      <c r="U46" s="622"/>
      <c r="V46" s="622"/>
      <c r="W46" s="622"/>
    </row>
    <row r="47" spans="1:23" s="278" customFormat="1" x14ac:dyDescent="0.15">
      <c r="A47" s="269">
        <v>1.1000000000000001</v>
      </c>
      <c r="B47" s="270" t="s">
        <v>14</v>
      </c>
      <c r="C47" s="12"/>
      <c r="D47" s="98"/>
      <c r="E47" s="12"/>
      <c r="F47" s="12"/>
      <c r="G47" s="12"/>
      <c r="H47" s="98"/>
      <c r="I47" s="98">
        <f t="shared" ref="I47:I59" si="10">D47*H47</f>
        <v>0</v>
      </c>
      <c r="J47" s="98">
        <f>E47*H47</f>
        <v>0</v>
      </c>
      <c r="K47" s="98"/>
      <c r="L47" s="268"/>
      <c r="M47" s="622"/>
      <c r="N47" s="622"/>
      <c r="O47" s="622"/>
      <c r="P47" s="622"/>
      <c r="Q47" s="622"/>
      <c r="R47" s="622"/>
      <c r="S47" s="622"/>
      <c r="T47" s="622"/>
      <c r="U47" s="622"/>
      <c r="V47" s="622"/>
      <c r="W47" s="622"/>
    </row>
    <row r="48" spans="1:23" s="278" customFormat="1" x14ac:dyDescent="0.15">
      <c r="A48" s="269"/>
      <c r="B48" s="270" t="s">
        <v>77</v>
      </c>
      <c r="C48" s="12" t="s">
        <v>12</v>
      </c>
      <c r="D48" s="98">
        <v>1.73</v>
      </c>
      <c r="E48" s="12">
        <v>1.92</v>
      </c>
      <c r="F48" s="12"/>
      <c r="G48" s="12">
        <f>F48+E48</f>
        <v>1.92</v>
      </c>
      <c r="H48" s="98">
        <v>2600</v>
      </c>
      <c r="I48" s="98">
        <f t="shared" si="10"/>
        <v>4498</v>
      </c>
      <c r="J48" s="98">
        <f t="shared" ref="J48:J59" si="11">H48*E48</f>
        <v>4992</v>
      </c>
      <c r="K48" s="98">
        <f>H48*F48</f>
        <v>0</v>
      </c>
      <c r="L48" s="268">
        <f>K48+J48</f>
        <v>4992</v>
      </c>
      <c r="M48" s="622"/>
      <c r="N48" s="622"/>
      <c r="O48" s="622"/>
      <c r="P48" s="622"/>
      <c r="Q48" s="622"/>
      <c r="R48" s="622"/>
      <c r="S48" s="622"/>
      <c r="T48" s="622"/>
      <c r="U48" s="622"/>
      <c r="V48" s="622"/>
      <c r="W48" s="622"/>
    </row>
    <row r="49" spans="1:23" s="278" customFormat="1" x14ac:dyDescent="0.15">
      <c r="A49" s="269"/>
      <c r="B49" s="270" t="s">
        <v>74</v>
      </c>
      <c r="C49" s="12" t="s">
        <v>12</v>
      </c>
      <c r="D49" s="98">
        <v>6.26</v>
      </c>
      <c r="E49" s="12">
        <v>6.07</v>
      </c>
      <c r="F49" s="12"/>
      <c r="G49" s="12">
        <f t="shared" ref="G49:G59" si="12">F49+E49</f>
        <v>6.07</v>
      </c>
      <c r="H49" s="98">
        <v>2600</v>
      </c>
      <c r="I49" s="98">
        <f t="shared" si="10"/>
        <v>16276</v>
      </c>
      <c r="J49" s="98">
        <f t="shared" si="11"/>
        <v>15782</v>
      </c>
      <c r="K49" s="98">
        <f t="shared" ref="K49:K59" si="13">H49*F49</f>
        <v>0</v>
      </c>
      <c r="L49" s="268">
        <f t="shared" ref="L49:L59" si="14">K49+J49</f>
        <v>15782</v>
      </c>
      <c r="M49" s="622"/>
      <c r="N49" s="622"/>
      <c r="O49" s="622"/>
      <c r="P49" s="622"/>
      <c r="Q49" s="622"/>
      <c r="R49" s="622"/>
      <c r="S49" s="622"/>
      <c r="T49" s="622"/>
      <c r="U49" s="622"/>
      <c r="V49" s="622"/>
      <c r="W49" s="622"/>
    </row>
    <row r="50" spans="1:23" s="278" customFormat="1" x14ac:dyDescent="0.15">
      <c r="A50" s="269"/>
      <c r="B50" s="270" t="s">
        <v>78</v>
      </c>
      <c r="C50" s="12" t="s">
        <v>12</v>
      </c>
      <c r="D50" s="98">
        <v>0.51</v>
      </c>
      <c r="E50" s="12"/>
      <c r="F50" s="12"/>
      <c r="G50" s="12">
        <f t="shared" si="12"/>
        <v>0</v>
      </c>
      <c r="H50" s="98">
        <v>2600</v>
      </c>
      <c r="I50" s="98">
        <f t="shared" si="10"/>
        <v>1326</v>
      </c>
      <c r="J50" s="98">
        <f t="shared" si="11"/>
        <v>0</v>
      </c>
      <c r="K50" s="98">
        <f t="shared" si="13"/>
        <v>0</v>
      </c>
      <c r="L50" s="268">
        <f t="shared" si="14"/>
        <v>0</v>
      </c>
      <c r="M50" s="622"/>
      <c r="N50" s="622"/>
      <c r="O50" s="622"/>
      <c r="P50" s="622"/>
      <c r="Q50" s="622"/>
      <c r="R50" s="622"/>
      <c r="S50" s="622"/>
      <c r="T50" s="622"/>
      <c r="U50" s="622"/>
      <c r="V50" s="622"/>
      <c r="W50" s="622"/>
    </row>
    <row r="51" spans="1:23" s="278" customFormat="1" x14ac:dyDescent="0.15">
      <c r="A51" s="269">
        <v>1.2</v>
      </c>
      <c r="B51" s="270" t="s">
        <v>109</v>
      </c>
      <c r="C51" s="12"/>
      <c r="D51" s="98"/>
      <c r="E51" s="12"/>
      <c r="F51" s="12"/>
      <c r="G51" s="12">
        <f t="shared" si="12"/>
        <v>0</v>
      </c>
      <c r="H51" s="98"/>
      <c r="I51" s="98">
        <f t="shared" si="10"/>
        <v>0</v>
      </c>
      <c r="J51" s="98">
        <f t="shared" si="11"/>
        <v>0</v>
      </c>
      <c r="K51" s="98">
        <f t="shared" si="13"/>
        <v>0</v>
      </c>
      <c r="L51" s="268">
        <f t="shared" si="14"/>
        <v>0</v>
      </c>
      <c r="M51" s="622"/>
      <c r="N51" s="622"/>
      <c r="O51" s="622"/>
      <c r="P51" s="622"/>
      <c r="Q51" s="622"/>
      <c r="R51" s="622"/>
      <c r="S51" s="622"/>
      <c r="T51" s="622"/>
      <c r="U51" s="622"/>
      <c r="V51" s="622"/>
      <c r="W51" s="622"/>
    </row>
    <row r="52" spans="1:23" s="278" customFormat="1" x14ac:dyDescent="0.15">
      <c r="A52" s="269"/>
      <c r="B52" s="270" t="s">
        <v>77</v>
      </c>
      <c r="C52" s="12" t="s">
        <v>11</v>
      </c>
      <c r="D52" s="98">
        <v>34.56</v>
      </c>
      <c r="E52" s="12">
        <v>38.4</v>
      </c>
      <c r="F52" s="12"/>
      <c r="G52" s="12">
        <f t="shared" si="12"/>
        <v>38.4</v>
      </c>
      <c r="H52" s="98">
        <v>85</v>
      </c>
      <c r="I52" s="98">
        <f t="shared" si="10"/>
        <v>2937.6000000000004</v>
      </c>
      <c r="J52" s="98">
        <f t="shared" si="11"/>
        <v>3264</v>
      </c>
      <c r="K52" s="98">
        <f t="shared" si="13"/>
        <v>0</v>
      </c>
      <c r="L52" s="268">
        <f t="shared" si="14"/>
        <v>3264</v>
      </c>
      <c r="M52" s="622"/>
      <c r="N52" s="622"/>
      <c r="O52" s="622"/>
      <c r="P52" s="622"/>
      <c r="Q52" s="622"/>
      <c r="R52" s="622"/>
      <c r="S52" s="622"/>
      <c r="T52" s="622"/>
      <c r="U52" s="622"/>
      <c r="V52" s="622"/>
      <c r="W52" s="622"/>
    </row>
    <row r="53" spans="1:23" s="278" customFormat="1" x14ac:dyDescent="0.15">
      <c r="A53" s="274"/>
      <c r="B53" s="270" t="s">
        <v>74</v>
      </c>
      <c r="C53" s="12" t="s">
        <v>11</v>
      </c>
      <c r="D53" s="98">
        <v>62.64</v>
      </c>
      <c r="E53" s="12">
        <v>79.36</v>
      </c>
      <c r="F53" s="12"/>
      <c r="G53" s="12">
        <f t="shared" si="12"/>
        <v>79.36</v>
      </c>
      <c r="H53" s="98">
        <v>85</v>
      </c>
      <c r="I53" s="98">
        <f t="shared" si="10"/>
        <v>5324.4</v>
      </c>
      <c r="J53" s="98">
        <f t="shared" si="11"/>
        <v>6745.6</v>
      </c>
      <c r="K53" s="98">
        <f t="shared" si="13"/>
        <v>0</v>
      </c>
      <c r="L53" s="268">
        <f t="shared" si="14"/>
        <v>6745.6</v>
      </c>
      <c r="M53" s="622"/>
      <c r="N53" s="622"/>
      <c r="O53" s="622"/>
      <c r="P53" s="622"/>
      <c r="Q53" s="622"/>
      <c r="R53" s="622"/>
      <c r="S53" s="622"/>
      <c r="T53" s="622"/>
      <c r="U53" s="622"/>
      <c r="V53" s="622"/>
      <c r="W53" s="622"/>
    </row>
    <row r="54" spans="1:23" s="278" customFormat="1" x14ac:dyDescent="0.15">
      <c r="A54" s="269"/>
      <c r="B54" s="270" t="s">
        <v>78</v>
      </c>
      <c r="C54" s="12" t="s">
        <v>11</v>
      </c>
      <c r="D54" s="98">
        <v>5.0999999999999996</v>
      </c>
      <c r="E54" s="12"/>
      <c r="F54" s="12"/>
      <c r="G54" s="12">
        <f t="shared" si="12"/>
        <v>0</v>
      </c>
      <c r="H54" s="98">
        <v>85</v>
      </c>
      <c r="I54" s="98">
        <f t="shared" si="10"/>
        <v>433.49999999999994</v>
      </c>
      <c r="J54" s="98">
        <f t="shared" si="11"/>
        <v>0</v>
      </c>
      <c r="K54" s="98">
        <f t="shared" si="13"/>
        <v>0</v>
      </c>
      <c r="L54" s="268">
        <f t="shared" si="14"/>
        <v>0</v>
      </c>
      <c r="M54" s="622"/>
      <c r="N54" s="622"/>
      <c r="O54" s="622"/>
      <c r="P54" s="622"/>
      <c r="Q54" s="622"/>
      <c r="R54" s="622"/>
      <c r="S54" s="622"/>
      <c r="T54" s="622"/>
      <c r="U54" s="622"/>
      <c r="V54" s="622"/>
      <c r="W54" s="622"/>
    </row>
    <row r="55" spans="1:23" s="278" customFormat="1" x14ac:dyDescent="0.15">
      <c r="A55" s="269">
        <v>1.3</v>
      </c>
      <c r="B55" s="270" t="s">
        <v>15</v>
      </c>
      <c r="C55" s="12"/>
      <c r="D55" s="98"/>
      <c r="E55" s="12"/>
      <c r="F55" s="12"/>
      <c r="G55" s="12">
        <f t="shared" si="12"/>
        <v>0</v>
      </c>
      <c r="H55" s="98"/>
      <c r="I55" s="98">
        <f t="shared" si="10"/>
        <v>0</v>
      </c>
      <c r="J55" s="98">
        <f t="shared" si="11"/>
        <v>0</v>
      </c>
      <c r="K55" s="98">
        <f t="shared" si="13"/>
        <v>0</v>
      </c>
      <c r="L55" s="268">
        <f t="shared" si="14"/>
        <v>0</v>
      </c>
      <c r="M55" s="622"/>
      <c r="N55" s="622"/>
      <c r="O55" s="622"/>
      <c r="P55" s="622"/>
      <c r="Q55" s="622"/>
      <c r="R55" s="622"/>
      <c r="S55" s="622"/>
      <c r="T55" s="622"/>
      <c r="U55" s="622"/>
      <c r="V55" s="622"/>
      <c r="W55" s="622"/>
    </row>
    <row r="56" spans="1:23" s="278" customFormat="1" x14ac:dyDescent="0.15">
      <c r="A56" s="269"/>
      <c r="B56" s="270" t="s">
        <v>85</v>
      </c>
      <c r="C56" s="12" t="s">
        <v>16</v>
      </c>
      <c r="D56" s="98">
        <v>20</v>
      </c>
      <c r="E56" s="12"/>
      <c r="F56" s="12"/>
      <c r="G56" s="12">
        <f t="shared" si="12"/>
        <v>0</v>
      </c>
      <c r="H56" s="98">
        <v>34</v>
      </c>
      <c r="I56" s="98">
        <f t="shared" si="10"/>
        <v>680</v>
      </c>
      <c r="J56" s="98">
        <f t="shared" si="11"/>
        <v>0</v>
      </c>
      <c r="K56" s="98">
        <f t="shared" si="13"/>
        <v>0</v>
      </c>
      <c r="L56" s="268">
        <f t="shared" si="14"/>
        <v>0</v>
      </c>
      <c r="M56" s="622"/>
      <c r="N56" s="622"/>
      <c r="O56" s="622"/>
      <c r="P56" s="622"/>
      <c r="Q56" s="622"/>
      <c r="R56" s="622"/>
      <c r="S56" s="622"/>
      <c r="T56" s="622"/>
      <c r="U56" s="622"/>
      <c r="V56" s="622"/>
      <c r="W56" s="622"/>
    </row>
    <row r="57" spans="1:23" s="278" customFormat="1" x14ac:dyDescent="0.15">
      <c r="A57" s="269"/>
      <c r="B57" s="270" t="s">
        <v>25</v>
      </c>
      <c r="C57" s="12" t="s">
        <v>16</v>
      </c>
      <c r="D57" s="98">
        <f>791.03+748.41</f>
        <v>1539.44</v>
      </c>
      <c r="E57" s="12">
        <v>765.46</v>
      </c>
      <c r="F57" s="12">
        <v>16.690000000000001</v>
      </c>
      <c r="G57" s="12">
        <f t="shared" si="12"/>
        <v>782.15000000000009</v>
      </c>
      <c r="H57" s="98">
        <v>34</v>
      </c>
      <c r="I57" s="98">
        <f t="shared" si="10"/>
        <v>52340.959999999999</v>
      </c>
      <c r="J57" s="98">
        <f t="shared" si="11"/>
        <v>26025.64</v>
      </c>
      <c r="K57" s="98">
        <f t="shared" si="13"/>
        <v>567.46</v>
      </c>
      <c r="L57" s="268">
        <f t="shared" si="14"/>
        <v>26593.1</v>
      </c>
      <c r="M57" s="622"/>
      <c r="N57" s="622"/>
      <c r="O57" s="622"/>
      <c r="P57" s="622"/>
      <c r="Q57" s="622"/>
      <c r="R57" s="622"/>
      <c r="S57" s="622"/>
      <c r="T57" s="622"/>
      <c r="U57" s="622"/>
      <c r="V57" s="622"/>
      <c r="W57" s="622"/>
    </row>
    <row r="58" spans="1:23" s="278" customFormat="1" x14ac:dyDescent="0.15">
      <c r="A58" s="269"/>
      <c r="B58" s="270" t="s">
        <v>26</v>
      </c>
      <c r="C58" s="12" t="s">
        <v>16</v>
      </c>
      <c r="D58" s="98">
        <f>349.34+331.01</f>
        <v>680.34999999999991</v>
      </c>
      <c r="E58" s="12">
        <v>248.22</v>
      </c>
      <c r="F58" s="12">
        <v>19.27</v>
      </c>
      <c r="G58" s="12">
        <f t="shared" si="12"/>
        <v>267.49</v>
      </c>
      <c r="H58" s="98">
        <v>35</v>
      </c>
      <c r="I58" s="98">
        <f t="shared" si="10"/>
        <v>23812.249999999996</v>
      </c>
      <c r="J58" s="98">
        <f t="shared" si="11"/>
        <v>8687.7000000000007</v>
      </c>
      <c r="K58" s="98">
        <f t="shared" si="13"/>
        <v>674.44999999999993</v>
      </c>
      <c r="L58" s="268">
        <f t="shared" si="14"/>
        <v>9362.1500000000015</v>
      </c>
      <c r="M58" s="622"/>
      <c r="N58" s="622"/>
      <c r="O58" s="622"/>
      <c r="P58" s="622"/>
      <c r="Q58" s="622"/>
      <c r="R58" s="622"/>
      <c r="S58" s="622"/>
      <c r="T58" s="622"/>
      <c r="U58" s="622"/>
      <c r="V58" s="622"/>
      <c r="W58" s="622"/>
    </row>
    <row r="59" spans="1:23" s="278" customFormat="1" x14ac:dyDescent="0.15">
      <c r="A59" s="269"/>
      <c r="B59" s="271" t="s">
        <v>90</v>
      </c>
      <c r="C59" s="146" t="s">
        <v>16</v>
      </c>
      <c r="D59" s="99">
        <v>20</v>
      </c>
      <c r="E59" s="146">
        <v>0</v>
      </c>
      <c r="F59" s="146"/>
      <c r="G59" s="12">
        <f t="shared" si="12"/>
        <v>0</v>
      </c>
      <c r="H59" s="98">
        <v>35</v>
      </c>
      <c r="I59" s="98">
        <f t="shared" si="10"/>
        <v>700</v>
      </c>
      <c r="J59" s="98">
        <f t="shared" si="11"/>
        <v>0</v>
      </c>
      <c r="K59" s="98">
        <f t="shared" si="13"/>
        <v>0</v>
      </c>
      <c r="L59" s="268">
        <f t="shared" si="14"/>
        <v>0</v>
      </c>
      <c r="M59" s="622"/>
      <c r="N59" s="622"/>
      <c r="O59" s="622"/>
      <c r="P59" s="622"/>
      <c r="Q59" s="622"/>
      <c r="R59" s="622"/>
      <c r="S59" s="622"/>
      <c r="T59" s="622"/>
      <c r="U59" s="622"/>
      <c r="V59" s="622"/>
      <c r="W59" s="622"/>
    </row>
    <row r="60" spans="1:23" s="578" customFormat="1" ht="24.75" customHeight="1" thickBot="1" x14ac:dyDescent="0.2">
      <c r="A60" s="577"/>
      <c r="B60" s="1101" t="s">
        <v>64</v>
      </c>
      <c r="C60" s="1102"/>
      <c r="D60" s="1102"/>
      <c r="E60" s="1102"/>
      <c r="F60" s="1102"/>
      <c r="G60" s="1102"/>
      <c r="H60" s="1103"/>
      <c r="I60" s="568">
        <f>SUM(I47:I59)</f>
        <v>108328.70999999999</v>
      </c>
      <c r="J60" s="568">
        <f>SUM(J47:J59)</f>
        <v>65496.94</v>
      </c>
      <c r="K60" s="568">
        <f>SUM(K47:K59)</f>
        <v>1241.9099999999999</v>
      </c>
      <c r="L60" s="568">
        <f>SUM(L47:L59)</f>
        <v>66738.850000000006</v>
      </c>
      <c r="M60" s="625"/>
      <c r="N60" s="625"/>
      <c r="O60" s="625"/>
      <c r="P60" s="625"/>
      <c r="Q60" s="625"/>
      <c r="R60" s="625"/>
      <c r="S60" s="625"/>
      <c r="T60" s="625"/>
      <c r="U60" s="625"/>
      <c r="V60" s="625"/>
      <c r="W60" s="625"/>
    </row>
    <row r="61" spans="1:23" s="574" customFormat="1" ht="23.25" customHeight="1" x14ac:dyDescent="0.2">
      <c r="A61" s="695"/>
      <c r="B61" s="699" t="s">
        <v>207</v>
      </c>
      <c r="C61" s="696"/>
      <c r="D61" s="696"/>
      <c r="E61" s="696"/>
      <c r="F61" s="696"/>
      <c r="G61" s="696"/>
      <c r="H61" s="696"/>
      <c r="I61" s="696"/>
      <c r="J61" s="696"/>
      <c r="K61" s="696"/>
      <c r="L61" s="696"/>
      <c r="M61" s="622"/>
      <c r="N61" s="622"/>
      <c r="O61" s="622"/>
      <c r="P61" s="622"/>
      <c r="Q61" s="622"/>
      <c r="R61" s="622"/>
      <c r="S61" s="622"/>
    </row>
    <row r="62" spans="1:23" s="574" customFormat="1" ht="16.5" customHeight="1" x14ac:dyDescent="0.15">
      <c r="A62" s="697">
        <v>2.1</v>
      </c>
      <c r="B62" s="698" t="s">
        <v>344</v>
      </c>
      <c r="C62" s="521" t="s">
        <v>11</v>
      </c>
      <c r="D62" s="151">
        <v>137.79</v>
      </c>
      <c r="E62" s="521">
        <f>111.69+9.42</f>
        <v>121.11</v>
      </c>
      <c r="F62" s="521">
        <v>23.67</v>
      </c>
      <c r="G62" s="521">
        <f>F62+E62</f>
        <v>144.78</v>
      </c>
      <c r="H62" s="151">
        <v>310</v>
      </c>
      <c r="I62" s="151">
        <f>H62*D62</f>
        <v>42714.899999999994</v>
      </c>
      <c r="J62" s="98">
        <f>H62*E62</f>
        <v>37544.1</v>
      </c>
      <c r="K62" s="98">
        <f>H62*F62</f>
        <v>7337.7000000000007</v>
      </c>
      <c r="L62" s="268">
        <f>K62+J62</f>
        <v>44881.8</v>
      </c>
      <c r="M62" s="622"/>
      <c r="N62" s="622"/>
      <c r="O62" s="622"/>
      <c r="P62" s="622"/>
      <c r="Q62" s="622"/>
      <c r="R62" s="622"/>
      <c r="S62" s="622"/>
    </row>
    <row r="63" spans="1:23" s="414" customFormat="1" ht="21.75" customHeight="1" x14ac:dyDescent="0.15">
      <c r="A63" s="270">
        <v>2.2000000000000002</v>
      </c>
      <c r="B63" s="270" t="s">
        <v>393</v>
      </c>
      <c r="C63" s="270" t="s">
        <v>300</v>
      </c>
      <c r="D63" s="270">
        <v>14.31</v>
      </c>
      <c r="E63" s="270">
        <v>7.97</v>
      </c>
      <c r="F63" s="270"/>
      <c r="G63" s="270">
        <f>F63+E63</f>
        <v>7.97</v>
      </c>
      <c r="H63" s="270">
        <v>295</v>
      </c>
      <c r="I63" s="270">
        <f>H63*D63</f>
        <v>4221.45</v>
      </c>
      <c r="J63" s="270">
        <f>H63*E63</f>
        <v>2351.15</v>
      </c>
      <c r="K63" s="98">
        <f>H63*F63</f>
        <v>0</v>
      </c>
      <c r="L63" s="270">
        <f>K63+J63</f>
        <v>2351.15</v>
      </c>
    </row>
    <row r="64" spans="1:23" s="574" customFormat="1" ht="26.25" customHeight="1" thickBot="1" x14ac:dyDescent="0.2">
      <c r="A64" s="693"/>
      <c r="B64" s="1101" t="s">
        <v>64</v>
      </c>
      <c r="C64" s="1102"/>
      <c r="D64" s="1102"/>
      <c r="E64" s="1102"/>
      <c r="F64" s="1102"/>
      <c r="G64" s="1102"/>
      <c r="H64" s="1103"/>
      <c r="I64" s="572">
        <f>SUM(I62:I63)</f>
        <v>46936.349999999991</v>
      </c>
      <c r="J64" s="572">
        <f>SUM(J62:J63)</f>
        <v>39895.25</v>
      </c>
      <c r="K64" s="572">
        <f>SUM(K62:K63)</f>
        <v>7337.7000000000007</v>
      </c>
      <c r="L64" s="572">
        <f>SUM(L62:L63)</f>
        <v>47232.950000000004</v>
      </c>
      <c r="M64" s="622"/>
      <c r="N64" s="622"/>
      <c r="O64" s="622"/>
      <c r="P64" s="622"/>
      <c r="Q64" s="622"/>
      <c r="R64" s="622"/>
      <c r="S64" s="622"/>
    </row>
    <row r="65" spans="1:23" s="278" customFormat="1" x14ac:dyDescent="0.15">
      <c r="A65" s="286"/>
      <c r="B65" s="531" t="s">
        <v>167</v>
      </c>
      <c r="C65" s="229"/>
      <c r="D65" s="228"/>
      <c r="E65" s="229"/>
      <c r="F65" s="229"/>
      <c r="G65" s="229"/>
      <c r="H65" s="228"/>
      <c r="I65" s="228"/>
      <c r="J65" s="228"/>
      <c r="K65" s="228"/>
      <c r="L65" s="284"/>
      <c r="M65" s="622"/>
      <c r="N65" s="622"/>
      <c r="O65" s="622"/>
      <c r="P65" s="622"/>
      <c r="Q65" s="622"/>
      <c r="R65" s="622"/>
      <c r="S65" s="622"/>
      <c r="T65" s="622"/>
      <c r="U65" s="622"/>
      <c r="V65" s="622"/>
      <c r="W65" s="622"/>
    </row>
    <row r="66" spans="1:23" s="278" customFormat="1" x14ac:dyDescent="0.15">
      <c r="A66" s="287">
        <v>3.1</v>
      </c>
      <c r="B66" s="275" t="s">
        <v>166</v>
      </c>
      <c r="C66" s="146" t="s">
        <v>11</v>
      </c>
      <c r="D66" s="99">
        <v>198</v>
      </c>
      <c r="E66" s="146">
        <v>196.79</v>
      </c>
      <c r="F66" s="621"/>
      <c r="G66" s="146">
        <f>F66+E66</f>
        <v>196.79</v>
      </c>
      <c r="H66" s="99">
        <v>245</v>
      </c>
      <c r="I66" s="99">
        <f>D66*H66</f>
        <v>48510</v>
      </c>
      <c r="J66" s="99">
        <f>E66*H66</f>
        <v>48213.549999999996</v>
      </c>
      <c r="K66" s="99">
        <f>H66*F66</f>
        <v>0</v>
      </c>
      <c r="L66" s="273">
        <f>K66+J66</f>
        <v>48213.549999999996</v>
      </c>
      <c r="M66" s="622"/>
      <c r="N66" s="622"/>
      <c r="O66" s="622"/>
      <c r="P66" s="622"/>
      <c r="Q66" s="622"/>
      <c r="R66" s="622"/>
      <c r="S66" s="622"/>
      <c r="T66" s="622"/>
      <c r="U66" s="622"/>
      <c r="V66" s="622"/>
      <c r="W66" s="622"/>
    </row>
    <row r="67" spans="1:23" s="278" customFormat="1" x14ac:dyDescent="0.15">
      <c r="A67" s="287">
        <v>3.2</v>
      </c>
      <c r="B67" s="275" t="s">
        <v>469</v>
      </c>
      <c r="C67" s="146" t="s">
        <v>11</v>
      </c>
      <c r="D67" s="99">
        <v>34.200000000000003</v>
      </c>
      <c r="E67" s="146"/>
      <c r="F67" s="621">
        <v>32.76</v>
      </c>
      <c r="G67" s="146"/>
      <c r="H67" s="99">
        <v>220</v>
      </c>
      <c r="I67" s="99">
        <f>D67*H67</f>
        <v>7524.0000000000009</v>
      </c>
      <c r="J67" s="99">
        <f>E67*H67</f>
        <v>0</v>
      </c>
      <c r="K67" s="99">
        <f>H67*F67</f>
        <v>7207.2</v>
      </c>
      <c r="L67" s="273">
        <f>K67+J67</f>
        <v>7207.2</v>
      </c>
      <c r="M67" s="622"/>
      <c r="N67" s="622"/>
      <c r="O67" s="622"/>
      <c r="P67" s="622"/>
      <c r="Q67" s="622"/>
      <c r="R67" s="622"/>
      <c r="S67" s="622"/>
      <c r="T67" s="622"/>
      <c r="U67" s="622"/>
      <c r="V67" s="622"/>
      <c r="W67" s="622"/>
    </row>
    <row r="68" spans="1:23" s="578" customFormat="1" ht="27" customHeight="1" thickBot="1" x14ac:dyDescent="0.2">
      <c r="A68" s="577"/>
      <c r="B68" s="1101" t="s">
        <v>64</v>
      </c>
      <c r="C68" s="1102"/>
      <c r="D68" s="1102"/>
      <c r="E68" s="1102"/>
      <c r="F68" s="1102"/>
      <c r="G68" s="1102"/>
      <c r="H68" s="1103"/>
      <c r="I68" s="568">
        <f>SUM(I66:I67)</f>
        <v>56034</v>
      </c>
      <c r="J68" s="568">
        <f>SUM(J66:J67)</f>
        <v>48213.549999999996</v>
      </c>
      <c r="K68" s="568">
        <f>SUM(K66:K67)</f>
        <v>7207.2</v>
      </c>
      <c r="L68" s="568">
        <f>SUM(L66:L67)</f>
        <v>55420.749999999993</v>
      </c>
      <c r="M68" s="625"/>
      <c r="N68" s="625"/>
      <c r="O68" s="625"/>
      <c r="P68" s="625"/>
      <c r="Q68" s="625"/>
      <c r="R68" s="625"/>
      <c r="S68" s="625"/>
      <c r="T68" s="625"/>
      <c r="U68" s="625"/>
      <c r="V68" s="625"/>
      <c r="W68" s="625"/>
    </row>
    <row r="69" spans="1:23" s="278" customFormat="1" x14ac:dyDescent="0.15">
      <c r="A69" s="286"/>
      <c r="B69" s="531" t="s">
        <v>168</v>
      </c>
      <c r="C69" s="229"/>
      <c r="D69" s="228"/>
      <c r="E69" s="229"/>
      <c r="F69" s="229"/>
      <c r="G69" s="229"/>
      <c r="H69" s="228"/>
      <c r="I69" s="228"/>
      <c r="J69" s="228"/>
      <c r="K69" s="228"/>
      <c r="L69" s="284"/>
      <c r="M69" s="622"/>
      <c r="N69" s="622"/>
      <c r="O69" s="622"/>
      <c r="P69" s="622"/>
      <c r="Q69" s="622"/>
      <c r="R69" s="622"/>
      <c r="S69" s="622"/>
      <c r="T69" s="622"/>
      <c r="U69" s="622"/>
      <c r="V69" s="622"/>
      <c r="W69" s="622"/>
    </row>
    <row r="70" spans="1:23" s="278" customFormat="1" x14ac:dyDescent="0.15">
      <c r="A70" s="287">
        <v>4.0999999999999996</v>
      </c>
      <c r="B70" s="275" t="s">
        <v>169</v>
      </c>
      <c r="C70" s="146"/>
      <c r="D70" s="99"/>
      <c r="E70" s="146"/>
      <c r="F70" s="146"/>
      <c r="G70" s="146"/>
      <c r="H70" s="99"/>
      <c r="I70" s="99"/>
      <c r="J70" s="99"/>
      <c r="K70" s="99"/>
      <c r="L70" s="273"/>
      <c r="M70" s="622"/>
      <c r="N70" s="622"/>
      <c r="O70" s="622"/>
      <c r="P70" s="622"/>
      <c r="Q70" s="622"/>
      <c r="R70" s="622"/>
      <c r="S70" s="622"/>
      <c r="T70" s="622"/>
      <c r="U70" s="622"/>
      <c r="V70" s="622"/>
      <c r="W70" s="622"/>
    </row>
    <row r="71" spans="1:23" s="278" customFormat="1" x14ac:dyDescent="0.15">
      <c r="A71" s="287"/>
      <c r="B71" s="275" t="s">
        <v>170</v>
      </c>
      <c r="C71" s="146"/>
      <c r="D71" s="99"/>
      <c r="E71" s="146"/>
      <c r="F71" s="146"/>
      <c r="G71" s="146"/>
      <c r="H71" s="99"/>
      <c r="I71" s="99"/>
      <c r="J71" s="99"/>
      <c r="K71" s="99"/>
      <c r="L71" s="273"/>
      <c r="M71" s="622"/>
      <c r="N71" s="622"/>
      <c r="O71" s="622"/>
      <c r="P71" s="622"/>
      <c r="Q71" s="622"/>
      <c r="R71" s="622"/>
      <c r="S71" s="622"/>
      <c r="T71" s="622"/>
      <c r="U71" s="622"/>
      <c r="V71" s="622"/>
      <c r="W71" s="622"/>
    </row>
    <row r="72" spans="1:23" s="278" customFormat="1" x14ac:dyDescent="0.15">
      <c r="A72" s="287"/>
      <c r="B72" s="275" t="s">
        <v>172</v>
      </c>
      <c r="C72" s="146" t="s">
        <v>174</v>
      </c>
      <c r="D72" s="99">
        <v>338</v>
      </c>
      <c r="E72" s="146">
        <v>324.7</v>
      </c>
      <c r="F72" s="146"/>
      <c r="G72" s="146">
        <f>F72+E72</f>
        <v>324.7</v>
      </c>
      <c r="H72" s="99">
        <v>18</v>
      </c>
      <c r="I72" s="99">
        <f>H72*D72</f>
        <v>6084</v>
      </c>
      <c r="J72" s="98">
        <f>H72*E72</f>
        <v>5844.5999999999995</v>
      </c>
      <c r="K72" s="99">
        <f>H72*F72</f>
        <v>0</v>
      </c>
      <c r="L72" s="273">
        <f>K72+J72</f>
        <v>5844.5999999999995</v>
      </c>
      <c r="M72" s="622"/>
      <c r="N72" s="622"/>
      <c r="O72" s="622"/>
      <c r="P72" s="622"/>
      <c r="Q72" s="622"/>
      <c r="R72" s="622"/>
      <c r="S72" s="622"/>
      <c r="T72" s="622"/>
      <c r="U72" s="622"/>
      <c r="V72" s="622"/>
      <c r="W72" s="622"/>
    </row>
    <row r="73" spans="1:23" s="278" customFormat="1" x14ac:dyDescent="0.15">
      <c r="A73" s="287"/>
      <c r="B73" s="275" t="s">
        <v>173</v>
      </c>
      <c r="C73" s="146" t="s">
        <v>174</v>
      </c>
      <c r="D73" s="99">
        <v>286</v>
      </c>
      <c r="E73" s="146">
        <v>340.45</v>
      </c>
      <c r="F73" s="146"/>
      <c r="G73" s="146">
        <f>F73+E73</f>
        <v>340.45</v>
      </c>
      <c r="H73" s="99">
        <v>16</v>
      </c>
      <c r="I73" s="99">
        <f>H73*D73</f>
        <v>4576</v>
      </c>
      <c r="J73" s="98">
        <f>H73*E73</f>
        <v>5447.2</v>
      </c>
      <c r="K73" s="99">
        <f>H73*F73</f>
        <v>0</v>
      </c>
      <c r="L73" s="273">
        <f>K73+J73</f>
        <v>5447.2</v>
      </c>
      <c r="M73" s="622"/>
      <c r="N73" s="622"/>
      <c r="O73" s="622"/>
      <c r="P73" s="622"/>
      <c r="Q73" s="622"/>
      <c r="R73" s="622"/>
      <c r="S73" s="622"/>
      <c r="T73" s="622"/>
      <c r="U73" s="622"/>
      <c r="V73" s="622"/>
      <c r="W73" s="622"/>
    </row>
    <row r="74" spans="1:23" s="278" customFormat="1" x14ac:dyDescent="0.15">
      <c r="A74" s="287"/>
      <c r="B74" s="275" t="s">
        <v>171</v>
      </c>
      <c r="C74" s="146" t="s">
        <v>174</v>
      </c>
      <c r="D74" s="99">
        <v>288</v>
      </c>
      <c r="E74" s="146">
        <v>250.46</v>
      </c>
      <c r="F74" s="146"/>
      <c r="G74" s="146">
        <f>F74+E74</f>
        <v>250.46</v>
      </c>
      <c r="H74" s="99">
        <v>48</v>
      </c>
      <c r="I74" s="99">
        <f>H74*D74</f>
        <v>13824</v>
      </c>
      <c r="J74" s="98">
        <f>H74*E74</f>
        <v>12022.08</v>
      </c>
      <c r="K74" s="99">
        <f>H74*F74</f>
        <v>0</v>
      </c>
      <c r="L74" s="273">
        <f>K74+J74</f>
        <v>12022.08</v>
      </c>
      <c r="M74" s="622"/>
      <c r="N74" s="622"/>
      <c r="O74" s="622"/>
      <c r="P74" s="622"/>
      <c r="Q74" s="622"/>
      <c r="R74" s="622"/>
      <c r="S74" s="622"/>
      <c r="T74" s="622"/>
      <c r="U74" s="622"/>
      <c r="V74" s="622"/>
      <c r="W74" s="622"/>
    </row>
    <row r="75" spans="1:23" s="278" customFormat="1" x14ac:dyDescent="0.15">
      <c r="A75" s="287">
        <v>4.2</v>
      </c>
      <c r="B75" s="275" t="s">
        <v>238</v>
      </c>
      <c r="C75" s="146" t="s">
        <v>174</v>
      </c>
      <c r="D75" s="99">
        <v>64</v>
      </c>
      <c r="E75" s="146">
        <v>58.1</v>
      </c>
      <c r="F75" s="146"/>
      <c r="G75" s="146">
        <f>F75+E75</f>
        <v>58.1</v>
      </c>
      <c r="H75" s="99">
        <v>92</v>
      </c>
      <c r="I75" s="99">
        <f>H75*D75</f>
        <v>5888</v>
      </c>
      <c r="J75" s="98">
        <f>H75*E75</f>
        <v>5345.2</v>
      </c>
      <c r="K75" s="99">
        <f>H75*F75</f>
        <v>0</v>
      </c>
      <c r="L75" s="273">
        <f>K75+J75</f>
        <v>5345.2</v>
      </c>
      <c r="M75" s="622"/>
      <c r="N75" s="622"/>
      <c r="O75" s="622"/>
      <c r="P75" s="622"/>
      <c r="Q75" s="622"/>
      <c r="R75" s="622"/>
      <c r="S75" s="622"/>
      <c r="T75" s="622"/>
      <c r="U75" s="622"/>
      <c r="V75" s="622"/>
      <c r="W75" s="622"/>
    </row>
    <row r="76" spans="1:23" s="578" customFormat="1" ht="27" customHeight="1" thickBot="1" x14ac:dyDescent="0.2">
      <c r="A76" s="571"/>
      <c r="B76" s="1104" t="s">
        <v>64</v>
      </c>
      <c r="C76" s="1105"/>
      <c r="D76" s="1105"/>
      <c r="E76" s="1105"/>
      <c r="F76" s="1105"/>
      <c r="G76" s="1105"/>
      <c r="H76" s="1106"/>
      <c r="I76" s="572">
        <f>SUM(I72:I75)</f>
        <v>30372</v>
      </c>
      <c r="J76" s="572">
        <f>SUM(J72:J75)</f>
        <v>28659.079999999998</v>
      </c>
      <c r="K76" s="572">
        <f>SUM(K72:K75)</f>
        <v>0</v>
      </c>
      <c r="L76" s="572">
        <f>SUM(L72:L75)</f>
        <v>28659.079999999998</v>
      </c>
      <c r="M76" s="625"/>
      <c r="N76" s="625"/>
      <c r="O76" s="625"/>
      <c r="P76" s="625"/>
      <c r="Q76" s="625"/>
      <c r="R76" s="625"/>
      <c r="S76" s="625"/>
      <c r="T76" s="625"/>
      <c r="U76" s="625"/>
      <c r="V76" s="625"/>
      <c r="W76" s="625"/>
    </row>
    <row r="77" spans="1:23" x14ac:dyDescent="0.15">
      <c r="A77" s="776"/>
      <c r="B77" s="283" t="s">
        <v>345</v>
      </c>
      <c r="C77" s="229"/>
      <c r="D77" s="228"/>
      <c r="E77" s="229"/>
      <c r="F77" s="229"/>
      <c r="G77" s="229"/>
      <c r="H77" s="228"/>
      <c r="I77" s="228"/>
      <c r="J77" s="228"/>
      <c r="K77" s="701"/>
      <c r="L77" s="514"/>
      <c r="M77" s="265"/>
      <c r="N77" s="265"/>
      <c r="O77" s="265"/>
      <c r="P77" s="265"/>
      <c r="Q77" s="265"/>
      <c r="R77" s="265"/>
      <c r="S77" s="265"/>
      <c r="T77" s="265"/>
      <c r="U77" s="265"/>
      <c r="V77" s="265"/>
      <c r="W77" s="265"/>
    </row>
    <row r="78" spans="1:23" x14ac:dyDescent="0.15">
      <c r="A78" s="285">
        <v>5.0999999999999996</v>
      </c>
      <c r="B78" s="777" t="s">
        <v>346</v>
      </c>
      <c r="C78" s="146"/>
      <c r="D78" s="99"/>
      <c r="E78" s="146"/>
      <c r="F78" s="146"/>
      <c r="G78" s="146"/>
      <c r="H78" s="99"/>
      <c r="I78" s="99"/>
      <c r="J78" s="99"/>
      <c r="K78" s="272"/>
      <c r="L78" s="273"/>
      <c r="M78" s="265"/>
      <c r="N78" s="265"/>
      <c r="O78" s="265"/>
      <c r="P78" s="265"/>
      <c r="Q78" s="265"/>
      <c r="R78" s="265"/>
      <c r="S78" s="265"/>
      <c r="T78" s="265"/>
      <c r="U78" s="265"/>
      <c r="V78" s="265"/>
      <c r="W78" s="265"/>
    </row>
    <row r="79" spans="1:23" x14ac:dyDescent="0.15">
      <c r="A79" s="285"/>
      <c r="B79" s="275" t="s">
        <v>357</v>
      </c>
      <c r="C79" s="146" t="s">
        <v>348</v>
      </c>
      <c r="D79" s="99">
        <v>2</v>
      </c>
      <c r="E79" s="702">
        <v>1</v>
      </c>
      <c r="F79" s="12"/>
      <c r="G79" s="146">
        <f>F79+E79</f>
        <v>1</v>
      </c>
      <c r="H79" s="146">
        <v>3000</v>
      </c>
      <c r="I79" s="99">
        <f>H79*D79</f>
        <v>6000</v>
      </c>
      <c r="J79" s="98">
        <f>H79*E79</f>
        <v>3000</v>
      </c>
      <c r="K79" s="99">
        <f>H79*F79</f>
        <v>0</v>
      </c>
      <c r="L79" s="273">
        <f>K79+J79</f>
        <v>3000</v>
      </c>
      <c r="M79" s="265"/>
      <c r="N79" s="265"/>
      <c r="O79" s="265"/>
      <c r="P79" s="265"/>
      <c r="Q79" s="265"/>
      <c r="R79" s="265"/>
      <c r="S79" s="265"/>
      <c r="T79" s="265"/>
      <c r="U79" s="265"/>
      <c r="V79" s="265"/>
      <c r="W79" s="265"/>
    </row>
    <row r="80" spans="1:23" x14ac:dyDescent="0.15">
      <c r="A80" s="285"/>
      <c r="B80" s="275" t="s">
        <v>394</v>
      </c>
      <c r="C80" s="146" t="s">
        <v>348</v>
      </c>
      <c r="D80" s="99">
        <v>3</v>
      </c>
      <c r="E80" s="702">
        <v>2</v>
      </c>
      <c r="F80" s="620">
        <v>3</v>
      </c>
      <c r="G80" s="146">
        <f>F80+E80</f>
        <v>5</v>
      </c>
      <c r="H80" s="146">
        <v>2000</v>
      </c>
      <c r="I80" s="99">
        <f>H80*D80</f>
        <v>6000</v>
      </c>
      <c r="J80" s="98">
        <f>H80*E80</f>
        <v>4000</v>
      </c>
      <c r="K80" s="99">
        <f>H80*F80</f>
        <v>6000</v>
      </c>
      <c r="L80" s="273">
        <f>K80+J80</f>
        <v>10000</v>
      </c>
      <c r="M80" s="265"/>
      <c r="N80" s="265"/>
      <c r="O80" s="265"/>
      <c r="P80" s="265"/>
      <c r="Q80" s="265"/>
      <c r="R80" s="265"/>
      <c r="S80" s="265"/>
      <c r="T80" s="265"/>
      <c r="U80" s="265"/>
      <c r="V80" s="265"/>
      <c r="W80" s="265"/>
    </row>
    <row r="81" spans="1:23" x14ac:dyDescent="0.15">
      <c r="A81" s="285">
        <v>5.2</v>
      </c>
      <c r="B81" s="777" t="s">
        <v>395</v>
      </c>
      <c r="C81" s="146"/>
      <c r="D81" s="99"/>
      <c r="E81" s="702"/>
      <c r="F81" s="12"/>
      <c r="G81" s="146">
        <f>F81+E81</f>
        <v>0</v>
      </c>
      <c r="H81" s="146"/>
      <c r="I81" s="99">
        <f>H81*D81</f>
        <v>0</v>
      </c>
      <c r="J81" s="98">
        <f>H81*E81</f>
        <v>0</v>
      </c>
      <c r="K81" s="99">
        <f>H81*F81</f>
        <v>0</v>
      </c>
      <c r="L81" s="273">
        <f>K81+J81</f>
        <v>0</v>
      </c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</row>
    <row r="82" spans="1:23" x14ac:dyDescent="0.15">
      <c r="A82" s="285"/>
      <c r="B82" s="275" t="s">
        <v>396</v>
      </c>
      <c r="C82" s="146" t="s">
        <v>348</v>
      </c>
      <c r="D82" s="99">
        <v>2</v>
      </c>
      <c r="E82" s="702"/>
      <c r="F82" s="12">
        <v>2</v>
      </c>
      <c r="G82" s="146">
        <f>F82+E82</f>
        <v>2</v>
      </c>
      <c r="H82" s="146">
        <v>2700</v>
      </c>
      <c r="I82" s="99">
        <f>H82*D82</f>
        <v>5400</v>
      </c>
      <c r="J82" s="98">
        <f>H82*E82</f>
        <v>0</v>
      </c>
      <c r="K82" s="99">
        <f>H82*F82</f>
        <v>5400</v>
      </c>
      <c r="L82" s="273">
        <f>K82+J82</f>
        <v>5400</v>
      </c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</row>
    <row r="83" spans="1:23" x14ac:dyDescent="0.15">
      <c r="A83" s="285"/>
      <c r="B83" s="275" t="s">
        <v>397</v>
      </c>
      <c r="C83" s="146" t="s">
        <v>348</v>
      </c>
      <c r="D83" s="99">
        <v>1</v>
      </c>
      <c r="E83" s="702"/>
      <c r="F83" s="12">
        <v>1</v>
      </c>
      <c r="G83" s="146">
        <f>F83+E83</f>
        <v>1</v>
      </c>
      <c r="H83" s="146">
        <v>3037.5</v>
      </c>
      <c r="I83" s="99">
        <f>H83*D83</f>
        <v>3037.5</v>
      </c>
      <c r="J83" s="98">
        <f>H83*E83</f>
        <v>0</v>
      </c>
      <c r="K83" s="99">
        <f>H83*F83</f>
        <v>3037.5</v>
      </c>
      <c r="L83" s="273">
        <f>K83+J83</f>
        <v>3037.5</v>
      </c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</row>
    <row r="84" spans="1:23" ht="21" customHeight="1" thickBot="1" x14ac:dyDescent="0.2">
      <c r="A84" s="778"/>
      <c r="B84" s="1137" t="s">
        <v>64</v>
      </c>
      <c r="C84" s="1099"/>
      <c r="D84" s="1099"/>
      <c r="E84" s="1099"/>
      <c r="F84" s="1099"/>
      <c r="G84" s="1099"/>
      <c r="H84" s="1100"/>
      <c r="I84" s="775">
        <f>SUM(I79:I83)</f>
        <v>20437.5</v>
      </c>
      <c r="J84" s="775">
        <f>SUM(J79:J83)</f>
        <v>7000</v>
      </c>
      <c r="K84" s="775">
        <f>SUM(K79:K83)</f>
        <v>14437.5</v>
      </c>
      <c r="L84" s="775">
        <f>SUM(L79:L83)</f>
        <v>21437.5</v>
      </c>
      <c r="M84" s="265"/>
      <c r="N84" s="265"/>
      <c r="O84" s="265"/>
      <c r="P84" s="265"/>
      <c r="Q84" s="265"/>
      <c r="R84" s="265"/>
      <c r="S84" s="265"/>
      <c r="T84" s="265"/>
      <c r="U84" s="265"/>
      <c r="V84" s="265"/>
      <c r="W84" s="265"/>
    </row>
    <row r="85" spans="1:23" x14ac:dyDescent="0.15">
      <c r="A85" s="779"/>
      <c r="B85" s="267" t="s">
        <v>297</v>
      </c>
      <c r="C85" s="149"/>
      <c r="D85" s="149"/>
      <c r="E85" s="780"/>
      <c r="F85" s="780"/>
      <c r="G85" s="780"/>
      <c r="H85" s="342"/>
      <c r="I85" s="780"/>
      <c r="J85" s="780"/>
      <c r="K85" s="780"/>
      <c r="L85" s="780"/>
      <c r="M85" s="265"/>
      <c r="N85" s="265"/>
      <c r="O85" s="265"/>
      <c r="P85" s="265"/>
      <c r="Q85" s="265"/>
      <c r="R85" s="265"/>
      <c r="S85" s="265"/>
      <c r="T85" s="265"/>
      <c r="U85" s="265"/>
      <c r="V85" s="265"/>
      <c r="W85" s="265"/>
    </row>
    <row r="86" spans="1:23" ht="17.25" x14ac:dyDescent="0.15">
      <c r="A86" s="781">
        <v>6.1</v>
      </c>
      <c r="B86" s="270" t="s">
        <v>299</v>
      </c>
      <c r="C86" s="12" t="s">
        <v>300</v>
      </c>
      <c r="D86" s="12">
        <v>74.260000000000005</v>
      </c>
      <c r="E86" s="230">
        <v>64.78</v>
      </c>
      <c r="F86" s="230"/>
      <c r="G86" s="230">
        <f t="shared" ref="G86:G92" si="15">F86+E86</f>
        <v>64.78</v>
      </c>
      <c r="H86" s="98">
        <v>115</v>
      </c>
      <c r="I86" s="99">
        <f t="shared" ref="I86:I92" si="16">H86*D86</f>
        <v>8539.9000000000015</v>
      </c>
      <c r="J86" s="98">
        <f t="shared" ref="J86:J92" si="17">H86*E86</f>
        <v>7449.7</v>
      </c>
      <c r="K86" s="99">
        <f t="shared" ref="K86:K92" si="18">H86*F86</f>
        <v>0</v>
      </c>
      <c r="L86" s="273">
        <f t="shared" ref="L86:L92" si="19">K86+J86</f>
        <v>7449.7</v>
      </c>
      <c r="M86" s="265"/>
      <c r="N86" s="265"/>
      <c r="O86" s="265"/>
      <c r="P86" s="265"/>
      <c r="Q86" s="265"/>
      <c r="R86" s="265"/>
      <c r="S86" s="265"/>
      <c r="T86" s="265"/>
      <c r="U86" s="265"/>
      <c r="V86" s="265"/>
      <c r="W86" s="265"/>
    </row>
    <row r="87" spans="1:23" s="278" customFormat="1" ht="17.25" customHeight="1" x14ac:dyDescent="0.15">
      <c r="A87" s="781">
        <v>6.2</v>
      </c>
      <c r="B87" s="270" t="s">
        <v>398</v>
      </c>
      <c r="C87" s="12" t="s">
        <v>300</v>
      </c>
      <c r="D87" s="12">
        <v>217.18</v>
      </c>
      <c r="E87" s="230">
        <v>293.08</v>
      </c>
      <c r="F87" s="230"/>
      <c r="G87" s="230">
        <f t="shared" si="15"/>
        <v>293.08</v>
      </c>
      <c r="H87" s="98">
        <v>140</v>
      </c>
      <c r="I87" s="99">
        <f t="shared" si="16"/>
        <v>30405.200000000001</v>
      </c>
      <c r="J87" s="98">
        <f t="shared" si="17"/>
        <v>41031.199999999997</v>
      </c>
      <c r="K87" s="99">
        <f t="shared" si="18"/>
        <v>0</v>
      </c>
      <c r="L87" s="273">
        <f t="shared" si="19"/>
        <v>41031.199999999997</v>
      </c>
    </row>
    <row r="88" spans="1:23" s="278" customFormat="1" ht="17.25" customHeight="1" x14ac:dyDescent="0.15">
      <c r="A88" s="781">
        <v>6.3</v>
      </c>
      <c r="B88" s="782" t="s">
        <v>399</v>
      </c>
      <c r="C88" s="12" t="s">
        <v>300</v>
      </c>
      <c r="D88" s="12">
        <v>135</v>
      </c>
      <c r="E88" s="230"/>
      <c r="F88" s="230">
        <v>133.61000000000001</v>
      </c>
      <c r="G88" s="230">
        <f t="shared" si="15"/>
        <v>133.61000000000001</v>
      </c>
      <c r="H88" s="98">
        <v>340</v>
      </c>
      <c r="I88" s="99">
        <f t="shared" si="16"/>
        <v>45900</v>
      </c>
      <c r="J88" s="98">
        <f t="shared" si="17"/>
        <v>0</v>
      </c>
      <c r="K88" s="99">
        <f t="shared" si="18"/>
        <v>45427.4</v>
      </c>
      <c r="L88" s="273">
        <f t="shared" si="19"/>
        <v>45427.4</v>
      </c>
    </row>
    <row r="89" spans="1:23" s="278" customFormat="1" ht="17.25" customHeight="1" x14ac:dyDescent="0.15">
      <c r="A89" s="781">
        <v>6.4</v>
      </c>
      <c r="B89" s="782" t="s">
        <v>527</v>
      </c>
      <c r="C89" s="12" t="s">
        <v>300</v>
      </c>
      <c r="D89" s="12">
        <v>135</v>
      </c>
      <c r="E89" s="230"/>
      <c r="F89" s="230">
        <v>145.84</v>
      </c>
      <c r="G89" s="230">
        <f t="shared" si="15"/>
        <v>145.84</v>
      </c>
      <c r="H89" s="98">
        <v>380</v>
      </c>
      <c r="I89" s="99">
        <f t="shared" si="16"/>
        <v>51300</v>
      </c>
      <c r="J89" s="98">
        <f t="shared" si="17"/>
        <v>0</v>
      </c>
      <c r="K89" s="99">
        <f t="shared" si="18"/>
        <v>55419.200000000004</v>
      </c>
      <c r="L89" s="273">
        <f t="shared" si="19"/>
        <v>55419.200000000004</v>
      </c>
    </row>
    <row r="90" spans="1:23" s="278" customFormat="1" ht="17.25" customHeight="1" x14ac:dyDescent="0.15">
      <c r="A90" s="781">
        <v>6.5</v>
      </c>
      <c r="B90" s="782" t="s">
        <v>528</v>
      </c>
      <c r="C90" s="12" t="s">
        <v>174</v>
      </c>
      <c r="D90" s="12">
        <v>93.3</v>
      </c>
      <c r="E90" s="230"/>
      <c r="F90" s="230">
        <v>100.15</v>
      </c>
      <c r="G90" s="230">
        <f t="shared" si="15"/>
        <v>100.15</v>
      </c>
      <c r="H90" s="98">
        <v>50</v>
      </c>
      <c r="I90" s="99">
        <f t="shared" si="16"/>
        <v>4665</v>
      </c>
      <c r="J90" s="98">
        <f t="shared" si="17"/>
        <v>0</v>
      </c>
      <c r="K90" s="99">
        <f t="shared" si="18"/>
        <v>5007.5</v>
      </c>
      <c r="L90" s="273">
        <f t="shared" si="19"/>
        <v>5007.5</v>
      </c>
    </row>
    <row r="91" spans="1:23" s="278" customFormat="1" ht="17.25" customHeight="1" x14ac:dyDescent="0.15">
      <c r="A91" s="781">
        <v>6.6</v>
      </c>
      <c r="B91" s="782" t="s">
        <v>475</v>
      </c>
      <c r="C91" s="12" t="s">
        <v>174</v>
      </c>
      <c r="D91" s="12">
        <v>8.5</v>
      </c>
      <c r="E91" s="230"/>
      <c r="F91" s="230"/>
      <c r="G91" s="230">
        <f t="shared" si="15"/>
        <v>0</v>
      </c>
      <c r="H91" s="98">
        <v>275</v>
      </c>
      <c r="I91" s="99">
        <f t="shared" si="16"/>
        <v>2337.5</v>
      </c>
      <c r="J91" s="98">
        <f t="shared" si="17"/>
        <v>0</v>
      </c>
      <c r="K91" s="99">
        <f t="shared" si="18"/>
        <v>0</v>
      </c>
      <c r="L91" s="273">
        <f t="shared" si="19"/>
        <v>0</v>
      </c>
    </row>
    <row r="92" spans="1:23" s="278" customFormat="1" ht="24" customHeight="1" x14ac:dyDescent="0.15">
      <c r="A92" s="931">
        <v>6.8</v>
      </c>
      <c r="B92" s="344" t="s">
        <v>501</v>
      </c>
      <c r="C92" s="12" t="s">
        <v>11</v>
      </c>
      <c r="D92" s="12">
        <v>68.400000000000006</v>
      </c>
      <c r="E92" s="230"/>
      <c r="F92" s="230">
        <v>68.400000000000006</v>
      </c>
      <c r="G92" s="230">
        <f t="shared" si="15"/>
        <v>68.400000000000006</v>
      </c>
      <c r="H92" s="98">
        <v>450</v>
      </c>
      <c r="I92" s="98">
        <f t="shared" si="16"/>
        <v>30780.000000000004</v>
      </c>
      <c r="J92" s="98">
        <f t="shared" si="17"/>
        <v>0</v>
      </c>
      <c r="K92" s="98">
        <f t="shared" si="18"/>
        <v>30780.000000000004</v>
      </c>
      <c r="L92" s="230">
        <f t="shared" si="19"/>
        <v>30780.000000000004</v>
      </c>
    </row>
    <row r="93" spans="1:23" ht="21" customHeight="1" thickBot="1" x14ac:dyDescent="0.2">
      <c r="A93" s="783"/>
      <c r="B93" s="1137" t="s">
        <v>64</v>
      </c>
      <c r="C93" s="1099"/>
      <c r="D93" s="1099"/>
      <c r="E93" s="1099"/>
      <c r="F93" s="1099"/>
      <c r="G93" s="1099"/>
      <c r="H93" s="1100"/>
      <c r="I93" s="784">
        <f>SUM(I86:I92)</f>
        <v>173927.6</v>
      </c>
      <c r="J93" s="784">
        <f>SUM(J86:J92)</f>
        <v>48480.899999999994</v>
      </c>
      <c r="K93" s="784">
        <f>SUM(K86:K92)</f>
        <v>136634.1</v>
      </c>
      <c r="L93" s="784">
        <f>SUM(L86:L92)</f>
        <v>185115</v>
      </c>
      <c r="M93" s="265"/>
      <c r="N93" s="265"/>
      <c r="O93" s="265"/>
      <c r="P93" s="265"/>
      <c r="Q93" s="265"/>
      <c r="R93" s="265"/>
      <c r="S93" s="265"/>
      <c r="T93" s="265"/>
      <c r="U93" s="265"/>
      <c r="V93" s="265"/>
      <c r="W93" s="265"/>
    </row>
  </sheetData>
  <mergeCells count="35">
    <mergeCell ref="B1:K1"/>
    <mergeCell ref="A2:A4"/>
    <mergeCell ref="B2:B4"/>
    <mergeCell ref="C2:C4"/>
    <mergeCell ref="D2:F2"/>
    <mergeCell ref="H2:H4"/>
    <mergeCell ref="I2:K2"/>
    <mergeCell ref="I3:I4"/>
    <mergeCell ref="A41:A43"/>
    <mergeCell ref="B41:B43"/>
    <mergeCell ref="C41:C43"/>
    <mergeCell ref="D41:F41"/>
    <mergeCell ref="H41:H43"/>
    <mergeCell ref="D42:D43"/>
    <mergeCell ref="E42:F42"/>
    <mergeCell ref="E3:F3"/>
    <mergeCell ref="B40:K40"/>
    <mergeCell ref="L3:L4"/>
    <mergeCell ref="B37:H37"/>
    <mergeCell ref="J3:K3"/>
    <mergeCell ref="B33:H33"/>
    <mergeCell ref="G2:G4"/>
    <mergeCell ref="D3:D4"/>
    <mergeCell ref="B14:H14"/>
    <mergeCell ref="B84:H84"/>
    <mergeCell ref="B93:H93"/>
    <mergeCell ref="L42:L43"/>
    <mergeCell ref="B60:H60"/>
    <mergeCell ref="G41:G43"/>
    <mergeCell ref="I41:K41"/>
    <mergeCell ref="I42:I43"/>
    <mergeCell ref="J42:K42"/>
    <mergeCell ref="B68:H68"/>
    <mergeCell ref="B76:H76"/>
    <mergeCell ref="B64:H64"/>
  </mergeCells>
  <pageMargins left="0.59" right="0.77" top="0.75" bottom="0.75" header="0.3" footer="0.3"/>
  <pageSetup paperSize="9" scale="51" orientation="landscape" r:id="rId1"/>
  <headerFooter>
    <oddHeader>&amp;C&amp;"-,Bold"&amp;16Bright Construction Plc</oddHeader>
    <oddFooter>&amp;LContractor__________________&amp;RSupervisor_________________</oddFooter>
  </headerFooter>
  <rowBreaks count="1" manualBreakCount="1">
    <brk id="39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8"/>
  <sheetViews>
    <sheetView topLeftCell="A91" zoomScale="70" zoomScaleNormal="70" zoomScaleSheetLayoutView="70" workbookViewId="0">
      <selection activeCell="F25" sqref="F1:F65536"/>
    </sheetView>
  </sheetViews>
  <sheetFormatPr defaultColWidth="9.14453125" defaultRowHeight="14.25" x14ac:dyDescent="0.15"/>
  <cols>
    <col min="1" max="1" width="8.203125" style="345" bestFit="1" customWidth="1"/>
    <col min="2" max="2" width="38.60546875" style="71" customWidth="1"/>
    <col min="3" max="3" width="7.93359375" style="346" customWidth="1"/>
    <col min="4" max="5" width="14.2578125" style="71" customWidth="1"/>
    <col min="6" max="6" width="12.10546875" style="71" bestFit="1" customWidth="1"/>
    <col min="7" max="7" width="12.10546875" style="71" customWidth="1"/>
    <col min="8" max="8" width="12.9140625" style="71" customWidth="1"/>
    <col min="9" max="9" width="21.25390625" style="71" bestFit="1" customWidth="1"/>
    <col min="10" max="10" width="19.50390625" style="71" customWidth="1"/>
    <col min="11" max="11" width="16.140625" style="71" customWidth="1"/>
    <col min="12" max="12" width="18.4296875" style="71" customWidth="1"/>
    <col min="13" max="13" width="9.14453125" style="626"/>
    <col min="14" max="14" width="16.54296875" style="626" customWidth="1"/>
    <col min="15" max="15" width="11.56640625" style="626" bestFit="1" customWidth="1"/>
    <col min="16" max="22" width="9.14453125" style="626"/>
    <col min="23" max="16384" width="9.14453125" style="71"/>
  </cols>
  <sheetData>
    <row r="1" spans="1:22" s="254" customFormat="1" ht="21.75" customHeight="1" thickBot="1" x14ac:dyDescent="0.2">
      <c r="A1" s="253"/>
      <c r="B1" s="1116" t="s">
        <v>66</v>
      </c>
      <c r="C1" s="1116"/>
      <c r="D1" s="1116"/>
      <c r="E1" s="1116"/>
      <c r="F1" s="1116"/>
      <c r="G1" s="1116"/>
      <c r="H1" s="1116"/>
      <c r="I1" s="1116"/>
      <c r="J1" s="1116"/>
      <c r="K1" s="1116"/>
      <c r="M1" s="616"/>
      <c r="N1" s="616"/>
      <c r="O1" s="616"/>
      <c r="P1" s="616"/>
      <c r="Q1" s="616"/>
      <c r="R1" s="616"/>
      <c r="S1" s="616"/>
      <c r="T1" s="616"/>
      <c r="U1" s="616"/>
      <c r="V1" s="616"/>
    </row>
    <row r="2" spans="1:22" s="254" customFormat="1" ht="21.75" customHeight="1" x14ac:dyDescent="0.15">
      <c r="A2" s="1107" t="s">
        <v>61</v>
      </c>
      <c r="B2" s="1128" t="s">
        <v>54</v>
      </c>
      <c r="C2" s="1128" t="s">
        <v>5</v>
      </c>
      <c r="D2" s="1117" t="s">
        <v>4</v>
      </c>
      <c r="E2" s="1118"/>
      <c r="F2" s="1119"/>
      <c r="G2" s="1140" t="s">
        <v>334</v>
      </c>
      <c r="H2" s="1110" t="s">
        <v>8</v>
      </c>
      <c r="I2" s="1136" t="s">
        <v>50</v>
      </c>
      <c r="J2" s="1118"/>
      <c r="K2" s="1119"/>
      <c r="L2" s="503"/>
      <c r="M2" s="616"/>
      <c r="N2" s="616"/>
      <c r="O2" s="616"/>
      <c r="P2" s="616"/>
      <c r="Q2" s="616"/>
      <c r="R2" s="616"/>
      <c r="S2" s="616"/>
      <c r="T2" s="616"/>
      <c r="U2" s="616"/>
      <c r="V2" s="616"/>
    </row>
    <row r="3" spans="1:22" s="254" customFormat="1" ht="19.5" customHeight="1" x14ac:dyDescent="0.15">
      <c r="A3" s="1108"/>
      <c r="B3" s="1129"/>
      <c r="C3" s="1129"/>
      <c r="D3" s="1130" t="s">
        <v>62</v>
      </c>
      <c r="E3" s="1120" t="s">
        <v>63</v>
      </c>
      <c r="F3" s="1121"/>
      <c r="G3" s="1141"/>
      <c r="H3" s="1111"/>
      <c r="I3" s="1122" t="s">
        <v>6</v>
      </c>
      <c r="J3" s="1134" t="s">
        <v>7</v>
      </c>
      <c r="K3" s="1135"/>
      <c r="L3" s="1132" t="s">
        <v>336</v>
      </c>
      <c r="M3" s="616"/>
      <c r="N3" s="616"/>
      <c r="O3" s="616"/>
      <c r="P3" s="616"/>
      <c r="Q3" s="616"/>
      <c r="R3" s="616"/>
      <c r="S3" s="616"/>
      <c r="T3" s="616"/>
      <c r="U3" s="616"/>
      <c r="V3" s="616"/>
    </row>
    <row r="4" spans="1:22" s="254" customFormat="1" ht="21" customHeight="1" thickBot="1" x14ac:dyDescent="0.2">
      <c r="A4" s="1109"/>
      <c r="B4" s="1123"/>
      <c r="C4" s="1123"/>
      <c r="D4" s="1131"/>
      <c r="E4" s="255" t="s">
        <v>98</v>
      </c>
      <c r="F4" s="255" t="s">
        <v>99</v>
      </c>
      <c r="G4" s="1142"/>
      <c r="H4" s="1112"/>
      <c r="I4" s="1123"/>
      <c r="J4" s="255" t="s">
        <v>98</v>
      </c>
      <c r="K4" s="255" t="s">
        <v>99</v>
      </c>
      <c r="L4" s="1133"/>
      <c r="M4" s="616"/>
      <c r="N4" s="616"/>
      <c r="O4" s="616"/>
      <c r="P4" s="616"/>
      <c r="Q4" s="616"/>
      <c r="R4" s="616"/>
      <c r="S4" s="616"/>
      <c r="T4" s="616"/>
      <c r="U4" s="616"/>
      <c r="V4" s="616"/>
    </row>
    <row r="5" spans="1:22" s="254" customFormat="1" ht="21" customHeight="1" thickBot="1" x14ac:dyDescent="0.2">
      <c r="A5" s="280" t="s">
        <v>102</v>
      </c>
      <c r="B5" s="257" t="s">
        <v>103</v>
      </c>
      <c r="C5" s="257" t="s">
        <v>104</v>
      </c>
      <c r="D5" s="258" t="s">
        <v>105</v>
      </c>
      <c r="E5" s="258" t="s">
        <v>106</v>
      </c>
      <c r="F5" s="258" t="s">
        <v>107</v>
      </c>
      <c r="G5" s="349"/>
      <c r="H5" s="259" t="s">
        <v>108</v>
      </c>
      <c r="I5" s="257" t="s">
        <v>116</v>
      </c>
      <c r="J5" s="258" t="s">
        <v>115</v>
      </c>
      <c r="K5" s="258" t="s">
        <v>114</v>
      </c>
      <c r="L5" s="260" t="s">
        <v>113</v>
      </c>
      <c r="M5" s="616"/>
      <c r="N5" s="616"/>
      <c r="O5" s="616"/>
      <c r="P5" s="616"/>
      <c r="Q5" s="616"/>
      <c r="R5" s="616"/>
      <c r="S5" s="616"/>
      <c r="T5" s="616"/>
      <c r="U5" s="616"/>
      <c r="V5" s="616"/>
    </row>
    <row r="6" spans="1:22" x14ac:dyDescent="0.15">
      <c r="A6" s="291"/>
      <c r="B6" s="292" t="s">
        <v>9</v>
      </c>
      <c r="C6" s="293"/>
      <c r="D6" s="294"/>
      <c r="E6" s="162"/>
      <c r="F6" s="162"/>
      <c r="G6" s="347"/>
      <c r="H6" s="294"/>
      <c r="I6" s="294"/>
      <c r="J6" s="295"/>
      <c r="K6" s="295"/>
      <c r="L6" s="296"/>
    </row>
    <row r="7" spans="1:22" x14ac:dyDescent="0.15">
      <c r="A7" s="297"/>
      <c r="B7" s="298" t="s">
        <v>65</v>
      </c>
      <c r="C7" s="299"/>
      <c r="D7" s="39"/>
      <c r="E7" s="40"/>
      <c r="F7" s="40"/>
      <c r="G7" s="35"/>
      <c r="H7" s="39"/>
      <c r="I7" s="39"/>
      <c r="J7" s="231"/>
      <c r="K7" s="231"/>
      <c r="L7" s="300"/>
    </row>
    <row r="8" spans="1:22" x14ac:dyDescent="0.15">
      <c r="A8" s="301">
        <v>1.1000000000000001</v>
      </c>
      <c r="B8" s="37" t="s">
        <v>18</v>
      </c>
      <c r="C8" s="302" t="s">
        <v>11</v>
      </c>
      <c r="D8" s="31">
        <v>895</v>
      </c>
      <c r="E8" s="35">
        <v>832.28</v>
      </c>
      <c r="F8" s="35"/>
      <c r="G8" s="35">
        <f t="shared" ref="G8:G13" si="0">F8+E8</f>
        <v>832.28</v>
      </c>
      <c r="H8" s="31">
        <v>6</v>
      </c>
      <c r="I8" s="31">
        <f t="shared" ref="I8:I13" si="1">D8*H8</f>
        <v>5370</v>
      </c>
      <c r="J8" s="31">
        <f t="shared" ref="J8:J13" si="2">H8*E8</f>
        <v>4993.68</v>
      </c>
      <c r="K8" s="31">
        <f t="shared" ref="K8:K13" si="3">H8*F8</f>
        <v>0</v>
      </c>
      <c r="L8" s="300">
        <f t="shared" ref="L8:L13" si="4">K8+J8</f>
        <v>4993.68</v>
      </c>
      <c r="N8" s="627"/>
    </row>
    <row r="9" spans="1:22" x14ac:dyDescent="0.15">
      <c r="A9" s="301">
        <v>1.2</v>
      </c>
      <c r="B9" s="37" t="s">
        <v>117</v>
      </c>
      <c r="C9" s="302" t="s">
        <v>12</v>
      </c>
      <c r="D9" s="31">
        <v>1075</v>
      </c>
      <c r="E9" s="35">
        <v>491.57</v>
      </c>
      <c r="F9" s="35"/>
      <c r="G9" s="35">
        <f t="shared" si="0"/>
        <v>491.57</v>
      </c>
      <c r="H9" s="31">
        <v>25</v>
      </c>
      <c r="I9" s="31">
        <f t="shared" si="1"/>
        <v>26875</v>
      </c>
      <c r="J9" s="31">
        <f t="shared" si="2"/>
        <v>12289.25</v>
      </c>
      <c r="K9" s="31">
        <f t="shared" si="3"/>
        <v>0</v>
      </c>
      <c r="L9" s="300">
        <f t="shared" si="4"/>
        <v>12289.25</v>
      </c>
      <c r="N9" s="627"/>
    </row>
    <row r="10" spans="1:22" x14ac:dyDescent="0.15">
      <c r="A10" s="301">
        <v>1.4</v>
      </c>
      <c r="B10" s="37" t="s">
        <v>13</v>
      </c>
      <c r="C10" s="302" t="s">
        <v>12</v>
      </c>
      <c r="D10" s="31">
        <v>360</v>
      </c>
      <c r="E10" s="35"/>
      <c r="F10" s="35"/>
      <c r="G10" s="35">
        <f t="shared" si="0"/>
        <v>0</v>
      </c>
      <c r="H10" s="31">
        <v>35</v>
      </c>
      <c r="I10" s="31">
        <f t="shared" si="1"/>
        <v>12600</v>
      </c>
      <c r="J10" s="31">
        <f t="shared" si="2"/>
        <v>0</v>
      </c>
      <c r="K10" s="31">
        <f t="shared" si="3"/>
        <v>0</v>
      </c>
      <c r="L10" s="300">
        <f t="shared" si="4"/>
        <v>0</v>
      </c>
      <c r="N10" s="627"/>
    </row>
    <row r="11" spans="1:22" x14ac:dyDescent="0.15">
      <c r="A11" s="301">
        <v>1.5</v>
      </c>
      <c r="B11" s="37" t="s">
        <v>101</v>
      </c>
      <c r="C11" s="302" t="s">
        <v>12</v>
      </c>
      <c r="D11" s="31">
        <v>2000</v>
      </c>
      <c r="E11" s="35">
        <f>470.61+390.51</f>
        <v>861.12</v>
      </c>
      <c r="F11" s="35"/>
      <c r="G11" s="35">
        <f t="shared" si="0"/>
        <v>861.12</v>
      </c>
      <c r="H11" s="31">
        <v>40</v>
      </c>
      <c r="I11" s="31">
        <f t="shared" si="1"/>
        <v>80000</v>
      </c>
      <c r="J11" s="31">
        <f t="shared" si="2"/>
        <v>34444.800000000003</v>
      </c>
      <c r="K11" s="31">
        <f t="shared" si="3"/>
        <v>0</v>
      </c>
      <c r="L11" s="300">
        <f t="shared" si="4"/>
        <v>34444.800000000003</v>
      </c>
      <c r="N11" s="627"/>
    </row>
    <row r="12" spans="1:22" x14ac:dyDescent="0.15">
      <c r="A12" s="301">
        <v>1.6</v>
      </c>
      <c r="B12" s="45" t="s">
        <v>87</v>
      </c>
      <c r="C12" s="303" t="s">
        <v>12</v>
      </c>
      <c r="D12" s="31">
        <v>1700</v>
      </c>
      <c r="E12" s="35">
        <v>720.29</v>
      </c>
      <c r="F12" s="35">
        <v>0</v>
      </c>
      <c r="G12" s="35">
        <f t="shared" si="0"/>
        <v>720.29</v>
      </c>
      <c r="H12" s="37">
        <v>25</v>
      </c>
      <c r="I12" s="31">
        <f t="shared" si="1"/>
        <v>42500</v>
      </c>
      <c r="J12" s="31">
        <f t="shared" si="2"/>
        <v>18007.25</v>
      </c>
      <c r="K12" s="31">
        <f t="shared" si="3"/>
        <v>0</v>
      </c>
      <c r="L12" s="300">
        <f t="shared" si="4"/>
        <v>18007.25</v>
      </c>
      <c r="N12" s="627"/>
    </row>
    <row r="13" spans="1:22" x14ac:dyDescent="0.15">
      <c r="A13" s="304">
        <v>1.7</v>
      </c>
      <c r="B13" s="305" t="s">
        <v>94</v>
      </c>
      <c r="C13" s="51" t="s">
        <v>12</v>
      </c>
      <c r="D13" s="50">
        <v>685</v>
      </c>
      <c r="E13" s="51">
        <v>634.14</v>
      </c>
      <c r="F13" s="35"/>
      <c r="G13" s="35">
        <f t="shared" si="0"/>
        <v>634.14</v>
      </c>
      <c r="H13" s="50">
        <v>105</v>
      </c>
      <c r="I13" s="31">
        <f t="shared" si="1"/>
        <v>71925</v>
      </c>
      <c r="J13" s="31">
        <f t="shared" si="2"/>
        <v>66584.7</v>
      </c>
      <c r="K13" s="31">
        <f t="shared" si="3"/>
        <v>0</v>
      </c>
      <c r="L13" s="300">
        <f t="shared" si="4"/>
        <v>66584.7</v>
      </c>
      <c r="N13" s="627"/>
    </row>
    <row r="14" spans="1:22" s="569" customFormat="1" ht="24.95" customHeight="1" thickBot="1" x14ac:dyDescent="0.2">
      <c r="A14" s="579"/>
      <c r="B14" s="1102" t="s">
        <v>64</v>
      </c>
      <c r="C14" s="1102"/>
      <c r="D14" s="1102"/>
      <c r="E14" s="1102"/>
      <c r="F14" s="1102"/>
      <c r="G14" s="1102"/>
      <c r="H14" s="1103"/>
      <c r="I14" s="568">
        <f>SUM(I8:I13)</f>
        <v>239270</v>
      </c>
      <c r="J14" s="568">
        <f>SUM(J8:J13)</f>
        <v>136319.67999999999</v>
      </c>
      <c r="K14" s="568">
        <f>SUM(K8:K13)</f>
        <v>0</v>
      </c>
      <c r="L14" s="568">
        <f>SUM(L8:L13)</f>
        <v>136319.67999999999</v>
      </c>
      <c r="M14" s="616"/>
      <c r="N14" s="616"/>
      <c r="O14" s="90"/>
      <c r="P14" s="616"/>
      <c r="Q14" s="616"/>
      <c r="R14" s="616"/>
      <c r="S14" s="616"/>
      <c r="T14" s="616"/>
      <c r="U14" s="616"/>
      <c r="V14" s="616"/>
    </row>
    <row r="15" spans="1:22" x14ac:dyDescent="0.15">
      <c r="A15" s="307"/>
      <c r="B15" s="308" t="s">
        <v>19</v>
      </c>
      <c r="C15" s="309"/>
      <c r="D15" s="56"/>
      <c r="E15" s="57"/>
      <c r="F15" s="57"/>
      <c r="G15" s="75"/>
      <c r="H15" s="56"/>
      <c r="I15" s="56"/>
      <c r="J15" s="56"/>
      <c r="K15" s="56"/>
      <c r="L15" s="311"/>
      <c r="N15" s="628"/>
      <c r="O15" s="90"/>
    </row>
    <row r="16" spans="1:22" x14ac:dyDescent="0.15">
      <c r="A16" s="301">
        <v>2.1</v>
      </c>
      <c r="B16" s="37" t="s">
        <v>20</v>
      </c>
      <c r="C16" s="302"/>
      <c r="D16" s="39"/>
      <c r="E16" s="40"/>
      <c r="F16" s="40"/>
      <c r="G16" s="35"/>
      <c r="H16" s="31"/>
      <c r="I16" s="39"/>
      <c r="J16" s="39"/>
      <c r="K16" s="39"/>
      <c r="L16" s="300"/>
      <c r="N16" s="628"/>
      <c r="O16" s="90"/>
    </row>
    <row r="17" spans="1:15" x14ac:dyDescent="0.15">
      <c r="A17" s="313"/>
      <c r="B17" s="37" t="s">
        <v>21</v>
      </c>
      <c r="C17" s="302" t="s">
        <v>11</v>
      </c>
      <c r="D17" s="31">
        <v>180</v>
      </c>
      <c r="E17" s="35">
        <v>162.44999999999999</v>
      </c>
      <c r="F17" s="35"/>
      <c r="G17" s="35">
        <f>F17+E17</f>
        <v>162.44999999999999</v>
      </c>
      <c r="H17" s="31">
        <v>65</v>
      </c>
      <c r="I17" s="31">
        <f>D17*H17</f>
        <v>11700</v>
      </c>
      <c r="J17" s="31">
        <f>H17*E17</f>
        <v>10559.25</v>
      </c>
      <c r="K17" s="31">
        <f>H17*F17</f>
        <v>0</v>
      </c>
      <c r="L17" s="300">
        <f>K17+J17</f>
        <v>10559.25</v>
      </c>
      <c r="N17" s="627"/>
      <c r="O17" s="90"/>
    </row>
    <row r="18" spans="1:15" x14ac:dyDescent="0.15">
      <c r="A18" s="313"/>
      <c r="B18" s="37" t="s">
        <v>286</v>
      </c>
      <c r="C18" s="302" t="s">
        <v>11</v>
      </c>
      <c r="D18" s="31">
        <v>115</v>
      </c>
      <c r="E18" s="35">
        <v>0</v>
      </c>
      <c r="F18" s="35"/>
      <c r="G18" s="35">
        <f t="shared" ref="G18:G33" si="5">F18+E18</f>
        <v>0</v>
      </c>
      <c r="H18" s="31">
        <v>65</v>
      </c>
      <c r="I18" s="31">
        <f t="shared" ref="I18:I33" si="6">D18*H18</f>
        <v>7475</v>
      </c>
      <c r="J18" s="31">
        <f t="shared" ref="J18:J33" si="7">H18*E18</f>
        <v>0</v>
      </c>
      <c r="K18" s="31">
        <f t="shared" ref="K18:K33" si="8">H18*F18</f>
        <v>0</v>
      </c>
      <c r="L18" s="300">
        <f t="shared" ref="L18:L33" si="9">K18+J18</f>
        <v>0</v>
      </c>
      <c r="N18" s="627"/>
      <c r="O18" s="90"/>
    </row>
    <row r="19" spans="1:15" x14ac:dyDescent="0.15">
      <c r="A19" s="301"/>
      <c r="B19" s="37" t="s">
        <v>22</v>
      </c>
      <c r="C19" s="302" t="s">
        <v>11</v>
      </c>
      <c r="D19" s="31">
        <v>35</v>
      </c>
      <c r="E19" s="35">
        <v>48</v>
      </c>
      <c r="F19" s="35">
        <f>48-E19</f>
        <v>0</v>
      </c>
      <c r="G19" s="35">
        <f t="shared" si="5"/>
        <v>48</v>
      </c>
      <c r="H19" s="31">
        <v>73</v>
      </c>
      <c r="I19" s="31">
        <f t="shared" si="6"/>
        <v>2555</v>
      </c>
      <c r="J19" s="31">
        <f t="shared" si="7"/>
        <v>3504</v>
      </c>
      <c r="K19" s="31">
        <f t="shared" si="8"/>
        <v>0</v>
      </c>
      <c r="L19" s="300">
        <f t="shared" si="9"/>
        <v>3504</v>
      </c>
      <c r="N19" s="627"/>
      <c r="O19" s="90"/>
    </row>
    <row r="20" spans="1:15" x14ac:dyDescent="0.15">
      <c r="A20" s="314">
        <v>2.2000000000000002</v>
      </c>
      <c r="B20" s="315" t="s">
        <v>165</v>
      </c>
      <c r="C20" s="35" t="s">
        <v>11</v>
      </c>
      <c r="D20" s="31">
        <f>D13</f>
        <v>685</v>
      </c>
      <c r="E20" s="35">
        <v>631.45000000000005</v>
      </c>
      <c r="F20" s="35"/>
      <c r="G20" s="35">
        <f t="shared" si="5"/>
        <v>631.45000000000005</v>
      </c>
      <c r="H20" s="31">
        <v>260</v>
      </c>
      <c r="I20" s="31">
        <f t="shared" si="6"/>
        <v>178100</v>
      </c>
      <c r="J20" s="31">
        <f t="shared" si="7"/>
        <v>164177</v>
      </c>
      <c r="K20" s="31">
        <f t="shared" si="8"/>
        <v>0</v>
      </c>
      <c r="L20" s="300">
        <f t="shared" si="9"/>
        <v>164177</v>
      </c>
      <c r="N20" s="627"/>
    </row>
    <row r="21" spans="1:15" x14ac:dyDescent="0.15">
      <c r="A21" s="301">
        <v>2.2999999999999998</v>
      </c>
      <c r="B21" s="316" t="s">
        <v>110</v>
      </c>
      <c r="C21" s="302"/>
      <c r="D21" s="31"/>
      <c r="E21" s="35"/>
      <c r="F21" s="35"/>
      <c r="G21" s="35">
        <f t="shared" si="5"/>
        <v>0</v>
      </c>
      <c r="H21" s="31"/>
      <c r="I21" s="31">
        <f t="shared" si="6"/>
        <v>0</v>
      </c>
      <c r="J21" s="31">
        <f t="shared" si="7"/>
        <v>0</v>
      </c>
      <c r="K21" s="31">
        <f t="shared" si="8"/>
        <v>0</v>
      </c>
      <c r="L21" s="300">
        <f t="shared" si="9"/>
        <v>0</v>
      </c>
      <c r="N21" s="627"/>
    </row>
    <row r="22" spans="1:15" x14ac:dyDescent="0.15">
      <c r="A22" s="301"/>
      <c r="B22" s="37" t="s">
        <v>84</v>
      </c>
      <c r="C22" s="302" t="s">
        <v>12</v>
      </c>
      <c r="D22" s="31">
        <v>35</v>
      </c>
      <c r="E22" s="35">
        <v>33.090000000000003</v>
      </c>
      <c r="F22" s="35"/>
      <c r="G22" s="35">
        <f t="shared" si="5"/>
        <v>33.090000000000003</v>
      </c>
      <c r="H22" s="31">
        <v>2600</v>
      </c>
      <c r="I22" s="31">
        <f t="shared" si="6"/>
        <v>91000</v>
      </c>
      <c r="J22" s="31">
        <f t="shared" si="7"/>
        <v>86034.000000000015</v>
      </c>
      <c r="K22" s="31">
        <f t="shared" si="8"/>
        <v>0</v>
      </c>
      <c r="L22" s="300">
        <f t="shared" si="9"/>
        <v>86034.000000000015</v>
      </c>
      <c r="N22" s="627"/>
    </row>
    <row r="23" spans="1:15" x14ac:dyDescent="0.15">
      <c r="A23" s="301"/>
      <c r="B23" s="37" t="s">
        <v>23</v>
      </c>
      <c r="C23" s="302" t="s">
        <v>12</v>
      </c>
      <c r="D23" s="31">
        <v>6.5</v>
      </c>
      <c r="E23" s="35">
        <v>9.6</v>
      </c>
      <c r="F23" s="35">
        <f>9.6-E23</f>
        <v>0</v>
      </c>
      <c r="G23" s="35">
        <f t="shared" si="5"/>
        <v>9.6</v>
      </c>
      <c r="H23" s="31">
        <v>2600</v>
      </c>
      <c r="I23" s="31">
        <f t="shared" si="6"/>
        <v>16900</v>
      </c>
      <c r="J23" s="31">
        <f t="shared" si="7"/>
        <v>24960</v>
      </c>
      <c r="K23" s="31">
        <f t="shared" si="8"/>
        <v>0</v>
      </c>
      <c r="L23" s="300">
        <f t="shared" si="9"/>
        <v>24960</v>
      </c>
      <c r="N23" s="627"/>
    </row>
    <row r="24" spans="1:15" x14ac:dyDescent="0.15">
      <c r="A24" s="301"/>
      <c r="B24" s="37" t="s">
        <v>24</v>
      </c>
      <c r="C24" s="302" t="s">
        <v>12</v>
      </c>
      <c r="D24" s="31">
        <v>4.5</v>
      </c>
      <c r="E24" s="35">
        <f>3.98+0.82</f>
        <v>4.8</v>
      </c>
      <c r="F24" s="35"/>
      <c r="G24" s="35">
        <f t="shared" si="5"/>
        <v>4.8</v>
      </c>
      <c r="H24" s="31">
        <v>2600</v>
      </c>
      <c r="I24" s="31">
        <f t="shared" si="6"/>
        <v>11700</v>
      </c>
      <c r="J24" s="31">
        <f t="shared" si="7"/>
        <v>12480</v>
      </c>
      <c r="K24" s="31">
        <f t="shared" si="8"/>
        <v>0</v>
      </c>
      <c r="L24" s="300">
        <f t="shared" si="9"/>
        <v>12480</v>
      </c>
      <c r="N24" s="627"/>
    </row>
    <row r="25" spans="1:15" x14ac:dyDescent="0.15">
      <c r="A25" s="301">
        <v>2.4</v>
      </c>
      <c r="B25" s="316" t="s">
        <v>109</v>
      </c>
      <c r="C25" s="302"/>
      <c r="D25" s="31"/>
      <c r="E25" s="35"/>
      <c r="F25" s="35">
        <f>N25-E25</f>
        <v>0</v>
      </c>
      <c r="G25" s="35">
        <f t="shared" si="5"/>
        <v>0</v>
      </c>
      <c r="H25" s="31"/>
      <c r="I25" s="31">
        <f t="shared" si="6"/>
        <v>0</v>
      </c>
      <c r="J25" s="31">
        <f t="shared" si="7"/>
        <v>0</v>
      </c>
      <c r="K25" s="31">
        <f t="shared" si="8"/>
        <v>0</v>
      </c>
      <c r="L25" s="300">
        <f t="shared" si="9"/>
        <v>0</v>
      </c>
      <c r="N25" s="627"/>
    </row>
    <row r="26" spans="1:15" x14ac:dyDescent="0.15">
      <c r="A26" s="301"/>
      <c r="B26" s="37" t="s">
        <v>84</v>
      </c>
      <c r="C26" s="302" t="s">
        <v>11</v>
      </c>
      <c r="D26" s="31">
        <v>265</v>
      </c>
      <c r="E26" s="35">
        <v>261.83999999999997</v>
      </c>
      <c r="F26" s="35"/>
      <c r="G26" s="35">
        <f t="shared" si="5"/>
        <v>261.83999999999997</v>
      </c>
      <c r="H26" s="31">
        <v>85</v>
      </c>
      <c r="I26" s="31">
        <f t="shared" si="6"/>
        <v>22525</v>
      </c>
      <c r="J26" s="31">
        <f t="shared" si="7"/>
        <v>22256.399999999998</v>
      </c>
      <c r="K26" s="31">
        <f t="shared" si="8"/>
        <v>0</v>
      </c>
      <c r="L26" s="300">
        <f t="shared" si="9"/>
        <v>22256.399999999998</v>
      </c>
      <c r="N26" s="627"/>
    </row>
    <row r="27" spans="1:15" x14ac:dyDescent="0.15">
      <c r="A27" s="301"/>
      <c r="B27" s="37" t="s">
        <v>23</v>
      </c>
      <c r="C27" s="302" t="s">
        <v>11</v>
      </c>
      <c r="D27" s="31">
        <v>27</v>
      </c>
      <c r="E27" s="35">
        <v>38.4</v>
      </c>
      <c r="F27" s="35"/>
      <c r="G27" s="35">
        <f t="shared" si="5"/>
        <v>38.4</v>
      </c>
      <c r="H27" s="31">
        <v>85</v>
      </c>
      <c r="I27" s="31">
        <f t="shared" si="6"/>
        <v>2295</v>
      </c>
      <c r="J27" s="31">
        <f t="shared" si="7"/>
        <v>3264</v>
      </c>
      <c r="K27" s="31">
        <f t="shared" si="8"/>
        <v>0</v>
      </c>
      <c r="L27" s="300">
        <f t="shared" si="9"/>
        <v>3264</v>
      </c>
      <c r="N27" s="627"/>
    </row>
    <row r="28" spans="1:15" x14ac:dyDescent="0.15">
      <c r="A28" s="301"/>
      <c r="B28" s="37" t="s">
        <v>24</v>
      </c>
      <c r="C28" s="302" t="s">
        <v>11</v>
      </c>
      <c r="D28" s="31">
        <v>100</v>
      </c>
      <c r="E28" s="35">
        <f>95.62+0.38</f>
        <v>96</v>
      </c>
      <c r="F28" s="35">
        <f>96-E28</f>
        <v>0</v>
      </c>
      <c r="G28" s="35">
        <f t="shared" si="5"/>
        <v>96</v>
      </c>
      <c r="H28" s="31">
        <v>85</v>
      </c>
      <c r="I28" s="31">
        <f t="shared" si="6"/>
        <v>8500</v>
      </c>
      <c r="J28" s="31">
        <f t="shared" si="7"/>
        <v>8160</v>
      </c>
      <c r="K28" s="31">
        <f t="shared" si="8"/>
        <v>0</v>
      </c>
      <c r="L28" s="300">
        <f t="shared" si="9"/>
        <v>8160</v>
      </c>
      <c r="N28" s="627"/>
    </row>
    <row r="29" spans="1:15" x14ac:dyDescent="0.15">
      <c r="A29" s="301">
        <v>2.5</v>
      </c>
      <c r="B29" s="316" t="s">
        <v>15</v>
      </c>
      <c r="C29" s="302"/>
      <c r="D29" s="31"/>
      <c r="E29" s="35"/>
      <c r="F29" s="35"/>
      <c r="G29" s="35">
        <f t="shared" si="5"/>
        <v>0</v>
      </c>
      <c r="H29" s="31"/>
      <c r="I29" s="31">
        <f t="shared" si="6"/>
        <v>0</v>
      </c>
      <c r="J29" s="31">
        <f t="shared" si="7"/>
        <v>0</v>
      </c>
      <c r="K29" s="31">
        <f t="shared" si="8"/>
        <v>0</v>
      </c>
      <c r="L29" s="300">
        <f t="shared" si="9"/>
        <v>0</v>
      </c>
      <c r="N29" s="627"/>
    </row>
    <row r="30" spans="1:15" x14ac:dyDescent="0.15">
      <c r="A30" s="301"/>
      <c r="B30" s="37" t="s">
        <v>85</v>
      </c>
      <c r="C30" s="302" t="s">
        <v>16</v>
      </c>
      <c r="D30" s="31">
        <v>2850</v>
      </c>
      <c r="E30" s="35">
        <f>2643.87+73.55</f>
        <v>2717.42</v>
      </c>
      <c r="F30" s="35"/>
      <c r="G30" s="35">
        <f t="shared" si="5"/>
        <v>2717.42</v>
      </c>
      <c r="H30" s="31">
        <v>34</v>
      </c>
      <c r="I30" s="31">
        <f t="shared" si="6"/>
        <v>96900</v>
      </c>
      <c r="J30" s="31">
        <f t="shared" si="7"/>
        <v>92392.28</v>
      </c>
      <c r="K30" s="31">
        <f t="shared" si="8"/>
        <v>0</v>
      </c>
      <c r="L30" s="300">
        <f t="shared" si="9"/>
        <v>92392.28</v>
      </c>
      <c r="N30" s="627"/>
    </row>
    <row r="31" spans="1:15" x14ac:dyDescent="0.15">
      <c r="A31" s="301"/>
      <c r="B31" s="37" t="s">
        <v>25</v>
      </c>
      <c r="C31" s="302" t="s">
        <v>16</v>
      </c>
      <c r="D31" s="31">
        <v>610</v>
      </c>
      <c r="E31" s="35">
        <f>1323.05+1460.16</f>
        <v>2783.21</v>
      </c>
      <c r="F31" s="35"/>
      <c r="G31" s="35">
        <f t="shared" si="5"/>
        <v>2783.21</v>
      </c>
      <c r="H31" s="31">
        <v>34</v>
      </c>
      <c r="I31" s="31">
        <f t="shared" si="6"/>
        <v>20740</v>
      </c>
      <c r="J31" s="31">
        <f t="shared" si="7"/>
        <v>94629.14</v>
      </c>
      <c r="K31" s="31">
        <f t="shared" si="8"/>
        <v>0</v>
      </c>
      <c r="L31" s="300">
        <f t="shared" si="9"/>
        <v>94629.14</v>
      </c>
      <c r="N31" s="627"/>
    </row>
    <row r="32" spans="1:15" x14ac:dyDescent="0.15">
      <c r="A32" s="301"/>
      <c r="B32" s="37" t="s">
        <v>26</v>
      </c>
      <c r="C32" s="302" t="s">
        <v>16</v>
      </c>
      <c r="D32" s="31">
        <v>3430</v>
      </c>
      <c r="E32" s="35">
        <f>824.76+3496.15</f>
        <v>4320.91</v>
      </c>
      <c r="F32" s="35"/>
      <c r="G32" s="35">
        <f t="shared" si="5"/>
        <v>4320.91</v>
      </c>
      <c r="H32" s="31">
        <v>35</v>
      </c>
      <c r="I32" s="31">
        <f t="shared" si="6"/>
        <v>120050</v>
      </c>
      <c r="J32" s="31">
        <f t="shared" si="7"/>
        <v>151231.85</v>
      </c>
      <c r="K32" s="31">
        <f t="shared" si="8"/>
        <v>0</v>
      </c>
      <c r="L32" s="300">
        <f t="shared" si="9"/>
        <v>151231.85</v>
      </c>
      <c r="N32" s="627"/>
    </row>
    <row r="33" spans="1:22" x14ac:dyDescent="0.15">
      <c r="A33" s="304">
        <v>2.6</v>
      </c>
      <c r="B33" s="317" t="s">
        <v>199</v>
      </c>
      <c r="C33" s="51" t="s">
        <v>174</v>
      </c>
      <c r="D33" s="50">
        <v>485</v>
      </c>
      <c r="E33" s="51">
        <v>538.1</v>
      </c>
      <c r="F33" s="35"/>
      <c r="G33" s="35">
        <f t="shared" si="5"/>
        <v>538.1</v>
      </c>
      <c r="H33" s="50">
        <v>35</v>
      </c>
      <c r="I33" s="31">
        <f t="shared" si="6"/>
        <v>16975</v>
      </c>
      <c r="J33" s="31">
        <f t="shared" si="7"/>
        <v>18833.5</v>
      </c>
      <c r="K33" s="31">
        <f t="shared" si="8"/>
        <v>0</v>
      </c>
      <c r="L33" s="300">
        <f t="shared" si="9"/>
        <v>18833.5</v>
      </c>
      <c r="N33" s="627"/>
    </row>
    <row r="34" spans="1:22" s="569" customFormat="1" ht="24.95" customHeight="1" thickBot="1" x14ac:dyDescent="0.2">
      <c r="A34" s="579"/>
      <c r="B34" s="1102" t="s">
        <v>64</v>
      </c>
      <c r="C34" s="1102"/>
      <c r="D34" s="1102"/>
      <c r="E34" s="1102"/>
      <c r="F34" s="1102"/>
      <c r="G34" s="1102"/>
      <c r="H34" s="1103"/>
      <c r="I34" s="568">
        <f>SUM(I17:I33)</f>
        <v>607415</v>
      </c>
      <c r="J34" s="568">
        <f>SUM(J17:J33)</f>
        <v>692481.42</v>
      </c>
      <c r="K34" s="568">
        <f>SUM(K17:K33)</f>
        <v>0</v>
      </c>
      <c r="L34" s="568">
        <f>SUM(L17:L33)</f>
        <v>692481.42</v>
      </c>
      <c r="M34" s="616"/>
      <c r="N34" s="616"/>
      <c r="O34" s="616"/>
      <c r="P34" s="616"/>
      <c r="Q34" s="616"/>
      <c r="R34" s="616"/>
      <c r="S34" s="616"/>
      <c r="T34" s="616"/>
      <c r="U34" s="616"/>
      <c r="V34" s="616"/>
    </row>
    <row r="35" spans="1:22" x14ac:dyDescent="0.15">
      <c r="A35" s="307">
        <v>3</v>
      </c>
      <c r="B35" s="308" t="s">
        <v>17</v>
      </c>
      <c r="C35" s="309"/>
      <c r="D35" s="56"/>
      <c r="E35" s="57"/>
      <c r="F35" s="57"/>
      <c r="G35" s="75"/>
      <c r="H35" s="56"/>
      <c r="I35" s="56"/>
      <c r="J35" s="56"/>
      <c r="K35" s="56"/>
      <c r="L35" s="311"/>
      <c r="N35" s="628"/>
    </row>
    <row r="36" spans="1:22" x14ac:dyDescent="0.15">
      <c r="A36" s="301">
        <v>3.1</v>
      </c>
      <c r="B36" s="37" t="s">
        <v>118</v>
      </c>
      <c r="C36" s="302" t="s">
        <v>12</v>
      </c>
      <c r="D36" s="31">
        <v>50</v>
      </c>
      <c r="E36" s="35">
        <f>56.1+51.51</f>
        <v>107.61</v>
      </c>
      <c r="F36" s="35"/>
      <c r="G36" s="35"/>
      <c r="H36" s="31">
        <v>800</v>
      </c>
      <c r="I36" s="50">
        <f>D36*H36</f>
        <v>40000</v>
      </c>
      <c r="J36" s="50">
        <f>H36*E36</f>
        <v>86088</v>
      </c>
      <c r="K36" s="50">
        <f>H36*F36</f>
        <v>0</v>
      </c>
      <c r="L36" s="300">
        <f>K36+J36</f>
        <v>86088</v>
      </c>
      <c r="N36" s="627"/>
    </row>
    <row r="37" spans="1:22" x14ac:dyDescent="0.15">
      <c r="A37" s="318">
        <v>3.2</v>
      </c>
      <c r="B37" s="319" t="s">
        <v>119</v>
      </c>
      <c r="C37" s="320" t="s">
        <v>12</v>
      </c>
      <c r="D37" s="50">
        <v>52</v>
      </c>
      <c r="E37" s="51">
        <v>139.91999999999999</v>
      </c>
      <c r="F37" s="35"/>
      <c r="G37" s="51"/>
      <c r="H37" s="50">
        <v>880</v>
      </c>
      <c r="I37" s="50">
        <f>D37*H37</f>
        <v>45760</v>
      </c>
      <c r="J37" s="50">
        <f>H37*E37</f>
        <v>123129.59999999999</v>
      </c>
      <c r="K37" s="50">
        <f>H37*F37</f>
        <v>0</v>
      </c>
      <c r="L37" s="300">
        <f>K37+J37</f>
        <v>123129.59999999999</v>
      </c>
      <c r="N37" s="627"/>
    </row>
    <row r="38" spans="1:22" s="569" customFormat="1" ht="24.95" customHeight="1" thickBot="1" x14ac:dyDescent="0.2">
      <c r="A38" s="579"/>
      <c r="B38" s="1102" t="s">
        <v>64</v>
      </c>
      <c r="C38" s="1102"/>
      <c r="D38" s="1102"/>
      <c r="E38" s="1102"/>
      <c r="F38" s="1102"/>
      <c r="G38" s="1102"/>
      <c r="H38" s="1103"/>
      <c r="I38" s="568">
        <f>SUM(I36:I37)</f>
        <v>85760</v>
      </c>
      <c r="J38" s="568">
        <f>SUM(J36:J37)</f>
        <v>209217.59999999998</v>
      </c>
      <c r="K38" s="568">
        <f>SUM(K36:K37)</f>
        <v>0</v>
      </c>
      <c r="L38" s="568">
        <f>SUM(L36:L37)</f>
        <v>209217.59999999998</v>
      </c>
      <c r="M38" s="616"/>
      <c r="N38" s="616"/>
      <c r="O38" s="616"/>
      <c r="P38" s="616"/>
      <c r="Q38" s="616"/>
      <c r="R38" s="616"/>
      <c r="S38" s="616"/>
      <c r="T38" s="616"/>
      <c r="U38" s="616"/>
      <c r="V38" s="616"/>
    </row>
    <row r="39" spans="1:22" x14ac:dyDescent="0.15">
      <c r="A39" s="321"/>
      <c r="B39" s="84"/>
      <c r="C39" s="322"/>
      <c r="D39" s="84"/>
      <c r="E39" s="84"/>
      <c r="F39" s="84"/>
      <c r="G39" s="84"/>
      <c r="H39" s="84"/>
      <c r="I39" s="84"/>
      <c r="J39" s="84"/>
      <c r="K39" s="84"/>
      <c r="L39" s="84"/>
    </row>
    <row r="40" spans="1:22" x14ac:dyDescent="0.15">
      <c r="A40" s="323"/>
      <c r="B40" s="324"/>
      <c r="C40" s="323"/>
      <c r="D40" s="324"/>
      <c r="E40" s="324"/>
      <c r="F40" s="324"/>
      <c r="G40" s="324"/>
      <c r="H40" s="324"/>
      <c r="I40" s="324"/>
      <c r="J40" s="324"/>
      <c r="K40" s="324"/>
      <c r="L40" s="324"/>
    </row>
    <row r="41" spans="1:22" ht="15" thickBot="1" x14ac:dyDescent="0.2">
      <c r="A41" s="279"/>
      <c r="B41" s="1127" t="s">
        <v>86</v>
      </c>
      <c r="C41" s="1127"/>
      <c r="D41" s="1127"/>
      <c r="E41" s="1127"/>
      <c r="F41" s="1127"/>
      <c r="G41" s="1127"/>
      <c r="H41" s="1127"/>
      <c r="I41" s="1127"/>
      <c r="J41" s="1127"/>
      <c r="K41" s="1127"/>
      <c r="L41" s="90"/>
    </row>
    <row r="42" spans="1:22" s="254" customFormat="1" ht="21.75" customHeight="1" x14ac:dyDescent="0.15">
      <c r="A42" s="1107" t="s">
        <v>61</v>
      </c>
      <c r="B42" s="1128" t="s">
        <v>54</v>
      </c>
      <c r="C42" s="1128" t="s">
        <v>5</v>
      </c>
      <c r="D42" s="1117" t="s">
        <v>4</v>
      </c>
      <c r="E42" s="1118"/>
      <c r="F42" s="1119"/>
      <c r="G42" s="1140" t="s">
        <v>334</v>
      </c>
      <c r="H42" s="1110" t="s">
        <v>8</v>
      </c>
      <c r="I42" s="1136" t="s">
        <v>50</v>
      </c>
      <c r="J42" s="1118"/>
      <c r="K42" s="1119"/>
      <c r="L42" s="503"/>
      <c r="M42" s="616"/>
      <c r="N42" s="616"/>
      <c r="O42" s="616"/>
      <c r="P42" s="616"/>
      <c r="Q42" s="616"/>
      <c r="R42" s="616"/>
      <c r="S42" s="616"/>
      <c r="T42" s="616"/>
      <c r="U42" s="616"/>
      <c r="V42" s="616"/>
    </row>
    <row r="43" spans="1:22" s="254" customFormat="1" ht="19.5" customHeight="1" x14ac:dyDescent="0.15">
      <c r="A43" s="1108"/>
      <c r="B43" s="1129"/>
      <c r="C43" s="1129"/>
      <c r="D43" s="1130" t="s">
        <v>62</v>
      </c>
      <c r="E43" s="1120" t="s">
        <v>63</v>
      </c>
      <c r="F43" s="1121"/>
      <c r="G43" s="1141"/>
      <c r="H43" s="1111"/>
      <c r="I43" s="1122" t="s">
        <v>6</v>
      </c>
      <c r="J43" s="1134" t="s">
        <v>7</v>
      </c>
      <c r="K43" s="1135"/>
      <c r="L43" s="1132" t="s">
        <v>7</v>
      </c>
      <c r="M43" s="616"/>
      <c r="N43" s="616"/>
      <c r="O43" s="616"/>
      <c r="P43" s="616"/>
      <c r="Q43" s="616"/>
      <c r="R43" s="616"/>
      <c r="S43" s="616"/>
      <c r="T43" s="616"/>
      <c r="U43" s="616"/>
      <c r="V43" s="616"/>
    </row>
    <row r="44" spans="1:22" s="254" customFormat="1" ht="21" customHeight="1" thickBot="1" x14ac:dyDescent="0.2">
      <c r="A44" s="1109"/>
      <c r="B44" s="1123"/>
      <c r="C44" s="1123"/>
      <c r="D44" s="1131"/>
      <c r="E44" s="255" t="s">
        <v>98</v>
      </c>
      <c r="F44" s="255" t="s">
        <v>99</v>
      </c>
      <c r="G44" s="1141"/>
      <c r="H44" s="1112"/>
      <c r="I44" s="1123"/>
      <c r="J44" s="255" t="s">
        <v>98</v>
      </c>
      <c r="K44" s="255" t="s">
        <v>99</v>
      </c>
      <c r="L44" s="1133"/>
      <c r="M44" s="616"/>
      <c r="N44" s="616"/>
      <c r="O44" s="616"/>
      <c r="P44" s="616"/>
      <c r="Q44" s="616"/>
      <c r="R44" s="616"/>
      <c r="S44" s="616"/>
      <c r="T44" s="616"/>
      <c r="U44" s="616"/>
      <c r="V44" s="616"/>
    </row>
    <row r="45" spans="1:22" s="254" customFormat="1" ht="21" customHeight="1" thickBot="1" x14ac:dyDescent="0.2">
      <c r="A45" s="280" t="s">
        <v>102</v>
      </c>
      <c r="B45" s="257" t="s">
        <v>103</v>
      </c>
      <c r="C45" s="257" t="s">
        <v>104</v>
      </c>
      <c r="D45" s="258" t="s">
        <v>105</v>
      </c>
      <c r="E45" s="258" t="s">
        <v>106</v>
      </c>
      <c r="F45" s="258" t="s">
        <v>107</v>
      </c>
      <c r="G45" s="1142"/>
      <c r="H45" s="259" t="s">
        <v>108</v>
      </c>
      <c r="I45" s="257" t="s">
        <v>116</v>
      </c>
      <c r="J45" s="258" t="s">
        <v>115</v>
      </c>
      <c r="K45" s="258" t="s">
        <v>114</v>
      </c>
      <c r="L45" s="260" t="s">
        <v>113</v>
      </c>
      <c r="M45" s="616"/>
      <c r="N45" s="616"/>
      <c r="O45" s="616"/>
      <c r="P45" s="616"/>
      <c r="Q45" s="616"/>
      <c r="R45" s="616"/>
      <c r="S45" s="616"/>
      <c r="T45" s="616"/>
      <c r="U45" s="616"/>
      <c r="V45" s="616"/>
    </row>
    <row r="46" spans="1:22" x14ac:dyDescent="0.15">
      <c r="A46" s="325"/>
      <c r="B46" s="326" t="s">
        <v>75</v>
      </c>
      <c r="C46" s="162"/>
      <c r="D46" s="294"/>
      <c r="E46" s="162"/>
      <c r="F46" s="162"/>
      <c r="G46" s="347"/>
      <c r="H46" s="294"/>
      <c r="I46" s="294"/>
      <c r="J46" s="295"/>
      <c r="K46" s="295"/>
      <c r="L46" s="296"/>
    </row>
    <row r="47" spans="1:22" x14ac:dyDescent="0.15">
      <c r="A47" s="327"/>
      <c r="B47" s="328" t="s">
        <v>76</v>
      </c>
      <c r="C47" s="40"/>
      <c r="D47" s="39"/>
      <c r="E47" s="40"/>
      <c r="F47" s="40"/>
      <c r="G47" s="35"/>
      <c r="H47" s="39"/>
      <c r="I47" s="39"/>
      <c r="J47" s="231"/>
      <c r="K47" s="231"/>
      <c r="L47" s="300"/>
    </row>
    <row r="48" spans="1:22" x14ac:dyDescent="0.15">
      <c r="A48" s="314">
        <v>1.01</v>
      </c>
      <c r="B48" s="328" t="s">
        <v>120</v>
      </c>
      <c r="C48" s="35"/>
      <c r="D48" s="31"/>
      <c r="E48" s="35"/>
      <c r="F48" s="35"/>
      <c r="G48" s="35"/>
      <c r="H48" s="31"/>
      <c r="I48" s="31"/>
      <c r="J48" s="31"/>
      <c r="K48" s="31"/>
      <c r="L48" s="300"/>
    </row>
    <row r="49" spans="1:22" x14ac:dyDescent="0.15">
      <c r="A49" s="314"/>
      <c r="B49" s="315" t="s">
        <v>77</v>
      </c>
      <c r="C49" s="35" t="s">
        <v>12</v>
      </c>
      <c r="D49" s="31">
        <v>5.5</v>
      </c>
      <c r="E49" s="35">
        <v>5.76</v>
      </c>
      <c r="F49" s="35"/>
      <c r="G49" s="35">
        <f>F49+E49</f>
        <v>5.76</v>
      </c>
      <c r="H49" s="31">
        <v>2600</v>
      </c>
      <c r="I49" s="31">
        <f t="shared" ref="I49:I59" si="10">D49*H49</f>
        <v>14300</v>
      </c>
      <c r="J49" s="31">
        <f t="shared" ref="J49:J59" si="11">E49*H49</f>
        <v>14976</v>
      </c>
      <c r="K49" s="31">
        <f>H49*F49</f>
        <v>0</v>
      </c>
      <c r="L49" s="300">
        <f>K49+J49</f>
        <v>14976</v>
      </c>
    </row>
    <row r="50" spans="1:22" x14ac:dyDescent="0.15">
      <c r="A50" s="314"/>
      <c r="B50" s="315" t="s">
        <v>74</v>
      </c>
      <c r="C50" s="35" t="s">
        <v>12</v>
      </c>
      <c r="D50" s="31">
        <v>23</v>
      </c>
      <c r="E50" s="35">
        <v>20</v>
      </c>
      <c r="F50" s="630"/>
      <c r="G50" s="35">
        <f t="shared" ref="G50:G59" si="12">F50+E50</f>
        <v>20</v>
      </c>
      <c r="H50" s="31">
        <v>2600</v>
      </c>
      <c r="I50" s="31">
        <f t="shared" si="10"/>
        <v>59800</v>
      </c>
      <c r="J50" s="31">
        <f t="shared" si="11"/>
        <v>52000</v>
      </c>
      <c r="K50" s="31">
        <f t="shared" ref="K50:K59" si="13">H50*F50</f>
        <v>0</v>
      </c>
      <c r="L50" s="300">
        <f t="shared" ref="L50:L59" si="14">K50+J50</f>
        <v>52000</v>
      </c>
    </row>
    <row r="51" spans="1:22" x14ac:dyDescent="0.15">
      <c r="A51" s="314"/>
      <c r="B51" s="315" t="s">
        <v>78</v>
      </c>
      <c r="C51" s="35" t="s">
        <v>12</v>
      </c>
      <c r="D51" s="31">
        <v>1.3</v>
      </c>
      <c r="E51" s="35"/>
      <c r="F51" s="35"/>
      <c r="G51" s="35">
        <f t="shared" si="12"/>
        <v>0</v>
      </c>
      <c r="H51" s="31">
        <v>2600</v>
      </c>
      <c r="I51" s="31">
        <f t="shared" si="10"/>
        <v>3380</v>
      </c>
      <c r="J51" s="31">
        <f t="shared" si="11"/>
        <v>0</v>
      </c>
      <c r="K51" s="31">
        <f t="shared" si="13"/>
        <v>0</v>
      </c>
      <c r="L51" s="300">
        <f t="shared" si="14"/>
        <v>0</v>
      </c>
    </row>
    <row r="52" spans="1:22" x14ac:dyDescent="0.15">
      <c r="A52" s="327">
        <v>1.2</v>
      </c>
      <c r="B52" s="328" t="s">
        <v>109</v>
      </c>
      <c r="C52" s="40"/>
      <c r="D52" s="39"/>
      <c r="E52" s="40"/>
      <c r="F52" s="40"/>
      <c r="G52" s="35">
        <f t="shared" si="12"/>
        <v>0</v>
      </c>
      <c r="H52" s="39"/>
      <c r="I52" s="31"/>
      <c r="J52" s="31">
        <f t="shared" si="11"/>
        <v>0</v>
      </c>
      <c r="K52" s="31">
        <f t="shared" si="13"/>
        <v>0</v>
      </c>
      <c r="L52" s="300">
        <f t="shared" si="14"/>
        <v>0</v>
      </c>
    </row>
    <row r="53" spans="1:22" x14ac:dyDescent="0.15">
      <c r="A53" s="314"/>
      <c r="B53" s="315" t="s">
        <v>77</v>
      </c>
      <c r="C53" s="35" t="s">
        <v>11</v>
      </c>
      <c r="D53" s="31">
        <v>108</v>
      </c>
      <c r="E53" s="35">
        <v>115.2</v>
      </c>
      <c r="F53" s="35"/>
      <c r="G53" s="35">
        <f t="shared" si="12"/>
        <v>115.2</v>
      </c>
      <c r="H53" s="31">
        <v>85</v>
      </c>
      <c r="I53" s="31">
        <f t="shared" si="10"/>
        <v>9180</v>
      </c>
      <c r="J53" s="31">
        <f t="shared" si="11"/>
        <v>9792</v>
      </c>
      <c r="K53" s="31">
        <f t="shared" si="13"/>
        <v>0</v>
      </c>
      <c r="L53" s="300">
        <f t="shared" si="14"/>
        <v>9792</v>
      </c>
    </row>
    <row r="54" spans="1:22" x14ac:dyDescent="0.15">
      <c r="A54" s="329"/>
      <c r="B54" s="315" t="s">
        <v>74</v>
      </c>
      <c r="C54" s="35" t="s">
        <v>11</v>
      </c>
      <c r="D54" s="31">
        <v>285</v>
      </c>
      <c r="E54" s="35">
        <v>257.08</v>
      </c>
      <c r="F54" s="35">
        <v>32.76</v>
      </c>
      <c r="G54" s="35">
        <f>F54+E54</f>
        <v>289.83999999999997</v>
      </c>
      <c r="H54" s="31">
        <v>85</v>
      </c>
      <c r="I54" s="31">
        <f t="shared" si="10"/>
        <v>24225</v>
      </c>
      <c r="J54" s="31">
        <f t="shared" si="11"/>
        <v>21851.8</v>
      </c>
      <c r="K54" s="31">
        <f t="shared" si="13"/>
        <v>2784.6</v>
      </c>
      <c r="L54" s="300">
        <f t="shared" si="14"/>
        <v>24636.399999999998</v>
      </c>
    </row>
    <row r="55" spans="1:22" x14ac:dyDescent="0.15">
      <c r="A55" s="314"/>
      <c r="B55" s="315" t="s">
        <v>78</v>
      </c>
      <c r="C55" s="35" t="s">
        <v>11</v>
      </c>
      <c r="D55" s="31">
        <v>107</v>
      </c>
      <c r="E55" s="35"/>
      <c r="F55" s="35"/>
      <c r="G55" s="35">
        <f t="shared" si="12"/>
        <v>0</v>
      </c>
      <c r="H55" s="31">
        <v>85</v>
      </c>
      <c r="I55" s="31">
        <f t="shared" si="10"/>
        <v>9095</v>
      </c>
      <c r="J55" s="31">
        <f t="shared" si="11"/>
        <v>0</v>
      </c>
      <c r="K55" s="31">
        <f t="shared" si="13"/>
        <v>0</v>
      </c>
      <c r="L55" s="300">
        <f t="shared" si="14"/>
        <v>0</v>
      </c>
    </row>
    <row r="56" spans="1:22" x14ac:dyDescent="0.15">
      <c r="A56" s="314">
        <v>1.3</v>
      </c>
      <c r="B56" s="328" t="s">
        <v>15</v>
      </c>
      <c r="C56" s="35"/>
      <c r="D56" s="31"/>
      <c r="E56" s="35"/>
      <c r="F56" s="35"/>
      <c r="G56" s="35">
        <f t="shared" si="12"/>
        <v>0</v>
      </c>
      <c r="H56" s="31"/>
      <c r="I56" s="31"/>
      <c r="J56" s="31">
        <f t="shared" si="11"/>
        <v>0</v>
      </c>
      <c r="K56" s="31">
        <f t="shared" si="13"/>
        <v>0</v>
      </c>
      <c r="L56" s="300">
        <f t="shared" si="14"/>
        <v>0</v>
      </c>
    </row>
    <row r="57" spans="1:22" x14ac:dyDescent="0.15">
      <c r="A57" s="314"/>
      <c r="B57" s="315" t="s">
        <v>79</v>
      </c>
      <c r="C57" s="35" t="s">
        <v>16</v>
      </c>
      <c r="D57" s="31">
        <v>50</v>
      </c>
      <c r="E57" s="35"/>
      <c r="F57" s="35"/>
      <c r="G57" s="35">
        <f t="shared" si="12"/>
        <v>0</v>
      </c>
      <c r="H57" s="31">
        <v>34</v>
      </c>
      <c r="I57" s="31">
        <f t="shared" si="10"/>
        <v>1700</v>
      </c>
      <c r="J57" s="31">
        <f t="shared" si="11"/>
        <v>0</v>
      </c>
      <c r="K57" s="31">
        <f t="shared" si="13"/>
        <v>0</v>
      </c>
      <c r="L57" s="300">
        <f t="shared" si="14"/>
        <v>0</v>
      </c>
    </row>
    <row r="58" spans="1:22" x14ac:dyDescent="0.15">
      <c r="A58" s="314"/>
      <c r="B58" s="315" t="s">
        <v>42</v>
      </c>
      <c r="C58" s="35" t="s">
        <v>16</v>
      </c>
      <c r="D58" s="31">
        <v>2500</v>
      </c>
      <c r="E58" s="35">
        <v>2461.27</v>
      </c>
      <c r="F58" s="35"/>
      <c r="G58" s="35">
        <f t="shared" si="12"/>
        <v>2461.27</v>
      </c>
      <c r="H58" s="31">
        <v>34</v>
      </c>
      <c r="I58" s="31">
        <f t="shared" si="10"/>
        <v>85000</v>
      </c>
      <c r="J58" s="31">
        <f t="shared" si="11"/>
        <v>83683.179999999993</v>
      </c>
      <c r="K58" s="31">
        <f t="shared" si="13"/>
        <v>0</v>
      </c>
      <c r="L58" s="300">
        <f t="shared" si="14"/>
        <v>83683.179999999993</v>
      </c>
    </row>
    <row r="59" spans="1:22" x14ac:dyDescent="0.15">
      <c r="A59" s="304">
        <v>2.4</v>
      </c>
      <c r="B59" s="305" t="s">
        <v>43</v>
      </c>
      <c r="C59" s="51" t="s">
        <v>16</v>
      </c>
      <c r="D59" s="50">
        <v>779</v>
      </c>
      <c r="E59" s="51">
        <v>806.04</v>
      </c>
      <c r="F59" s="51"/>
      <c r="G59" s="35">
        <f t="shared" si="12"/>
        <v>806.04</v>
      </c>
      <c r="H59" s="50">
        <v>35</v>
      </c>
      <c r="I59" s="31">
        <f t="shared" si="10"/>
        <v>27265</v>
      </c>
      <c r="J59" s="31">
        <f t="shared" si="11"/>
        <v>28211.399999999998</v>
      </c>
      <c r="K59" s="31">
        <f t="shared" si="13"/>
        <v>0</v>
      </c>
      <c r="L59" s="300">
        <f t="shared" si="14"/>
        <v>28211.399999999998</v>
      </c>
    </row>
    <row r="60" spans="1:22" s="581" customFormat="1" ht="26.25" customHeight="1" thickBot="1" x14ac:dyDescent="0.2">
      <c r="A60" s="580"/>
      <c r="B60" s="1101" t="s">
        <v>64</v>
      </c>
      <c r="C60" s="1102"/>
      <c r="D60" s="1102"/>
      <c r="E60" s="1102"/>
      <c r="F60" s="1102"/>
      <c r="G60" s="1102"/>
      <c r="H60" s="1103"/>
      <c r="I60" s="568">
        <f>SUM(I47:I59)</f>
        <v>233945</v>
      </c>
      <c r="J60" s="568">
        <f>SUM(J47:J59)</f>
        <v>210514.37999999998</v>
      </c>
      <c r="K60" s="568">
        <f>SUM(K47:K59)</f>
        <v>2784.6</v>
      </c>
      <c r="L60" s="568">
        <f>SUM(L47:L59)</f>
        <v>213298.97999999998</v>
      </c>
      <c r="M60" s="626"/>
      <c r="N60" s="626"/>
      <c r="O60" s="626"/>
      <c r="P60" s="626"/>
      <c r="Q60" s="626"/>
      <c r="R60" s="626"/>
      <c r="S60" s="626"/>
      <c r="T60" s="626"/>
      <c r="U60" s="626"/>
      <c r="V60" s="626"/>
    </row>
    <row r="61" spans="1:22" s="332" customFormat="1" ht="26.25" customHeight="1" x14ac:dyDescent="0.15">
      <c r="A61" s="330"/>
      <c r="B61" s="330" t="s">
        <v>292</v>
      </c>
      <c r="C61" s="331"/>
      <c r="D61" s="331"/>
      <c r="E61" s="331"/>
      <c r="F61" s="331"/>
      <c r="G61" s="348"/>
      <c r="H61" s="330"/>
      <c r="I61" s="330"/>
      <c r="J61" s="330"/>
      <c r="K61" s="330"/>
      <c r="L61" s="330"/>
      <c r="M61" s="629"/>
      <c r="N61" s="629"/>
      <c r="O61" s="629"/>
      <c r="P61" s="629"/>
      <c r="Q61" s="629"/>
      <c r="R61" s="629"/>
      <c r="S61" s="629"/>
      <c r="T61" s="629"/>
      <c r="U61" s="629"/>
      <c r="V61" s="629"/>
    </row>
    <row r="62" spans="1:22" s="332" customFormat="1" ht="21" customHeight="1" x14ac:dyDescent="0.15">
      <c r="A62" s="333"/>
      <c r="B62" s="230" t="s">
        <v>293</v>
      </c>
      <c r="C62" s="334"/>
      <c r="D62" s="334"/>
      <c r="E62" s="334"/>
      <c r="F62" s="334"/>
      <c r="G62" s="334"/>
      <c r="H62" s="230"/>
      <c r="I62" s="230"/>
      <c r="J62" s="230"/>
      <c r="K62" s="230"/>
      <c r="L62" s="333"/>
      <c r="M62" s="629"/>
      <c r="N62" s="629">
        <v>421</v>
      </c>
      <c r="O62" s="629"/>
      <c r="P62" s="629"/>
      <c r="Q62" s="629"/>
      <c r="R62" s="629"/>
      <c r="S62" s="629"/>
      <c r="T62" s="629"/>
      <c r="U62" s="629"/>
      <c r="V62" s="629"/>
    </row>
    <row r="63" spans="1:22" s="332" customFormat="1" ht="21" customHeight="1" x14ac:dyDescent="0.15">
      <c r="A63" s="333"/>
      <c r="B63" s="230" t="s">
        <v>294</v>
      </c>
      <c r="C63" s="334" t="s">
        <v>11</v>
      </c>
      <c r="D63" s="334">
        <v>965</v>
      </c>
      <c r="E63" s="230">
        <v>571.34</v>
      </c>
      <c r="F63" s="334"/>
      <c r="G63" s="334">
        <f>F63+E63</f>
        <v>571.34</v>
      </c>
      <c r="H63" s="334">
        <v>310</v>
      </c>
      <c r="I63" s="31">
        <f>D63*H63</f>
        <v>299150</v>
      </c>
      <c r="J63" s="230">
        <f>H63*E63</f>
        <v>177115.40000000002</v>
      </c>
      <c r="K63" s="230">
        <f>H63*F63</f>
        <v>0</v>
      </c>
      <c r="L63" s="333">
        <f>K63+J63</f>
        <v>177115.40000000002</v>
      </c>
      <c r="M63" s="629"/>
      <c r="N63" s="629">
        <v>355</v>
      </c>
      <c r="O63" s="629"/>
      <c r="P63" s="629"/>
      <c r="Q63" s="629"/>
      <c r="R63" s="629"/>
      <c r="S63" s="629"/>
      <c r="T63" s="629"/>
      <c r="U63" s="629"/>
      <c r="V63" s="629"/>
    </row>
    <row r="64" spans="1:22" s="332" customFormat="1" ht="21" customHeight="1" x14ac:dyDescent="0.15">
      <c r="A64" s="333"/>
      <c r="B64" s="230" t="s">
        <v>295</v>
      </c>
      <c r="C64" s="334" t="s">
        <v>11</v>
      </c>
      <c r="D64" s="334">
        <v>100</v>
      </c>
      <c r="E64" s="230">
        <v>356.97</v>
      </c>
      <c r="F64" s="334"/>
      <c r="G64" s="334">
        <f>F64+E64</f>
        <v>356.97</v>
      </c>
      <c r="H64" s="334">
        <v>295</v>
      </c>
      <c r="I64" s="31">
        <f>D64*H64</f>
        <v>29500</v>
      </c>
      <c r="J64" s="230">
        <f>H64*E64</f>
        <v>105306.15000000001</v>
      </c>
      <c r="K64" s="230">
        <f>H64*F64</f>
        <v>0</v>
      </c>
      <c r="L64" s="333">
        <f>K64+J64</f>
        <v>105306.15000000001</v>
      </c>
      <c r="M64" s="629"/>
      <c r="N64" s="629">
        <v>106</v>
      </c>
      <c r="O64" s="629"/>
      <c r="P64" s="629"/>
      <c r="Q64" s="629"/>
      <c r="R64" s="629"/>
      <c r="S64" s="629"/>
      <c r="T64" s="629"/>
      <c r="U64" s="629"/>
      <c r="V64" s="629"/>
    </row>
    <row r="65" spans="1:22" s="332" customFormat="1" ht="21" customHeight="1" x14ac:dyDescent="0.15">
      <c r="A65" s="335"/>
      <c r="B65" s="272" t="s">
        <v>296</v>
      </c>
      <c r="C65" s="336" t="s">
        <v>11</v>
      </c>
      <c r="D65" s="336">
        <v>18</v>
      </c>
      <c r="E65" s="272"/>
      <c r="F65" s="336"/>
      <c r="G65" s="334">
        <f>F65+E65</f>
        <v>0</v>
      </c>
      <c r="H65" s="336">
        <v>285</v>
      </c>
      <c r="I65" s="31">
        <f>D65*H65</f>
        <v>5130</v>
      </c>
      <c r="J65" s="230">
        <f>H65*E65</f>
        <v>0</v>
      </c>
      <c r="K65" s="230">
        <f>H65*F65</f>
        <v>0</v>
      </c>
      <c r="L65" s="333">
        <f>K65+J65</f>
        <v>0</v>
      </c>
      <c r="M65" s="629"/>
      <c r="N65" s="629">
        <f>SUM(N62:N64)</f>
        <v>882</v>
      </c>
      <c r="O65" s="629"/>
      <c r="P65" s="629"/>
      <c r="Q65" s="629"/>
      <c r="R65" s="629"/>
      <c r="S65" s="629"/>
      <c r="T65" s="629"/>
      <c r="U65" s="629"/>
      <c r="V65" s="629"/>
    </row>
    <row r="66" spans="1:22" s="581" customFormat="1" ht="26.25" customHeight="1" thickBot="1" x14ac:dyDescent="0.2">
      <c r="A66" s="579"/>
      <c r="B66" s="1101" t="s">
        <v>64</v>
      </c>
      <c r="C66" s="1102"/>
      <c r="D66" s="1102"/>
      <c r="E66" s="1102"/>
      <c r="F66" s="1102"/>
      <c r="G66" s="1102"/>
      <c r="H66" s="1103"/>
      <c r="I66" s="568">
        <f>SUM(I63:I65)</f>
        <v>333780</v>
      </c>
      <c r="J66" s="568">
        <f>SUM(J63:J65)</f>
        <v>282421.55000000005</v>
      </c>
      <c r="K66" s="568">
        <f>SUM(K63:K65)</f>
        <v>0</v>
      </c>
      <c r="L66" s="568">
        <f>SUM(L63:L65)</f>
        <v>282421.55000000005</v>
      </c>
      <c r="M66" s="626"/>
      <c r="N66" s="626">
        <v>2</v>
      </c>
      <c r="O66" s="626"/>
      <c r="P66" s="626"/>
      <c r="Q66" s="626"/>
      <c r="R66" s="626"/>
      <c r="S66" s="626"/>
      <c r="T66" s="626"/>
      <c r="U66" s="626"/>
      <c r="V66" s="626"/>
    </row>
    <row r="67" spans="1:22" s="312" customFormat="1" x14ac:dyDescent="0.15">
      <c r="A67" s="337"/>
      <c r="B67" s="338" t="s">
        <v>167</v>
      </c>
      <c r="C67" s="49"/>
      <c r="D67" s="32"/>
      <c r="E67" s="49"/>
      <c r="F67" s="49"/>
      <c r="G67" s="49"/>
      <c r="H67" s="32"/>
      <c r="I67" s="32"/>
      <c r="J67" s="32"/>
      <c r="K67" s="32"/>
      <c r="L67" s="339"/>
      <c r="M67" s="628"/>
      <c r="N67" s="628">
        <f>N65*N66</f>
        <v>1764</v>
      </c>
      <c r="O67" s="628"/>
      <c r="P67" s="628"/>
      <c r="Q67" s="628"/>
      <c r="R67" s="628"/>
      <c r="S67" s="628"/>
      <c r="T67" s="628"/>
      <c r="U67" s="628"/>
      <c r="V67" s="628"/>
    </row>
    <row r="68" spans="1:22" s="312" customFormat="1" x14ac:dyDescent="0.15">
      <c r="A68" s="304">
        <v>3.1</v>
      </c>
      <c r="B68" s="317" t="s">
        <v>166</v>
      </c>
      <c r="C68" s="51" t="s">
        <v>11</v>
      </c>
      <c r="D68" s="50">
        <v>805</v>
      </c>
      <c r="E68" s="51">
        <v>756.11</v>
      </c>
      <c r="F68" s="631"/>
      <c r="G68" s="51">
        <f>F68+E68</f>
        <v>756.11</v>
      </c>
      <c r="H68" s="50">
        <v>245</v>
      </c>
      <c r="I68" s="50">
        <f>D68*H68</f>
        <v>197225</v>
      </c>
      <c r="J68" s="50">
        <f>E68*H68</f>
        <v>185246.95</v>
      </c>
      <c r="K68" s="50">
        <f>H68*F68</f>
        <v>0</v>
      </c>
      <c r="L68" s="306">
        <f>K68+J68</f>
        <v>185246.95</v>
      </c>
      <c r="M68" s="628"/>
      <c r="N68" s="628"/>
      <c r="O68" s="628"/>
      <c r="P68" s="628"/>
      <c r="Q68" s="628"/>
      <c r="R68" s="628"/>
      <c r="S68" s="628"/>
      <c r="T68" s="628"/>
      <c r="U68" s="628"/>
      <c r="V68" s="628"/>
    </row>
    <row r="69" spans="1:22" s="312" customFormat="1" x14ac:dyDescent="0.15">
      <c r="A69" s="304">
        <v>3.2</v>
      </c>
      <c r="B69" s="317" t="s">
        <v>478</v>
      </c>
      <c r="C69" s="51" t="s">
        <v>12</v>
      </c>
      <c r="D69" s="50">
        <v>75</v>
      </c>
      <c r="E69" s="51"/>
      <c r="F69" s="631">
        <v>69.900000000000006</v>
      </c>
      <c r="G69" s="51"/>
      <c r="H69" s="50">
        <v>220</v>
      </c>
      <c r="I69" s="50">
        <f>D69*H69</f>
        <v>16500</v>
      </c>
      <c r="J69" s="50">
        <f>E69*H69</f>
        <v>0</v>
      </c>
      <c r="K69" s="50">
        <f>H69*F69</f>
        <v>15378.000000000002</v>
      </c>
      <c r="L69" s="306">
        <f>K69+J69</f>
        <v>15378.000000000002</v>
      </c>
      <c r="M69" s="628"/>
      <c r="N69" s="628"/>
      <c r="O69" s="628"/>
      <c r="P69" s="628"/>
      <c r="Q69" s="628"/>
      <c r="R69" s="628"/>
      <c r="S69" s="628"/>
      <c r="T69" s="628"/>
      <c r="U69" s="628"/>
      <c r="V69" s="628"/>
    </row>
    <row r="70" spans="1:22" s="582" customFormat="1" ht="21.75" customHeight="1" thickBot="1" x14ac:dyDescent="0.2">
      <c r="A70" s="575"/>
      <c r="B70" s="1101" t="s">
        <v>64</v>
      </c>
      <c r="C70" s="1102"/>
      <c r="D70" s="1102"/>
      <c r="E70" s="1102"/>
      <c r="F70" s="1102"/>
      <c r="G70" s="1102"/>
      <c r="H70" s="1103"/>
      <c r="I70" s="568">
        <f>SUM(I68:I69)</f>
        <v>213725</v>
      </c>
      <c r="J70" s="568">
        <f>SUM(J68:J69)</f>
        <v>185246.95</v>
      </c>
      <c r="K70" s="568">
        <f>SUM(K68:K69)</f>
        <v>15378.000000000002</v>
      </c>
      <c r="L70" s="568">
        <f>SUM(L68:L69)</f>
        <v>200624.95</v>
      </c>
      <c r="M70" s="628"/>
      <c r="N70" s="628"/>
      <c r="O70" s="628"/>
      <c r="P70" s="628"/>
      <c r="Q70" s="628"/>
      <c r="R70" s="628"/>
      <c r="S70" s="628"/>
      <c r="T70" s="628"/>
      <c r="U70" s="628"/>
      <c r="V70" s="628"/>
    </row>
    <row r="71" spans="1:22" s="312" customFormat="1" x14ac:dyDescent="0.15">
      <c r="A71" s="337"/>
      <c r="B71" s="338" t="s">
        <v>168</v>
      </c>
      <c r="C71" s="49"/>
      <c r="D71" s="32"/>
      <c r="E71" s="49"/>
      <c r="F71" s="49"/>
      <c r="G71" s="49"/>
      <c r="H71" s="32"/>
      <c r="I71" s="32"/>
      <c r="J71" s="32"/>
      <c r="K71" s="32"/>
      <c r="L71" s="339"/>
      <c r="M71" s="628"/>
      <c r="N71" s="628"/>
      <c r="O71" s="628"/>
      <c r="P71" s="628"/>
      <c r="Q71" s="628"/>
      <c r="R71" s="628"/>
      <c r="S71" s="628"/>
      <c r="T71" s="628"/>
      <c r="U71" s="628"/>
      <c r="V71" s="628"/>
    </row>
    <row r="72" spans="1:22" s="312" customFormat="1" x14ac:dyDescent="0.15">
      <c r="A72" s="304">
        <v>4.0999999999999996</v>
      </c>
      <c r="B72" s="317" t="s">
        <v>169</v>
      </c>
      <c r="C72" s="51"/>
      <c r="D72" s="50"/>
      <c r="E72" s="51"/>
      <c r="F72" s="51"/>
      <c r="G72" s="51"/>
      <c r="H72" s="50"/>
      <c r="I72" s="50"/>
      <c r="J72" s="50"/>
      <c r="K72" s="50"/>
      <c r="L72" s="306"/>
      <c r="M72" s="628"/>
      <c r="N72" s="628"/>
      <c r="O72" s="628"/>
      <c r="P72" s="628"/>
      <c r="Q72" s="628"/>
      <c r="R72" s="628"/>
      <c r="S72" s="628"/>
      <c r="T72" s="628"/>
      <c r="U72" s="628"/>
      <c r="V72" s="628"/>
    </row>
    <row r="73" spans="1:22" s="312" customFormat="1" x14ac:dyDescent="0.15">
      <c r="A73" s="304"/>
      <c r="B73" s="317" t="s">
        <v>170</v>
      </c>
      <c r="C73" s="51"/>
      <c r="D73" s="50"/>
      <c r="E73" s="51"/>
      <c r="F73" s="51"/>
      <c r="G73" s="51"/>
      <c r="H73" s="50"/>
      <c r="I73" s="50"/>
      <c r="J73" s="50"/>
      <c r="K73" s="50"/>
      <c r="L73" s="306"/>
      <c r="M73" s="628"/>
      <c r="N73" s="628"/>
      <c r="O73" s="628"/>
      <c r="P73" s="628"/>
      <c r="Q73" s="628"/>
      <c r="R73" s="628"/>
      <c r="S73" s="628"/>
      <c r="T73" s="628"/>
      <c r="U73" s="628"/>
      <c r="V73" s="628"/>
    </row>
    <row r="74" spans="1:22" s="312" customFormat="1" x14ac:dyDescent="0.15">
      <c r="A74" s="304"/>
      <c r="B74" s="317" t="s">
        <v>172</v>
      </c>
      <c r="C74" s="51" t="s">
        <v>174</v>
      </c>
      <c r="D74" s="50">
        <v>1195</v>
      </c>
      <c r="E74" s="51">
        <v>1247.57</v>
      </c>
      <c r="F74" s="51"/>
      <c r="G74" s="51">
        <f>F74+E74</f>
        <v>1247.57</v>
      </c>
      <c r="H74" s="50">
        <v>18</v>
      </c>
      <c r="I74" s="50">
        <f>H74*D74</f>
        <v>21510</v>
      </c>
      <c r="J74" s="50">
        <f>H74*E74</f>
        <v>22456.26</v>
      </c>
      <c r="K74" s="50">
        <f>H74*F74</f>
        <v>0</v>
      </c>
      <c r="L74" s="306">
        <f>K74+J74</f>
        <v>22456.26</v>
      </c>
      <c r="M74" s="628"/>
      <c r="N74" s="628"/>
      <c r="O74" s="628"/>
      <c r="P74" s="628"/>
      <c r="Q74" s="628"/>
      <c r="R74" s="628"/>
      <c r="S74" s="628"/>
      <c r="T74" s="628"/>
      <c r="U74" s="628"/>
      <c r="V74" s="628"/>
    </row>
    <row r="75" spans="1:22" s="312" customFormat="1" x14ac:dyDescent="0.15">
      <c r="A75" s="304"/>
      <c r="B75" s="317" t="s">
        <v>173</v>
      </c>
      <c r="C75" s="51" t="s">
        <v>174</v>
      </c>
      <c r="D75" s="50">
        <v>675</v>
      </c>
      <c r="E75" s="51">
        <v>1308.06</v>
      </c>
      <c r="F75" s="51"/>
      <c r="G75" s="51">
        <f>F75+E75</f>
        <v>1308.06</v>
      </c>
      <c r="H75" s="50">
        <v>16</v>
      </c>
      <c r="I75" s="50">
        <f>H75*D75</f>
        <v>10800</v>
      </c>
      <c r="J75" s="50">
        <f>H75*E75</f>
        <v>20928.96</v>
      </c>
      <c r="K75" s="50">
        <f>H75*F75</f>
        <v>0</v>
      </c>
      <c r="L75" s="306">
        <f>K75+J75</f>
        <v>20928.96</v>
      </c>
      <c r="M75" s="628"/>
      <c r="N75" s="628"/>
      <c r="O75" s="628"/>
      <c r="P75" s="628"/>
      <c r="Q75" s="628"/>
      <c r="R75" s="628"/>
      <c r="S75" s="628"/>
      <c r="T75" s="628"/>
      <c r="U75" s="628"/>
      <c r="V75" s="628"/>
    </row>
    <row r="76" spans="1:22" s="312" customFormat="1" x14ac:dyDescent="0.15">
      <c r="A76" s="304"/>
      <c r="B76" s="317" t="s">
        <v>171</v>
      </c>
      <c r="C76" s="51" t="s">
        <v>174</v>
      </c>
      <c r="D76" s="50">
        <v>955</v>
      </c>
      <c r="E76" s="51">
        <v>877.8</v>
      </c>
      <c r="F76" s="51"/>
      <c r="G76" s="51">
        <f>F76+E76</f>
        <v>877.8</v>
      </c>
      <c r="H76" s="50">
        <v>48</v>
      </c>
      <c r="I76" s="50">
        <f>H76*D76</f>
        <v>45840</v>
      </c>
      <c r="J76" s="50">
        <f>H76*E76</f>
        <v>42134.399999999994</v>
      </c>
      <c r="K76" s="50">
        <f>H76*F76</f>
        <v>0</v>
      </c>
      <c r="L76" s="306">
        <f>K76+J76</f>
        <v>42134.399999999994</v>
      </c>
      <c r="M76" s="628"/>
      <c r="N76" s="628"/>
      <c r="O76" s="628"/>
      <c r="P76" s="628"/>
      <c r="Q76" s="628"/>
      <c r="R76" s="628"/>
      <c r="S76" s="628"/>
      <c r="T76" s="628"/>
      <c r="U76" s="628"/>
      <c r="V76" s="628"/>
    </row>
    <row r="77" spans="1:22" s="312" customFormat="1" x14ac:dyDescent="0.15">
      <c r="A77" s="304">
        <v>4.2</v>
      </c>
      <c r="B77" s="317" t="s">
        <v>238</v>
      </c>
      <c r="C77" s="51" t="s">
        <v>174</v>
      </c>
      <c r="D77" s="50">
        <v>130</v>
      </c>
      <c r="E77" s="51"/>
      <c r="F77" s="51">
        <v>121.7</v>
      </c>
      <c r="G77" s="51">
        <f>F77+E77</f>
        <v>121.7</v>
      </c>
      <c r="H77" s="50">
        <v>92</v>
      </c>
      <c r="I77" s="50">
        <f>H77*D77</f>
        <v>11960</v>
      </c>
      <c r="J77" s="50">
        <f>H77*E77</f>
        <v>0</v>
      </c>
      <c r="K77" s="50">
        <f>H77*F77</f>
        <v>11196.4</v>
      </c>
      <c r="L77" s="306">
        <f>K77+J77</f>
        <v>11196.4</v>
      </c>
      <c r="M77" s="628"/>
      <c r="N77" s="628"/>
      <c r="O77" s="628"/>
      <c r="P77" s="628"/>
      <c r="Q77" s="628"/>
      <c r="R77" s="628"/>
      <c r="S77" s="628"/>
      <c r="T77" s="628"/>
      <c r="U77" s="628"/>
      <c r="V77" s="628"/>
    </row>
    <row r="78" spans="1:22" s="582" customFormat="1" ht="27" customHeight="1" thickBot="1" x14ac:dyDescent="0.2">
      <c r="A78" s="571"/>
      <c r="B78" s="1104" t="s">
        <v>64</v>
      </c>
      <c r="C78" s="1105"/>
      <c r="D78" s="1105"/>
      <c r="E78" s="1105"/>
      <c r="F78" s="1105"/>
      <c r="G78" s="1105"/>
      <c r="H78" s="1106"/>
      <c r="I78" s="572">
        <f>SUM(I74:I77)</f>
        <v>90110</v>
      </c>
      <c r="J78" s="572">
        <f>SUM(J74:J77)</f>
        <v>85519.62</v>
      </c>
      <c r="K78" s="572">
        <f>SUM(K74:K77)</f>
        <v>11196.4</v>
      </c>
      <c r="L78" s="572">
        <f>SUM(L74:L77)</f>
        <v>96716.01999999999</v>
      </c>
      <c r="M78" s="628"/>
      <c r="N78" s="628"/>
      <c r="O78" s="628">
        <f>2148.24-877.8</f>
        <v>1270.4399999999998</v>
      </c>
      <c r="P78" s="628"/>
      <c r="Q78" s="628"/>
      <c r="R78" s="628"/>
      <c r="S78" s="628"/>
      <c r="T78" s="628"/>
      <c r="U78" s="628"/>
      <c r="V78" s="628"/>
    </row>
    <row r="79" spans="1:22" s="254" customFormat="1" ht="21.75" customHeight="1" x14ac:dyDescent="0.15">
      <c r="A79" s="1107" t="s">
        <v>61</v>
      </c>
      <c r="B79" s="1128" t="s">
        <v>54</v>
      </c>
      <c r="C79" s="1128" t="s">
        <v>5</v>
      </c>
      <c r="D79" s="1117" t="s">
        <v>4</v>
      </c>
      <c r="E79" s="1118"/>
      <c r="F79" s="1119"/>
      <c r="G79" s="1140" t="s">
        <v>334</v>
      </c>
      <c r="H79" s="1110" t="s">
        <v>8</v>
      </c>
      <c r="I79" s="1136" t="s">
        <v>50</v>
      </c>
      <c r="J79" s="1118"/>
      <c r="K79" s="1119"/>
      <c r="L79" s="503"/>
      <c r="M79" s="616"/>
      <c r="N79" s="616"/>
      <c r="O79" s="616"/>
      <c r="P79" s="616"/>
      <c r="Q79" s="616"/>
      <c r="R79" s="616"/>
      <c r="S79" s="616"/>
      <c r="T79" s="616"/>
      <c r="U79" s="616"/>
      <c r="V79" s="616"/>
    </row>
    <row r="80" spans="1:22" s="254" customFormat="1" ht="19.5" customHeight="1" x14ac:dyDescent="0.15">
      <c r="A80" s="1108"/>
      <c r="B80" s="1129"/>
      <c r="C80" s="1129"/>
      <c r="D80" s="1130" t="s">
        <v>62</v>
      </c>
      <c r="E80" s="1120" t="s">
        <v>63</v>
      </c>
      <c r="F80" s="1121"/>
      <c r="G80" s="1141"/>
      <c r="H80" s="1111"/>
      <c r="I80" s="1122" t="s">
        <v>6</v>
      </c>
      <c r="J80" s="1134" t="s">
        <v>7</v>
      </c>
      <c r="K80" s="1135"/>
      <c r="L80" s="1132" t="s">
        <v>7</v>
      </c>
      <c r="M80" s="616"/>
      <c r="N80" s="616"/>
      <c r="O80" s="616"/>
      <c r="P80" s="616"/>
      <c r="Q80" s="616"/>
      <c r="R80" s="616"/>
      <c r="S80" s="616"/>
      <c r="T80" s="616"/>
      <c r="U80" s="616"/>
      <c r="V80" s="616"/>
    </row>
    <row r="81" spans="1:22" s="254" customFormat="1" ht="21" customHeight="1" thickBot="1" x14ac:dyDescent="0.2">
      <c r="A81" s="1109"/>
      <c r="B81" s="1123"/>
      <c r="C81" s="1123"/>
      <c r="D81" s="1131"/>
      <c r="E81" s="880" t="s">
        <v>98</v>
      </c>
      <c r="F81" s="880" t="s">
        <v>99</v>
      </c>
      <c r="G81" s="1141"/>
      <c r="H81" s="1112"/>
      <c r="I81" s="1123"/>
      <c r="J81" s="880" t="s">
        <v>98</v>
      </c>
      <c r="K81" s="880" t="s">
        <v>99</v>
      </c>
      <c r="L81" s="1133"/>
      <c r="M81" s="616"/>
      <c r="N81" s="616"/>
      <c r="O81" s="616"/>
      <c r="P81" s="616"/>
      <c r="Q81" s="616"/>
      <c r="R81" s="616"/>
      <c r="S81" s="616"/>
      <c r="T81" s="616"/>
      <c r="U81" s="616"/>
      <c r="V81" s="616"/>
    </row>
    <row r="82" spans="1:22" s="254" customFormat="1" ht="21" customHeight="1" thickBot="1" x14ac:dyDescent="0.2">
      <c r="A82" s="280" t="s">
        <v>102</v>
      </c>
      <c r="B82" s="257" t="s">
        <v>103</v>
      </c>
      <c r="C82" s="257" t="s">
        <v>104</v>
      </c>
      <c r="D82" s="258" t="s">
        <v>105</v>
      </c>
      <c r="E82" s="258" t="s">
        <v>106</v>
      </c>
      <c r="F82" s="258" t="s">
        <v>107</v>
      </c>
      <c r="G82" s="1142"/>
      <c r="H82" s="259" t="s">
        <v>108</v>
      </c>
      <c r="I82" s="257" t="s">
        <v>116</v>
      </c>
      <c r="J82" s="258" t="s">
        <v>115</v>
      </c>
      <c r="K82" s="258" t="s">
        <v>114</v>
      </c>
      <c r="L82" s="260" t="s">
        <v>113</v>
      </c>
      <c r="M82" s="616"/>
      <c r="N82" s="616"/>
      <c r="O82" s="616"/>
      <c r="P82" s="616"/>
      <c r="Q82" s="616"/>
      <c r="R82" s="616"/>
      <c r="S82" s="616"/>
      <c r="T82" s="616"/>
      <c r="U82" s="616"/>
      <c r="V82" s="616"/>
    </row>
    <row r="83" spans="1:22" s="278" customFormat="1" ht="21.75" customHeight="1" x14ac:dyDescent="0.15">
      <c r="A83" s="286"/>
      <c r="B83" s="283" t="s">
        <v>345</v>
      </c>
      <c r="C83" s="229"/>
      <c r="D83" s="228"/>
      <c r="E83" s="229"/>
      <c r="F83" s="229"/>
      <c r="G83" s="229"/>
      <c r="H83" s="228"/>
      <c r="I83" s="228"/>
      <c r="J83" s="228"/>
      <c r="K83" s="701"/>
      <c r="L83" s="284"/>
    </row>
    <row r="84" spans="1:22" s="278" customFormat="1" ht="21.75" customHeight="1" x14ac:dyDescent="0.15">
      <c r="A84" s="287">
        <v>5.0999999999999996</v>
      </c>
      <c r="B84" s="275" t="s">
        <v>346</v>
      </c>
      <c r="C84" s="146"/>
      <c r="D84" s="99"/>
      <c r="E84" s="12"/>
      <c r="F84" s="12"/>
      <c r="G84" s="12"/>
      <c r="H84" s="99"/>
      <c r="I84" s="99"/>
      <c r="J84" s="99"/>
      <c r="K84" s="272"/>
      <c r="L84" s="273"/>
    </row>
    <row r="85" spans="1:22" s="278" customFormat="1" ht="21.75" customHeight="1" x14ac:dyDescent="0.15">
      <c r="A85" s="287"/>
      <c r="B85" s="275" t="s">
        <v>347</v>
      </c>
      <c r="C85" s="146" t="s">
        <v>348</v>
      </c>
      <c r="D85" s="99">
        <v>12</v>
      </c>
      <c r="E85" s="527">
        <v>11</v>
      </c>
      <c r="F85" s="702"/>
      <c r="G85" s="230">
        <f t="shared" ref="G85:G96" si="15">F85+E85</f>
        <v>11</v>
      </c>
      <c r="H85" s="146">
        <v>3000</v>
      </c>
      <c r="I85" s="50">
        <f>H85*D85</f>
        <v>36000</v>
      </c>
      <c r="J85" s="50">
        <f>H85*E85</f>
        <v>33000</v>
      </c>
      <c r="K85" s="50">
        <f>H85*F85</f>
        <v>0</v>
      </c>
      <c r="L85" s="273">
        <f>K85+J85</f>
        <v>33000</v>
      </c>
    </row>
    <row r="86" spans="1:22" s="278" customFormat="1" ht="21.75" customHeight="1" x14ac:dyDescent="0.15">
      <c r="A86" s="287"/>
      <c r="B86" s="275" t="s">
        <v>349</v>
      </c>
      <c r="C86" s="146" t="s">
        <v>348</v>
      </c>
      <c r="D86" s="99">
        <v>3</v>
      </c>
      <c r="E86" s="527">
        <v>7</v>
      </c>
      <c r="F86" s="702"/>
      <c r="G86" s="230">
        <f t="shared" si="15"/>
        <v>7</v>
      </c>
      <c r="H86" s="146">
        <v>2600</v>
      </c>
      <c r="I86" s="50">
        <f t="shared" ref="I86:I96" si="16">H86*D86</f>
        <v>7800</v>
      </c>
      <c r="J86" s="50">
        <f t="shared" ref="J86:J96" si="17">H86*E86</f>
        <v>18200</v>
      </c>
      <c r="K86" s="50">
        <f t="shared" ref="K86:K96" si="18">H86*F86</f>
        <v>0</v>
      </c>
      <c r="L86" s="273">
        <f t="shared" ref="L86:L96" si="19">K86+J86</f>
        <v>18200</v>
      </c>
    </row>
    <row r="87" spans="1:22" s="278" customFormat="1" ht="21.75" customHeight="1" x14ac:dyDescent="0.15">
      <c r="A87" s="287"/>
      <c r="B87" s="275" t="s">
        <v>350</v>
      </c>
      <c r="C87" s="146" t="s">
        <v>348</v>
      </c>
      <c r="D87" s="99">
        <v>1</v>
      </c>
      <c r="E87" s="527">
        <v>1</v>
      </c>
      <c r="F87" s="702"/>
      <c r="G87" s="230">
        <f t="shared" si="15"/>
        <v>1</v>
      </c>
      <c r="H87" s="146">
        <v>1500</v>
      </c>
      <c r="I87" s="50">
        <f t="shared" si="16"/>
        <v>1500</v>
      </c>
      <c r="J87" s="50">
        <f t="shared" si="17"/>
        <v>1500</v>
      </c>
      <c r="K87" s="50">
        <f t="shared" si="18"/>
        <v>0</v>
      </c>
      <c r="L87" s="273">
        <f t="shared" si="19"/>
        <v>1500</v>
      </c>
    </row>
    <row r="88" spans="1:22" s="278" customFormat="1" ht="21.75" customHeight="1" x14ac:dyDescent="0.15">
      <c r="A88" s="287"/>
      <c r="B88" s="275" t="s">
        <v>351</v>
      </c>
      <c r="C88" s="146" t="s">
        <v>348</v>
      </c>
      <c r="D88" s="99">
        <v>5</v>
      </c>
      <c r="E88" s="703">
        <v>5</v>
      </c>
      <c r="F88" s="873"/>
      <c r="G88" s="230">
        <f t="shared" si="15"/>
        <v>5</v>
      </c>
      <c r="H88" s="146">
        <v>1800</v>
      </c>
      <c r="I88" s="50">
        <f t="shared" si="16"/>
        <v>9000</v>
      </c>
      <c r="J88" s="50">
        <f t="shared" si="17"/>
        <v>9000</v>
      </c>
      <c r="K88" s="50">
        <f t="shared" si="18"/>
        <v>0</v>
      </c>
      <c r="L88" s="273">
        <f t="shared" si="19"/>
        <v>9000</v>
      </c>
    </row>
    <row r="89" spans="1:22" s="278" customFormat="1" ht="21.75" customHeight="1" x14ac:dyDescent="0.15">
      <c r="A89" s="269"/>
      <c r="B89" s="518" t="s">
        <v>352</v>
      </c>
      <c r="C89" s="12" t="s">
        <v>348</v>
      </c>
      <c r="D89" s="98">
        <v>7</v>
      </c>
      <c r="E89" s="527">
        <v>5</v>
      </c>
      <c r="F89" s="873"/>
      <c r="G89" s="230">
        <f t="shared" si="15"/>
        <v>5</v>
      </c>
      <c r="H89" s="12">
        <v>975</v>
      </c>
      <c r="I89" s="50">
        <f t="shared" si="16"/>
        <v>6825</v>
      </c>
      <c r="J89" s="50">
        <f t="shared" si="17"/>
        <v>4875</v>
      </c>
      <c r="K89" s="50">
        <f t="shared" si="18"/>
        <v>0</v>
      </c>
      <c r="L89" s="273">
        <f t="shared" si="19"/>
        <v>4875</v>
      </c>
    </row>
    <row r="90" spans="1:22" s="278" customFormat="1" ht="21.75" customHeight="1" x14ac:dyDescent="0.15">
      <c r="A90" s="287"/>
      <c r="B90" s="275" t="s">
        <v>353</v>
      </c>
      <c r="C90" s="146" t="s">
        <v>348</v>
      </c>
      <c r="D90" s="99">
        <v>1</v>
      </c>
      <c r="E90" s="527">
        <v>1</v>
      </c>
      <c r="F90" s="873"/>
      <c r="G90" s="230">
        <f t="shared" si="15"/>
        <v>1</v>
      </c>
      <c r="H90" s="146">
        <v>4500</v>
      </c>
      <c r="I90" s="50">
        <f t="shared" si="16"/>
        <v>4500</v>
      </c>
      <c r="J90" s="50">
        <f t="shared" si="17"/>
        <v>4500</v>
      </c>
      <c r="K90" s="50">
        <f t="shared" si="18"/>
        <v>0</v>
      </c>
      <c r="L90" s="273">
        <f t="shared" si="19"/>
        <v>4500</v>
      </c>
    </row>
    <row r="91" spans="1:22" s="278" customFormat="1" ht="21.75" customHeight="1" x14ac:dyDescent="0.15">
      <c r="A91" s="287">
        <v>5.3</v>
      </c>
      <c r="B91" s="275" t="s">
        <v>395</v>
      </c>
      <c r="C91" s="146"/>
      <c r="D91" s="99"/>
      <c r="E91" s="527"/>
      <c r="F91" s="873"/>
      <c r="G91" s="230">
        <f t="shared" si="15"/>
        <v>0</v>
      </c>
      <c r="H91" s="146"/>
      <c r="I91" s="50">
        <f t="shared" si="16"/>
        <v>0</v>
      </c>
      <c r="J91" s="50">
        <f t="shared" si="17"/>
        <v>0</v>
      </c>
      <c r="K91" s="50">
        <f t="shared" si="18"/>
        <v>0</v>
      </c>
      <c r="L91" s="273">
        <f t="shared" si="19"/>
        <v>0</v>
      </c>
    </row>
    <row r="92" spans="1:22" s="278" customFormat="1" ht="21.75" customHeight="1" x14ac:dyDescent="0.15">
      <c r="A92" s="287"/>
      <c r="B92" s="275" t="s">
        <v>479</v>
      </c>
      <c r="C92" s="146" t="s">
        <v>348</v>
      </c>
      <c r="D92" s="99">
        <v>5</v>
      </c>
      <c r="E92" s="527"/>
      <c r="F92" s="873"/>
      <c r="G92" s="230">
        <f t="shared" si="15"/>
        <v>0</v>
      </c>
      <c r="H92" s="146">
        <v>3037.5</v>
      </c>
      <c r="I92" s="50">
        <f t="shared" si="16"/>
        <v>15187.5</v>
      </c>
      <c r="J92" s="50">
        <f t="shared" si="17"/>
        <v>0</v>
      </c>
      <c r="K92" s="50">
        <f t="shared" si="18"/>
        <v>0</v>
      </c>
      <c r="L92" s="273">
        <f t="shared" si="19"/>
        <v>0</v>
      </c>
    </row>
    <row r="93" spans="1:22" s="278" customFormat="1" ht="21.75" customHeight="1" x14ac:dyDescent="0.15">
      <c r="A93" s="287"/>
      <c r="B93" s="275" t="s">
        <v>480</v>
      </c>
      <c r="C93" s="146" t="s">
        <v>348</v>
      </c>
      <c r="D93" s="99">
        <v>5</v>
      </c>
      <c r="E93" s="527"/>
      <c r="F93" s="873"/>
      <c r="G93" s="230">
        <f t="shared" si="15"/>
        <v>0</v>
      </c>
      <c r="H93" s="146">
        <v>2700</v>
      </c>
      <c r="I93" s="50">
        <f t="shared" si="16"/>
        <v>13500</v>
      </c>
      <c r="J93" s="50">
        <f t="shared" si="17"/>
        <v>0</v>
      </c>
      <c r="K93" s="50">
        <f t="shared" si="18"/>
        <v>0</v>
      </c>
      <c r="L93" s="273">
        <f t="shared" si="19"/>
        <v>0</v>
      </c>
    </row>
    <row r="94" spans="1:22" s="278" customFormat="1" ht="21.75" customHeight="1" x14ac:dyDescent="0.15">
      <c r="A94" s="287"/>
      <c r="B94" s="275" t="s">
        <v>481</v>
      </c>
      <c r="C94" s="146" t="s">
        <v>348</v>
      </c>
      <c r="D94" s="99">
        <v>2</v>
      </c>
      <c r="E94" s="527"/>
      <c r="F94" s="873"/>
      <c r="G94" s="230">
        <f t="shared" si="15"/>
        <v>0</v>
      </c>
      <c r="H94" s="146">
        <v>6300</v>
      </c>
      <c r="I94" s="50">
        <f t="shared" si="16"/>
        <v>12600</v>
      </c>
      <c r="J94" s="50">
        <f t="shared" si="17"/>
        <v>0</v>
      </c>
      <c r="K94" s="50">
        <f t="shared" si="18"/>
        <v>0</v>
      </c>
      <c r="L94" s="273">
        <f t="shared" si="19"/>
        <v>0</v>
      </c>
    </row>
    <row r="95" spans="1:22" s="278" customFormat="1" ht="21.75" customHeight="1" x14ac:dyDescent="0.15">
      <c r="A95" s="287">
        <v>5.4</v>
      </c>
      <c r="B95" s="275" t="s">
        <v>354</v>
      </c>
      <c r="C95" s="146" t="s">
        <v>174</v>
      </c>
      <c r="D95" s="99">
        <v>15</v>
      </c>
      <c r="E95" s="527"/>
      <c r="F95" s="702"/>
      <c r="G95" s="230">
        <f t="shared" si="15"/>
        <v>0</v>
      </c>
      <c r="H95" s="146">
        <v>200</v>
      </c>
      <c r="I95" s="50">
        <f t="shared" si="16"/>
        <v>3000</v>
      </c>
      <c r="J95" s="50">
        <f t="shared" si="17"/>
        <v>0</v>
      </c>
      <c r="K95" s="50">
        <f t="shared" si="18"/>
        <v>0</v>
      </c>
      <c r="L95" s="273">
        <f t="shared" si="19"/>
        <v>0</v>
      </c>
    </row>
    <row r="96" spans="1:22" s="278" customFormat="1" ht="21.75" customHeight="1" x14ac:dyDescent="0.15">
      <c r="A96" s="287">
        <v>5.5</v>
      </c>
      <c r="B96" s="275" t="s">
        <v>355</v>
      </c>
      <c r="C96" s="146" t="s">
        <v>174</v>
      </c>
      <c r="D96" s="99">
        <v>30</v>
      </c>
      <c r="E96" s="527"/>
      <c r="F96" s="702"/>
      <c r="G96" s="230">
        <f t="shared" si="15"/>
        <v>0</v>
      </c>
      <c r="H96" s="146">
        <v>250</v>
      </c>
      <c r="I96" s="50">
        <f t="shared" si="16"/>
        <v>7500</v>
      </c>
      <c r="J96" s="50">
        <f t="shared" si="17"/>
        <v>0</v>
      </c>
      <c r="K96" s="50">
        <f t="shared" si="18"/>
        <v>0</v>
      </c>
      <c r="L96" s="273">
        <f t="shared" si="19"/>
        <v>0</v>
      </c>
    </row>
    <row r="97" spans="1:22" s="704" customFormat="1" ht="26.25" customHeight="1" thickBot="1" x14ac:dyDescent="0.2">
      <c r="A97" s="571"/>
      <c r="B97" s="1104" t="s">
        <v>64</v>
      </c>
      <c r="C97" s="1105"/>
      <c r="D97" s="1105"/>
      <c r="E97" s="1105"/>
      <c r="F97" s="1105"/>
      <c r="G97" s="1105"/>
      <c r="H97" s="1106"/>
      <c r="I97" s="572">
        <f>SUM(I85:I96)</f>
        <v>117412.5</v>
      </c>
      <c r="J97" s="572">
        <f>SUM(J85:J96)</f>
        <v>71075</v>
      </c>
      <c r="K97" s="705">
        <f>SUM(K85:K96)</f>
        <v>0</v>
      </c>
      <c r="L97" s="705">
        <f>SUM(L85:L96)</f>
        <v>71075</v>
      </c>
    </row>
    <row r="98" spans="1:22" s="312" customFormat="1" x14ac:dyDescent="0.15">
      <c r="A98" s="340"/>
      <c r="B98" s="267" t="s">
        <v>297</v>
      </c>
      <c r="C98" s="149"/>
      <c r="D98" s="149"/>
      <c r="E98" s="341"/>
      <c r="F98" s="341"/>
      <c r="G98" s="341"/>
      <c r="H98" s="342"/>
      <c r="I98" s="342"/>
      <c r="J98" s="295"/>
      <c r="K98" s="295"/>
      <c r="L98" s="295"/>
      <c r="M98" s="628"/>
      <c r="N98" s="628"/>
      <c r="O98" s="628"/>
      <c r="P98" s="628"/>
      <c r="Q98" s="628"/>
      <c r="R98" s="628"/>
      <c r="S98" s="628"/>
      <c r="T98" s="628"/>
      <c r="U98" s="628"/>
      <c r="V98" s="628"/>
    </row>
    <row r="99" spans="1:22" s="312" customFormat="1" ht="20.25" customHeight="1" x14ac:dyDescent="0.15">
      <c r="A99" s="343">
        <v>6.1</v>
      </c>
      <c r="B99" s="270" t="s">
        <v>298</v>
      </c>
      <c r="C99" s="149"/>
      <c r="D99" s="149"/>
      <c r="E99" s="231"/>
      <c r="F99" s="231"/>
      <c r="G99" s="310"/>
      <c r="H99" s="147"/>
      <c r="I99" s="147"/>
      <c r="J99" s="231"/>
      <c r="K99" s="231"/>
      <c r="L99" s="231"/>
      <c r="M99" s="628"/>
      <c r="N99" s="628"/>
      <c r="O99" s="628"/>
      <c r="P99" s="628"/>
      <c r="Q99" s="628"/>
      <c r="R99" s="628"/>
      <c r="S99" s="628"/>
      <c r="T99" s="628"/>
      <c r="U99" s="628"/>
      <c r="V99" s="628"/>
    </row>
    <row r="100" spans="1:22" s="312" customFormat="1" ht="20.25" customHeight="1" x14ac:dyDescent="0.15">
      <c r="A100" s="343"/>
      <c r="B100" s="270" t="s">
        <v>299</v>
      </c>
      <c r="C100" s="12" t="s">
        <v>300</v>
      </c>
      <c r="D100" s="12">
        <v>255</v>
      </c>
      <c r="E100" s="231">
        <v>212.75</v>
      </c>
      <c r="F100" s="231"/>
      <c r="G100" s="231">
        <f t="shared" ref="G100:G106" si="20">F100+E100</f>
        <v>212.75</v>
      </c>
      <c r="H100" s="98">
        <v>115</v>
      </c>
      <c r="I100" s="98">
        <f t="shared" ref="I100:I106" si="21">H100*D100</f>
        <v>29325</v>
      </c>
      <c r="J100" s="31">
        <f t="shared" ref="J100:J106" si="22">H100*E100</f>
        <v>24466.25</v>
      </c>
      <c r="K100" s="31">
        <f t="shared" ref="K100:K106" si="23">H100*F100</f>
        <v>0</v>
      </c>
      <c r="L100" s="231">
        <f>K100+J100</f>
        <v>24466.25</v>
      </c>
      <c r="M100" s="628"/>
      <c r="N100" s="628"/>
      <c r="O100" s="628"/>
      <c r="P100" s="628"/>
      <c r="Q100" s="628"/>
      <c r="R100" s="628"/>
      <c r="S100" s="628"/>
      <c r="T100" s="628"/>
      <c r="U100" s="628"/>
      <c r="V100" s="628"/>
    </row>
    <row r="101" spans="1:22" s="312" customFormat="1" ht="20.25" customHeight="1" x14ac:dyDescent="0.15">
      <c r="A101" s="343">
        <v>6.2</v>
      </c>
      <c r="B101" s="270" t="s">
        <v>301</v>
      </c>
      <c r="C101" s="12"/>
      <c r="D101" s="12"/>
      <c r="E101" s="310"/>
      <c r="F101" s="310"/>
      <c r="G101" s="231">
        <f t="shared" si="20"/>
        <v>0</v>
      </c>
      <c r="H101" s="98"/>
      <c r="I101" s="98">
        <f t="shared" si="21"/>
        <v>0</v>
      </c>
      <c r="J101" s="31">
        <f t="shared" si="22"/>
        <v>0</v>
      </c>
      <c r="K101" s="31">
        <f t="shared" si="23"/>
        <v>0</v>
      </c>
      <c r="L101" s="231">
        <f>K101+J101</f>
        <v>0</v>
      </c>
      <c r="M101" s="628"/>
      <c r="N101" s="628"/>
      <c r="O101" s="628"/>
      <c r="P101" s="628"/>
      <c r="Q101" s="628"/>
      <c r="R101" s="628"/>
      <c r="S101" s="628"/>
      <c r="T101" s="628"/>
      <c r="U101" s="628"/>
      <c r="V101" s="628"/>
    </row>
    <row r="102" spans="1:22" s="312" customFormat="1" ht="20.25" customHeight="1" x14ac:dyDescent="0.15">
      <c r="A102" s="343"/>
      <c r="B102" s="344" t="s">
        <v>302</v>
      </c>
      <c r="C102" s="12" t="s">
        <v>300</v>
      </c>
      <c r="D102" s="12">
        <v>1375</v>
      </c>
      <c r="E102" s="231">
        <v>1729.91</v>
      </c>
      <c r="F102" s="872"/>
      <c r="G102" s="231">
        <f t="shared" si="20"/>
        <v>1729.91</v>
      </c>
      <c r="H102" s="98">
        <v>140</v>
      </c>
      <c r="I102" s="98">
        <f t="shared" si="21"/>
        <v>192500</v>
      </c>
      <c r="J102" s="31">
        <f t="shared" si="22"/>
        <v>242187.40000000002</v>
      </c>
      <c r="K102" s="31">
        <f t="shared" si="23"/>
        <v>0</v>
      </c>
      <c r="L102" s="231">
        <f>H102*G102</f>
        <v>242187.40000000002</v>
      </c>
      <c r="M102" s="628"/>
      <c r="N102" s="628">
        <f>L102/H102</f>
        <v>1729.91</v>
      </c>
      <c r="O102" s="628"/>
      <c r="P102" s="628"/>
      <c r="Q102" s="628"/>
      <c r="R102" s="628"/>
      <c r="S102" s="628"/>
      <c r="T102" s="628"/>
      <c r="U102" s="628"/>
      <c r="V102" s="628"/>
    </row>
    <row r="103" spans="1:22" s="312" customFormat="1" ht="20.25" customHeight="1" x14ac:dyDescent="0.15">
      <c r="A103" s="343">
        <v>6.3</v>
      </c>
      <c r="B103" s="344" t="s">
        <v>482</v>
      </c>
      <c r="C103" s="12" t="s">
        <v>11</v>
      </c>
      <c r="D103" s="12">
        <v>685</v>
      </c>
      <c r="E103" s="231"/>
      <c r="F103" s="872">
        <v>629.11</v>
      </c>
      <c r="G103" s="231">
        <f t="shared" si="20"/>
        <v>629.11</v>
      </c>
      <c r="H103" s="98">
        <v>340</v>
      </c>
      <c r="I103" s="98">
        <f t="shared" si="21"/>
        <v>232900</v>
      </c>
      <c r="J103" s="31">
        <f t="shared" si="22"/>
        <v>0</v>
      </c>
      <c r="K103" s="31">
        <f t="shared" si="23"/>
        <v>213897.4</v>
      </c>
      <c r="L103" s="231">
        <f>H103*G103</f>
        <v>213897.4</v>
      </c>
      <c r="M103" s="628"/>
      <c r="N103" s="628"/>
      <c r="O103" s="628"/>
      <c r="P103" s="628"/>
      <c r="Q103" s="628"/>
      <c r="R103" s="628"/>
      <c r="S103" s="628"/>
      <c r="T103" s="628"/>
      <c r="U103" s="628"/>
      <c r="V103" s="628"/>
    </row>
    <row r="104" spans="1:22" s="312" customFormat="1" ht="20.25" customHeight="1" x14ac:dyDescent="0.15">
      <c r="A104" s="343">
        <v>6.5</v>
      </c>
      <c r="B104" s="344" t="s">
        <v>529</v>
      </c>
      <c r="C104" s="12" t="s">
        <v>11</v>
      </c>
      <c r="D104" s="12">
        <v>557</v>
      </c>
      <c r="E104" s="231"/>
      <c r="F104" s="872">
        <v>646.12</v>
      </c>
      <c r="G104" s="231">
        <f t="shared" si="20"/>
        <v>646.12</v>
      </c>
      <c r="H104" s="98">
        <v>380</v>
      </c>
      <c r="I104" s="98">
        <f t="shared" si="21"/>
        <v>211660</v>
      </c>
      <c r="J104" s="31">
        <f t="shared" si="22"/>
        <v>0</v>
      </c>
      <c r="K104" s="31">
        <f t="shared" si="23"/>
        <v>245525.6</v>
      </c>
      <c r="L104" s="231">
        <f>H104*G104</f>
        <v>245525.6</v>
      </c>
      <c r="M104" s="628"/>
      <c r="N104" s="628"/>
      <c r="O104" s="628"/>
      <c r="P104" s="628"/>
      <c r="Q104" s="628"/>
      <c r="R104" s="628"/>
      <c r="S104" s="628"/>
      <c r="T104" s="628"/>
      <c r="U104" s="628"/>
      <c r="V104" s="628"/>
    </row>
    <row r="105" spans="1:22" s="312" customFormat="1" ht="20.25" customHeight="1" x14ac:dyDescent="0.15">
      <c r="A105" s="343">
        <v>6.6</v>
      </c>
      <c r="B105" s="344" t="s">
        <v>528</v>
      </c>
      <c r="C105" s="12" t="s">
        <v>174</v>
      </c>
      <c r="D105" s="12">
        <v>485</v>
      </c>
      <c r="E105" s="231"/>
      <c r="F105" s="872">
        <v>378.71</v>
      </c>
      <c r="G105" s="231">
        <f t="shared" si="20"/>
        <v>378.71</v>
      </c>
      <c r="H105" s="98">
        <v>50</v>
      </c>
      <c r="I105" s="98">
        <f t="shared" si="21"/>
        <v>24250</v>
      </c>
      <c r="J105" s="31">
        <f t="shared" si="22"/>
        <v>0</v>
      </c>
      <c r="K105" s="31">
        <f t="shared" si="23"/>
        <v>18935.5</v>
      </c>
      <c r="L105" s="231">
        <f>H105*G105</f>
        <v>18935.5</v>
      </c>
      <c r="M105" s="628"/>
      <c r="N105" s="628"/>
      <c r="O105" s="628"/>
      <c r="P105" s="628"/>
      <c r="Q105" s="628"/>
      <c r="R105" s="628"/>
      <c r="S105" s="628"/>
      <c r="T105" s="628"/>
      <c r="U105" s="628"/>
      <c r="V105" s="628"/>
    </row>
    <row r="106" spans="1:22" s="312" customFormat="1" ht="20.25" customHeight="1" x14ac:dyDescent="0.15">
      <c r="A106" s="343">
        <v>6.9</v>
      </c>
      <c r="B106" s="344" t="s">
        <v>510</v>
      </c>
      <c r="C106" s="12" t="s">
        <v>300</v>
      </c>
      <c r="D106" s="12">
        <v>143</v>
      </c>
      <c r="E106" s="231"/>
      <c r="F106" s="872"/>
      <c r="G106" s="231">
        <f t="shared" si="20"/>
        <v>0</v>
      </c>
      <c r="H106" s="98">
        <v>450</v>
      </c>
      <c r="I106" s="98">
        <f t="shared" si="21"/>
        <v>64350</v>
      </c>
      <c r="J106" s="31">
        <f t="shared" si="22"/>
        <v>0</v>
      </c>
      <c r="K106" s="31">
        <f t="shared" si="23"/>
        <v>0</v>
      </c>
      <c r="L106" s="231">
        <f>H106*G106</f>
        <v>0</v>
      </c>
      <c r="M106" s="628"/>
      <c r="N106" s="628"/>
      <c r="O106" s="628"/>
      <c r="P106" s="628"/>
      <c r="Q106" s="628"/>
      <c r="R106" s="628"/>
      <c r="S106" s="628"/>
      <c r="T106" s="628"/>
      <c r="U106" s="628"/>
      <c r="V106" s="628"/>
    </row>
    <row r="107" spans="1:22" s="582" customFormat="1" ht="24.75" customHeight="1" thickBot="1" x14ac:dyDescent="0.2">
      <c r="A107" s="571"/>
      <c r="B107" s="1104" t="s">
        <v>64</v>
      </c>
      <c r="C107" s="1105"/>
      <c r="D107" s="1105"/>
      <c r="E107" s="1105"/>
      <c r="F107" s="1105"/>
      <c r="G107" s="1105"/>
      <c r="H107" s="1106"/>
      <c r="I107" s="572">
        <f>SUM(I100:I106)</f>
        <v>754985</v>
      </c>
      <c r="J107" s="572">
        <f>SUM(J100:J106)</f>
        <v>266653.65000000002</v>
      </c>
      <c r="K107" s="572">
        <f>SUM(K100:K106)</f>
        <v>478358.5</v>
      </c>
      <c r="L107" s="572">
        <f>SUM(L100:L106)</f>
        <v>745012.15</v>
      </c>
      <c r="M107" s="628"/>
      <c r="N107" s="628"/>
      <c r="O107" s="628"/>
      <c r="P107" s="628"/>
      <c r="Q107" s="628"/>
      <c r="R107" s="628"/>
      <c r="S107" s="628"/>
      <c r="T107" s="628"/>
      <c r="U107" s="628"/>
      <c r="V107" s="628"/>
    </row>
    <row r="108" spans="1:22" s="312" customFormat="1" ht="21" customHeight="1" x14ac:dyDescent="0.15">
      <c r="A108" s="323"/>
      <c r="B108" s="324"/>
      <c r="C108" s="323"/>
      <c r="D108" s="324"/>
      <c r="E108" s="324"/>
      <c r="F108" s="324"/>
      <c r="G108" s="324"/>
      <c r="H108" s="324"/>
      <c r="I108" s="324"/>
      <c r="J108" s="324"/>
      <c r="K108" s="324"/>
      <c r="L108" s="324"/>
      <c r="M108" s="628"/>
      <c r="N108" s="628"/>
      <c r="O108" s="628"/>
      <c r="P108" s="628"/>
      <c r="Q108" s="628"/>
      <c r="R108" s="628"/>
      <c r="S108" s="628"/>
      <c r="T108" s="628"/>
      <c r="U108" s="628"/>
      <c r="V108" s="628"/>
    </row>
  </sheetData>
  <mergeCells count="47">
    <mergeCell ref="B107:H107"/>
    <mergeCell ref="B1:K1"/>
    <mergeCell ref="I2:K2"/>
    <mergeCell ref="I3:I4"/>
    <mergeCell ref="J3:K3"/>
    <mergeCell ref="B97:H97"/>
    <mergeCell ref="B60:H60"/>
    <mergeCell ref="B41:K41"/>
    <mergeCell ref="I42:K42"/>
    <mergeCell ref="L3:L4"/>
    <mergeCell ref="A2:A4"/>
    <mergeCell ref="B2:B4"/>
    <mergeCell ref="C2:C4"/>
    <mergeCell ref="D2:F2"/>
    <mergeCell ref="H2:H4"/>
    <mergeCell ref="D3:D4"/>
    <mergeCell ref="E3:F3"/>
    <mergeCell ref="G2:G4"/>
    <mergeCell ref="A42:A44"/>
    <mergeCell ref="E43:F43"/>
    <mergeCell ref="B14:H14"/>
    <mergeCell ref="B34:H34"/>
    <mergeCell ref="B38:H38"/>
    <mergeCell ref="D43:D44"/>
    <mergeCell ref="G42:G45"/>
    <mergeCell ref="D42:F42"/>
    <mergeCell ref="L80:L81"/>
    <mergeCell ref="L43:L44"/>
    <mergeCell ref="I43:I44"/>
    <mergeCell ref="J43:K43"/>
    <mergeCell ref="B42:B44"/>
    <mergeCell ref="C42:C44"/>
    <mergeCell ref="H42:H44"/>
    <mergeCell ref="I79:K79"/>
    <mergeCell ref="E80:F80"/>
    <mergeCell ref="B66:H66"/>
    <mergeCell ref="I80:I81"/>
    <mergeCell ref="B70:H70"/>
    <mergeCell ref="D80:D81"/>
    <mergeCell ref="H79:H81"/>
    <mergeCell ref="B78:H78"/>
    <mergeCell ref="J80:K80"/>
    <mergeCell ref="A79:A81"/>
    <mergeCell ref="B79:B81"/>
    <mergeCell ref="C79:C81"/>
    <mergeCell ref="D79:F79"/>
    <mergeCell ref="G79:G82"/>
  </mergeCells>
  <pageMargins left="0.36" right="0.41" top="0.75" bottom="0.75" header="0.3" footer="0.3"/>
  <pageSetup scale="65" orientation="landscape" horizontalDpi="300" verticalDpi="300" r:id="rId1"/>
  <headerFooter>
    <oddHeader>&amp;C&amp;22BRIGHT CONSTRUCTION plc</oddHeader>
    <oddFooter>&amp;LCONTRACTOR:-_________________&amp;RSUPERVISOR:-____________________</oddFooter>
  </headerFooter>
  <rowBreaks count="2" manualBreakCount="2">
    <brk id="40" max="16383" man="1"/>
    <brk id="78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51"/>
  <sheetViews>
    <sheetView zoomScale="70" zoomScaleNormal="70" zoomScaleSheetLayoutView="70" workbookViewId="0">
      <pane ySplit="4" topLeftCell="A89" activePane="bottomLeft" state="frozen"/>
      <selection pane="bottomLeft" activeCell="K117" sqref="K117"/>
    </sheetView>
  </sheetViews>
  <sheetFormatPr defaultColWidth="9.14453125" defaultRowHeight="14.25" x14ac:dyDescent="0.15"/>
  <cols>
    <col min="1" max="1" width="11.02734375" style="71" customWidth="1"/>
    <col min="2" max="2" width="42.91015625" style="71" customWidth="1"/>
    <col min="3" max="3" width="6.3203125" style="346" bestFit="1" customWidth="1"/>
    <col min="4" max="4" width="14.66015625" style="71" customWidth="1"/>
    <col min="5" max="5" width="14.125" style="71" customWidth="1"/>
    <col min="6" max="7" width="13.85546875" style="71" customWidth="1"/>
    <col min="8" max="8" width="16.8125" style="71" customWidth="1"/>
    <col min="9" max="9" width="19.7734375" style="71" bestFit="1" customWidth="1"/>
    <col min="10" max="10" width="21.1171875" style="71" customWidth="1"/>
    <col min="11" max="11" width="21.7890625" style="71" customWidth="1"/>
    <col min="12" max="12" width="24.6171875" style="71" customWidth="1"/>
    <col min="13" max="13" width="16.94921875" style="626" customWidth="1"/>
    <col min="14" max="24" width="9.14453125" style="626"/>
    <col min="25" max="16384" width="9.14453125" style="71"/>
  </cols>
  <sheetData>
    <row r="1" spans="1:24" s="254" customFormat="1" ht="21.75" customHeight="1" thickBot="1" x14ac:dyDescent="0.2">
      <c r="A1" s="253"/>
      <c r="B1" s="1116" t="s">
        <v>67</v>
      </c>
      <c r="C1" s="1116"/>
      <c r="D1" s="1116"/>
      <c r="E1" s="1116"/>
      <c r="F1" s="1116"/>
      <c r="G1" s="1116"/>
      <c r="H1" s="1116"/>
      <c r="I1" s="1116"/>
      <c r="J1" s="1116"/>
      <c r="K1" s="1116"/>
      <c r="M1" s="616"/>
      <c r="N1" s="616"/>
      <c r="O1" s="616"/>
      <c r="P1" s="616"/>
      <c r="Q1" s="616"/>
      <c r="R1" s="616"/>
      <c r="S1" s="616"/>
      <c r="T1" s="616"/>
      <c r="U1" s="616"/>
      <c r="V1" s="616"/>
      <c r="W1" s="616"/>
      <c r="X1" s="616"/>
    </row>
    <row r="2" spans="1:24" s="254" customFormat="1" ht="21.75" customHeight="1" x14ac:dyDescent="0.15">
      <c r="A2" s="1107" t="s">
        <v>61</v>
      </c>
      <c r="B2" s="1128" t="s">
        <v>54</v>
      </c>
      <c r="C2" s="1128" t="s">
        <v>5</v>
      </c>
      <c r="D2" s="1117" t="s">
        <v>4</v>
      </c>
      <c r="E2" s="1118"/>
      <c r="F2" s="1119"/>
      <c r="G2" s="1140" t="s">
        <v>334</v>
      </c>
      <c r="H2" s="1110" t="s">
        <v>8</v>
      </c>
      <c r="I2" s="1136" t="s">
        <v>50</v>
      </c>
      <c r="J2" s="1118"/>
      <c r="K2" s="1119"/>
      <c r="L2" s="503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</row>
    <row r="3" spans="1:24" s="254" customFormat="1" ht="19.5" customHeight="1" x14ac:dyDescent="0.15">
      <c r="A3" s="1108"/>
      <c r="B3" s="1129"/>
      <c r="C3" s="1129"/>
      <c r="D3" s="1130" t="s">
        <v>62</v>
      </c>
      <c r="E3" s="1120" t="s">
        <v>63</v>
      </c>
      <c r="F3" s="1121"/>
      <c r="G3" s="1141"/>
      <c r="H3" s="1111"/>
      <c r="I3" s="1122" t="s">
        <v>6</v>
      </c>
      <c r="J3" s="1134" t="s">
        <v>7</v>
      </c>
      <c r="K3" s="1135"/>
      <c r="L3" s="1132" t="s">
        <v>336</v>
      </c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</row>
    <row r="4" spans="1:24" s="254" customFormat="1" ht="21" customHeight="1" thickBot="1" x14ac:dyDescent="0.2">
      <c r="A4" s="1109"/>
      <c r="B4" s="1123"/>
      <c r="C4" s="1123"/>
      <c r="D4" s="1131"/>
      <c r="E4" s="255" t="s">
        <v>98</v>
      </c>
      <c r="F4" s="255" t="s">
        <v>99</v>
      </c>
      <c r="G4" s="1141"/>
      <c r="H4" s="1112"/>
      <c r="I4" s="1123"/>
      <c r="J4" s="255" t="s">
        <v>98</v>
      </c>
      <c r="K4" s="255" t="s">
        <v>99</v>
      </c>
      <c r="L4" s="1133"/>
      <c r="M4" s="616"/>
      <c r="N4" s="616"/>
      <c r="O4" s="616"/>
      <c r="P4" s="616"/>
      <c r="Q4" s="616"/>
      <c r="R4" s="616"/>
      <c r="S4" s="616"/>
      <c r="T4" s="616"/>
      <c r="U4" s="616"/>
      <c r="V4" s="616"/>
      <c r="W4" s="616"/>
      <c r="X4" s="616"/>
    </row>
    <row r="5" spans="1:24" s="254" customFormat="1" ht="21" customHeight="1" thickBot="1" x14ac:dyDescent="0.2">
      <c r="A5" s="280" t="s">
        <v>102</v>
      </c>
      <c r="B5" s="257" t="s">
        <v>103</v>
      </c>
      <c r="C5" s="257" t="s">
        <v>104</v>
      </c>
      <c r="D5" s="258" t="s">
        <v>105</v>
      </c>
      <c r="E5" s="258" t="s">
        <v>106</v>
      </c>
      <c r="F5" s="258" t="s">
        <v>107</v>
      </c>
      <c r="G5" s="350"/>
      <c r="H5" s="259" t="s">
        <v>108</v>
      </c>
      <c r="I5" s="257" t="s">
        <v>116</v>
      </c>
      <c r="J5" s="258" t="s">
        <v>115</v>
      </c>
      <c r="K5" s="258" t="s">
        <v>114</v>
      </c>
      <c r="L5" s="260" t="s">
        <v>113</v>
      </c>
      <c r="M5" s="616"/>
      <c r="N5" s="616"/>
      <c r="O5" s="616"/>
      <c r="P5" s="616"/>
      <c r="Q5" s="616"/>
      <c r="R5" s="616"/>
      <c r="S5" s="616"/>
      <c r="T5" s="616"/>
      <c r="U5" s="616"/>
      <c r="V5" s="616"/>
      <c r="W5" s="616"/>
      <c r="X5" s="616"/>
    </row>
    <row r="6" spans="1:24" x14ac:dyDescent="0.15">
      <c r="A6" s="532"/>
      <c r="B6" s="326" t="s">
        <v>9</v>
      </c>
      <c r="C6" s="293"/>
      <c r="D6" s="294"/>
      <c r="E6" s="162"/>
      <c r="F6" s="162"/>
      <c r="G6" s="162"/>
      <c r="H6" s="294"/>
      <c r="I6" s="294"/>
      <c r="J6" s="295"/>
      <c r="K6" s="295"/>
      <c r="L6" s="296"/>
    </row>
    <row r="7" spans="1:24" x14ac:dyDescent="0.15">
      <c r="A7" s="533">
        <v>1</v>
      </c>
      <c r="B7" s="534" t="s">
        <v>10</v>
      </c>
      <c r="C7" s="299"/>
      <c r="D7" s="39"/>
      <c r="E7" s="40"/>
      <c r="F7" s="40"/>
      <c r="G7" s="40"/>
      <c r="H7" s="39"/>
      <c r="I7" s="39"/>
      <c r="J7" s="231"/>
      <c r="K7" s="231"/>
      <c r="L7" s="300"/>
    </row>
    <row r="8" spans="1:24" x14ac:dyDescent="0.15">
      <c r="A8" s="419">
        <v>1.01</v>
      </c>
      <c r="B8" s="315" t="s">
        <v>18</v>
      </c>
      <c r="C8" s="302" t="s">
        <v>11</v>
      </c>
      <c r="D8" s="31">
        <v>825</v>
      </c>
      <c r="E8" s="35">
        <v>823.92</v>
      </c>
      <c r="F8" s="35"/>
      <c r="G8" s="35">
        <f t="shared" ref="G8:G13" si="0">F8+E8</f>
        <v>823.92</v>
      </c>
      <c r="H8" s="31">
        <v>6</v>
      </c>
      <c r="I8" s="31">
        <f t="shared" ref="I8:I13" si="1">H8*D8</f>
        <v>4950</v>
      </c>
      <c r="J8" s="31">
        <f t="shared" ref="J8:J13" si="2">H8*E8</f>
        <v>4943.5199999999995</v>
      </c>
      <c r="K8" s="31">
        <f t="shared" ref="K8:K13" si="3">H8*F8</f>
        <v>0</v>
      </c>
      <c r="L8" s="300">
        <f t="shared" ref="L8:L13" si="4">K8+J8</f>
        <v>4943.5199999999995</v>
      </c>
      <c r="M8" s="630"/>
    </row>
    <row r="9" spans="1:24" x14ac:dyDescent="0.15">
      <c r="A9" s="419">
        <v>1.02</v>
      </c>
      <c r="B9" s="315" t="s">
        <v>117</v>
      </c>
      <c r="C9" s="302" t="s">
        <v>12</v>
      </c>
      <c r="D9" s="31">
        <v>1237</v>
      </c>
      <c r="E9" s="35">
        <v>479.7</v>
      </c>
      <c r="F9" s="35"/>
      <c r="G9" s="35">
        <f t="shared" si="0"/>
        <v>479.7</v>
      </c>
      <c r="H9" s="31">
        <v>25</v>
      </c>
      <c r="I9" s="31">
        <f t="shared" si="1"/>
        <v>30925</v>
      </c>
      <c r="J9" s="31">
        <f t="shared" si="2"/>
        <v>11992.5</v>
      </c>
      <c r="K9" s="31">
        <f t="shared" si="3"/>
        <v>0</v>
      </c>
      <c r="L9" s="300">
        <f t="shared" si="4"/>
        <v>11992.5</v>
      </c>
      <c r="M9" s="630"/>
    </row>
    <row r="10" spans="1:24" x14ac:dyDescent="0.15">
      <c r="A10" s="419">
        <v>1.04</v>
      </c>
      <c r="B10" s="315" t="s">
        <v>13</v>
      </c>
      <c r="C10" s="302" t="s">
        <v>12</v>
      </c>
      <c r="D10" s="31">
        <v>322</v>
      </c>
      <c r="E10" s="35">
        <v>0</v>
      </c>
      <c r="F10" s="35"/>
      <c r="G10" s="35">
        <f t="shared" si="0"/>
        <v>0</v>
      </c>
      <c r="H10" s="31">
        <v>35</v>
      </c>
      <c r="I10" s="31">
        <f t="shared" si="1"/>
        <v>11270</v>
      </c>
      <c r="J10" s="31">
        <f t="shared" si="2"/>
        <v>0</v>
      </c>
      <c r="K10" s="31">
        <f t="shared" si="3"/>
        <v>0</v>
      </c>
      <c r="L10" s="300">
        <f t="shared" si="4"/>
        <v>0</v>
      </c>
      <c r="M10" s="630"/>
    </row>
    <row r="11" spans="1:24" x14ac:dyDescent="0.15">
      <c r="A11" s="419">
        <v>1.05</v>
      </c>
      <c r="B11" s="315" t="s">
        <v>101</v>
      </c>
      <c r="C11" s="302" t="s">
        <v>12</v>
      </c>
      <c r="D11" s="31">
        <v>1058</v>
      </c>
      <c r="E11" s="35">
        <f>477+383</f>
        <v>860</v>
      </c>
      <c r="F11" s="35"/>
      <c r="G11" s="35">
        <f t="shared" si="0"/>
        <v>860</v>
      </c>
      <c r="H11" s="31">
        <v>40</v>
      </c>
      <c r="I11" s="31">
        <f t="shared" si="1"/>
        <v>42320</v>
      </c>
      <c r="J11" s="31">
        <f t="shared" si="2"/>
        <v>34400</v>
      </c>
      <c r="K11" s="31">
        <f t="shared" si="3"/>
        <v>0</v>
      </c>
      <c r="L11" s="300">
        <f t="shared" si="4"/>
        <v>34400</v>
      </c>
      <c r="M11" s="630"/>
    </row>
    <row r="12" spans="1:24" x14ac:dyDescent="0.15">
      <c r="A12" s="419">
        <v>1.06</v>
      </c>
      <c r="B12" s="419" t="s">
        <v>87</v>
      </c>
      <c r="C12" s="303" t="s">
        <v>12</v>
      </c>
      <c r="D12" s="31">
        <v>1537</v>
      </c>
      <c r="E12" s="35">
        <v>629.11</v>
      </c>
      <c r="F12" s="35"/>
      <c r="G12" s="35">
        <f t="shared" si="0"/>
        <v>629.11</v>
      </c>
      <c r="H12" s="37">
        <v>25</v>
      </c>
      <c r="I12" s="31">
        <f t="shared" si="1"/>
        <v>38425</v>
      </c>
      <c r="J12" s="31">
        <f t="shared" si="2"/>
        <v>15727.75</v>
      </c>
      <c r="K12" s="31">
        <f t="shared" si="3"/>
        <v>0</v>
      </c>
      <c r="L12" s="300">
        <f t="shared" si="4"/>
        <v>15727.75</v>
      </c>
      <c r="M12" s="630"/>
    </row>
    <row r="13" spans="1:24" x14ac:dyDescent="0.15">
      <c r="A13" s="535">
        <v>1.07</v>
      </c>
      <c r="B13" s="305" t="s">
        <v>94</v>
      </c>
      <c r="C13" s="51" t="s">
        <v>12</v>
      </c>
      <c r="D13" s="50">
        <v>685</v>
      </c>
      <c r="E13" s="51">
        <v>628.78</v>
      </c>
      <c r="F13" s="35"/>
      <c r="G13" s="35">
        <f t="shared" si="0"/>
        <v>628.78</v>
      </c>
      <c r="H13" s="50">
        <v>105</v>
      </c>
      <c r="I13" s="31">
        <f t="shared" si="1"/>
        <v>71925</v>
      </c>
      <c r="J13" s="31">
        <f t="shared" si="2"/>
        <v>66021.899999999994</v>
      </c>
      <c r="K13" s="31">
        <f t="shared" si="3"/>
        <v>0</v>
      </c>
      <c r="L13" s="300">
        <f t="shared" si="4"/>
        <v>66021.899999999994</v>
      </c>
      <c r="M13" s="631"/>
    </row>
    <row r="14" spans="1:24" s="569" customFormat="1" ht="24.95" customHeight="1" thickBot="1" x14ac:dyDescent="0.2">
      <c r="A14" s="579"/>
      <c r="B14" s="1102" t="s">
        <v>64</v>
      </c>
      <c r="C14" s="1102"/>
      <c r="D14" s="1102"/>
      <c r="E14" s="1102"/>
      <c r="F14" s="1102"/>
      <c r="G14" s="1102"/>
      <c r="H14" s="1103"/>
      <c r="I14" s="568">
        <f>SUM(I8:I13)</f>
        <v>199815</v>
      </c>
      <c r="J14" s="568">
        <f>SUM(J8:J13)</f>
        <v>133085.66999999998</v>
      </c>
      <c r="K14" s="568">
        <f>SUM(K8:K13)</f>
        <v>0</v>
      </c>
      <c r="L14" s="568">
        <f>SUM(L8:L13)</f>
        <v>133085.66999999998</v>
      </c>
      <c r="M14" s="616"/>
      <c r="N14" s="616"/>
      <c r="O14" s="616"/>
      <c r="P14" s="616"/>
      <c r="Q14" s="616"/>
      <c r="R14" s="616"/>
      <c r="S14" s="616"/>
      <c r="T14" s="616"/>
      <c r="U14" s="616"/>
      <c r="V14" s="616"/>
      <c r="W14" s="616"/>
      <c r="X14" s="616"/>
    </row>
    <row r="15" spans="1:24" x14ac:dyDescent="0.15">
      <c r="A15" s="420"/>
      <c r="B15" s="424"/>
      <c r="C15" s="536"/>
      <c r="D15" s="74"/>
      <c r="E15" s="75"/>
      <c r="F15" s="75"/>
      <c r="G15" s="75"/>
      <c r="H15" s="74"/>
      <c r="I15" s="74"/>
      <c r="J15" s="74"/>
      <c r="K15" s="74"/>
      <c r="L15" s="311"/>
    </row>
    <row r="16" spans="1:24" x14ac:dyDescent="0.15">
      <c r="A16" s="533"/>
      <c r="B16" s="328" t="s">
        <v>19</v>
      </c>
      <c r="C16" s="299"/>
      <c r="D16" s="39"/>
      <c r="E16" s="40"/>
      <c r="F16" s="40"/>
      <c r="G16" s="40"/>
      <c r="H16" s="39"/>
      <c r="I16" s="39"/>
      <c r="J16" s="39"/>
      <c r="K16" s="39"/>
      <c r="L16" s="300"/>
    </row>
    <row r="17" spans="1:13" x14ac:dyDescent="0.15">
      <c r="A17" s="419">
        <v>2.0099999999999998</v>
      </c>
      <c r="B17" s="315" t="s">
        <v>20</v>
      </c>
      <c r="C17" s="302"/>
      <c r="D17" s="39"/>
      <c r="E17" s="40"/>
      <c r="F17" s="40"/>
      <c r="G17" s="40"/>
      <c r="H17" s="31"/>
      <c r="I17" s="39"/>
      <c r="J17" s="39"/>
      <c r="K17" s="39"/>
      <c r="L17" s="300"/>
    </row>
    <row r="18" spans="1:13" x14ac:dyDescent="0.15">
      <c r="A18" s="537"/>
      <c r="B18" s="315" t="s">
        <v>21</v>
      </c>
      <c r="C18" s="302" t="s">
        <v>11</v>
      </c>
      <c r="D18" s="31">
        <v>83</v>
      </c>
      <c r="E18" s="35">
        <f>169.58+6.75</f>
        <v>176.33</v>
      </c>
      <c r="F18" s="35">
        <f>176.33-E18</f>
        <v>0</v>
      </c>
      <c r="G18" s="35">
        <f>F18+E18</f>
        <v>176.33</v>
      </c>
      <c r="H18" s="31">
        <v>65</v>
      </c>
      <c r="I18" s="31">
        <f>D18*H18</f>
        <v>5395</v>
      </c>
      <c r="J18" s="31">
        <f>H18*E18</f>
        <v>11461.45</v>
      </c>
      <c r="K18" s="31">
        <f>H18*F18</f>
        <v>0</v>
      </c>
      <c r="L18" s="300">
        <f>K18+J18</f>
        <v>11461.45</v>
      </c>
      <c r="M18" s="630"/>
    </row>
    <row r="19" spans="1:13" x14ac:dyDescent="0.15">
      <c r="A19" s="537"/>
      <c r="B19" s="315" t="s">
        <v>73</v>
      </c>
      <c r="C19" s="302" t="s">
        <v>11</v>
      </c>
      <c r="D19" s="31">
        <v>83</v>
      </c>
      <c r="E19" s="35"/>
      <c r="F19" s="35"/>
      <c r="G19" s="35">
        <f t="shared" ref="G19:G34" si="5">F19+E19</f>
        <v>0</v>
      </c>
      <c r="H19" s="31">
        <v>65</v>
      </c>
      <c r="I19" s="31">
        <f t="shared" ref="I19:I34" si="6">D19*H19</f>
        <v>5395</v>
      </c>
      <c r="J19" s="31">
        <f t="shared" ref="J19:J33" si="7">H19*E19</f>
        <v>0</v>
      </c>
      <c r="K19" s="31">
        <f t="shared" ref="K19:K33" si="8">H19*F19</f>
        <v>0</v>
      </c>
      <c r="L19" s="300">
        <f t="shared" ref="L19:L34" si="9">K19+J19</f>
        <v>0</v>
      </c>
      <c r="M19" s="630"/>
    </row>
    <row r="20" spans="1:13" x14ac:dyDescent="0.15">
      <c r="A20" s="419"/>
      <c r="B20" s="315" t="s">
        <v>22</v>
      </c>
      <c r="C20" s="302" t="s">
        <v>11</v>
      </c>
      <c r="D20" s="31">
        <v>71</v>
      </c>
      <c r="E20" s="35">
        <f>45+9</f>
        <v>54</v>
      </c>
      <c r="F20" s="35">
        <f>54-E20</f>
        <v>0</v>
      </c>
      <c r="G20" s="35">
        <f t="shared" si="5"/>
        <v>54</v>
      </c>
      <c r="H20" s="31">
        <v>65</v>
      </c>
      <c r="I20" s="31">
        <f t="shared" si="6"/>
        <v>4615</v>
      </c>
      <c r="J20" s="31">
        <f t="shared" si="7"/>
        <v>3510</v>
      </c>
      <c r="K20" s="31">
        <f t="shared" si="8"/>
        <v>0</v>
      </c>
      <c r="L20" s="300">
        <f t="shared" si="9"/>
        <v>3510</v>
      </c>
      <c r="M20" s="630"/>
    </row>
    <row r="21" spans="1:13" x14ac:dyDescent="0.15">
      <c r="A21" s="314">
        <v>2.2000000000000002</v>
      </c>
      <c r="B21" s="315" t="s">
        <v>165</v>
      </c>
      <c r="C21" s="35" t="s">
        <v>11</v>
      </c>
      <c r="D21" s="31">
        <v>625</v>
      </c>
      <c r="E21" s="35">
        <v>509.62</v>
      </c>
      <c r="F21" s="35"/>
      <c r="G21" s="35">
        <f t="shared" si="5"/>
        <v>509.62</v>
      </c>
      <c r="H21" s="31">
        <v>260</v>
      </c>
      <c r="I21" s="31">
        <f t="shared" si="6"/>
        <v>162500</v>
      </c>
      <c r="J21" s="31">
        <f t="shared" si="7"/>
        <v>132501.20000000001</v>
      </c>
      <c r="K21" s="31">
        <f t="shared" si="8"/>
        <v>0</v>
      </c>
      <c r="L21" s="300">
        <f t="shared" si="9"/>
        <v>132501.20000000001</v>
      </c>
      <c r="M21" s="630">
        <f>637.03*80%</f>
        <v>509.62400000000002</v>
      </c>
    </row>
    <row r="22" spans="1:13" x14ac:dyDescent="0.15">
      <c r="A22" s="419">
        <v>2.2999999999999998</v>
      </c>
      <c r="B22" s="328" t="s">
        <v>110</v>
      </c>
      <c r="C22" s="302"/>
      <c r="D22" s="31"/>
      <c r="E22" s="35"/>
      <c r="F22" s="35"/>
      <c r="G22" s="35">
        <f t="shared" si="5"/>
        <v>0</v>
      </c>
      <c r="H22" s="31"/>
      <c r="I22" s="31">
        <f t="shared" si="6"/>
        <v>0</v>
      </c>
      <c r="J22" s="31">
        <f t="shared" si="7"/>
        <v>0</v>
      </c>
      <c r="K22" s="31">
        <f t="shared" si="8"/>
        <v>0</v>
      </c>
      <c r="L22" s="300">
        <f t="shared" si="9"/>
        <v>0</v>
      </c>
      <c r="M22" s="630"/>
    </row>
    <row r="23" spans="1:13" x14ac:dyDescent="0.15">
      <c r="A23" s="419"/>
      <c r="B23" s="315" t="s">
        <v>84</v>
      </c>
      <c r="C23" s="302" t="s">
        <v>12</v>
      </c>
      <c r="D23" s="31">
        <v>39</v>
      </c>
      <c r="E23" s="35">
        <v>35.270000000000003</v>
      </c>
      <c r="F23" s="35"/>
      <c r="G23" s="35">
        <f t="shared" si="5"/>
        <v>35.270000000000003</v>
      </c>
      <c r="H23" s="31">
        <v>2600</v>
      </c>
      <c r="I23" s="31">
        <f t="shared" si="6"/>
        <v>101400</v>
      </c>
      <c r="J23" s="31">
        <f t="shared" si="7"/>
        <v>91702.000000000015</v>
      </c>
      <c r="K23" s="31">
        <f t="shared" si="8"/>
        <v>0</v>
      </c>
      <c r="L23" s="300">
        <f t="shared" si="9"/>
        <v>91702.000000000015</v>
      </c>
      <c r="M23" s="630"/>
    </row>
    <row r="24" spans="1:13" x14ac:dyDescent="0.15">
      <c r="A24" s="419"/>
      <c r="B24" s="315" t="s">
        <v>23</v>
      </c>
      <c r="C24" s="302" t="s">
        <v>12</v>
      </c>
      <c r="D24" s="31">
        <v>14</v>
      </c>
      <c r="E24" s="35">
        <f>9+1.8</f>
        <v>10.8</v>
      </c>
      <c r="F24" s="224"/>
      <c r="G24" s="35">
        <f t="shared" si="5"/>
        <v>10.8</v>
      </c>
      <c r="H24" s="31">
        <v>2600</v>
      </c>
      <c r="I24" s="31">
        <f t="shared" si="6"/>
        <v>36400</v>
      </c>
      <c r="J24" s="31">
        <f t="shared" si="7"/>
        <v>28080.000000000004</v>
      </c>
      <c r="K24" s="31">
        <f t="shared" si="8"/>
        <v>0</v>
      </c>
      <c r="L24" s="300">
        <f t="shared" si="9"/>
        <v>28080.000000000004</v>
      </c>
      <c r="M24" s="630"/>
    </row>
    <row r="25" spans="1:13" x14ac:dyDescent="0.15">
      <c r="A25" s="419"/>
      <c r="B25" s="315" t="s">
        <v>24</v>
      </c>
      <c r="C25" s="302" t="s">
        <v>12</v>
      </c>
      <c r="D25" s="31">
        <v>8</v>
      </c>
      <c r="E25" s="35">
        <f>4.55+0.42</f>
        <v>4.97</v>
      </c>
      <c r="F25" s="224"/>
      <c r="G25" s="35">
        <f t="shared" si="5"/>
        <v>4.97</v>
      </c>
      <c r="H25" s="31">
        <v>2600</v>
      </c>
      <c r="I25" s="31">
        <f t="shared" si="6"/>
        <v>20800</v>
      </c>
      <c r="J25" s="31">
        <f t="shared" si="7"/>
        <v>12922</v>
      </c>
      <c r="K25" s="31">
        <f t="shared" si="8"/>
        <v>0</v>
      </c>
      <c r="L25" s="300">
        <f t="shared" si="9"/>
        <v>12922</v>
      </c>
      <c r="M25" s="630"/>
    </row>
    <row r="26" spans="1:13" x14ac:dyDescent="0.15">
      <c r="A26" s="419">
        <v>2.4</v>
      </c>
      <c r="B26" s="328" t="s">
        <v>121</v>
      </c>
      <c r="C26" s="302"/>
      <c r="D26" s="31"/>
      <c r="E26" s="35"/>
      <c r="F26" s="35"/>
      <c r="G26" s="35">
        <f t="shared" si="5"/>
        <v>0</v>
      </c>
      <c r="H26" s="31"/>
      <c r="I26" s="31">
        <f t="shared" si="6"/>
        <v>0</v>
      </c>
      <c r="J26" s="31">
        <f t="shared" si="7"/>
        <v>0</v>
      </c>
      <c r="K26" s="31">
        <f t="shared" si="8"/>
        <v>0</v>
      </c>
      <c r="L26" s="300">
        <f t="shared" si="9"/>
        <v>0</v>
      </c>
      <c r="M26" s="630"/>
    </row>
    <row r="27" spans="1:13" x14ac:dyDescent="0.15">
      <c r="A27" s="419"/>
      <c r="B27" s="315" t="s">
        <v>84</v>
      </c>
      <c r="C27" s="302" t="s">
        <v>11</v>
      </c>
      <c r="D27" s="31">
        <v>253</v>
      </c>
      <c r="E27" s="35">
        <v>282.12</v>
      </c>
      <c r="F27" s="35"/>
      <c r="G27" s="35">
        <f t="shared" si="5"/>
        <v>282.12</v>
      </c>
      <c r="H27" s="31">
        <v>85</v>
      </c>
      <c r="I27" s="31">
        <f t="shared" si="6"/>
        <v>21505</v>
      </c>
      <c r="J27" s="31">
        <f t="shared" si="7"/>
        <v>23980.2</v>
      </c>
      <c r="K27" s="31">
        <f t="shared" si="8"/>
        <v>0</v>
      </c>
      <c r="L27" s="300">
        <f t="shared" si="9"/>
        <v>23980.2</v>
      </c>
      <c r="M27" s="630"/>
    </row>
    <row r="28" spans="1:13" x14ac:dyDescent="0.15">
      <c r="A28" s="419"/>
      <c r="B28" s="315" t="s">
        <v>23</v>
      </c>
      <c r="C28" s="302" t="s">
        <v>11</v>
      </c>
      <c r="D28" s="31">
        <v>45</v>
      </c>
      <c r="E28" s="35">
        <f>36+7.2</f>
        <v>43.2</v>
      </c>
      <c r="F28" s="35"/>
      <c r="G28" s="35">
        <f t="shared" si="5"/>
        <v>43.2</v>
      </c>
      <c r="H28" s="31">
        <v>85</v>
      </c>
      <c r="I28" s="31">
        <f t="shared" si="6"/>
        <v>3825</v>
      </c>
      <c r="J28" s="31">
        <f t="shared" si="7"/>
        <v>3672.0000000000005</v>
      </c>
      <c r="K28" s="31">
        <f t="shared" si="8"/>
        <v>0</v>
      </c>
      <c r="L28" s="300">
        <f t="shared" si="9"/>
        <v>3672.0000000000005</v>
      </c>
      <c r="M28" s="630"/>
    </row>
    <row r="29" spans="1:13" x14ac:dyDescent="0.15">
      <c r="A29" s="419"/>
      <c r="B29" s="315" t="s">
        <v>24</v>
      </c>
      <c r="C29" s="302" t="s">
        <v>11</v>
      </c>
      <c r="D29" s="31">
        <v>117</v>
      </c>
      <c r="E29" s="35">
        <f>91.08+8.28</f>
        <v>99.36</v>
      </c>
      <c r="F29" s="35"/>
      <c r="G29" s="35">
        <f t="shared" si="5"/>
        <v>99.36</v>
      </c>
      <c r="H29" s="31">
        <v>85</v>
      </c>
      <c r="I29" s="31">
        <f t="shared" si="6"/>
        <v>9945</v>
      </c>
      <c r="J29" s="31">
        <f t="shared" si="7"/>
        <v>8445.6</v>
      </c>
      <c r="K29" s="31">
        <f t="shared" si="8"/>
        <v>0</v>
      </c>
      <c r="L29" s="300">
        <f t="shared" si="9"/>
        <v>8445.6</v>
      </c>
      <c r="M29" s="630"/>
    </row>
    <row r="30" spans="1:13" x14ac:dyDescent="0.15">
      <c r="A30" s="419">
        <v>2.5</v>
      </c>
      <c r="B30" s="328" t="s">
        <v>15</v>
      </c>
      <c r="C30" s="302"/>
      <c r="D30" s="31"/>
      <c r="E30" s="35"/>
      <c r="F30" s="35"/>
      <c r="G30" s="35">
        <f t="shared" si="5"/>
        <v>0</v>
      </c>
      <c r="H30" s="31"/>
      <c r="I30" s="31"/>
      <c r="J30" s="31">
        <f t="shared" si="7"/>
        <v>0</v>
      </c>
      <c r="K30" s="31">
        <f t="shared" si="8"/>
        <v>0</v>
      </c>
      <c r="L30" s="300">
        <f t="shared" si="9"/>
        <v>0</v>
      </c>
      <c r="M30" s="630"/>
    </row>
    <row r="31" spans="1:13" x14ac:dyDescent="0.15">
      <c r="A31" s="419"/>
      <c r="B31" s="315" t="s">
        <v>85</v>
      </c>
      <c r="C31" s="302" t="s">
        <v>16</v>
      </c>
      <c r="D31" s="31">
        <v>1856</v>
      </c>
      <c r="E31" s="35">
        <v>2745.35</v>
      </c>
      <c r="F31" s="35"/>
      <c r="G31" s="35">
        <f t="shared" si="5"/>
        <v>2745.35</v>
      </c>
      <c r="H31" s="31">
        <v>34</v>
      </c>
      <c r="I31" s="31">
        <f t="shared" si="6"/>
        <v>63104</v>
      </c>
      <c r="J31" s="31">
        <f t="shared" si="7"/>
        <v>93341.9</v>
      </c>
      <c r="K31" s="31">
        <f t="shared" si="8"/>
        <v>0</v>
      </c>
      <c r="L31" s="300">
        <f t="shared" si="9"/>
        <v>93341.9</v>
      </c>
      <c r="M31" s="630"/>
    </row>
    <row r="32" spans="1:13" x14ac:dyDescent="0.15">
      <c r="A32" s="419"/>
      <c r="B32" s="315" t="s">
        <v>25</v>
      </c>
      <c r="C32" s="302" t="s">
        <v>16</v>
      </c>
      <c r="D32" s="31">
        <v>1502</v>
      </c>
      <c r="E32" s="35">
        <f>1182.82+211.62</f>
        <v>1394.44</v>
      </c>
      <c r="F32" s="35"/>
      <c r="G32" s="35">
        <f t="shared" si="5"/>
        <v>1394.44</v>
      </c>
      <c r="H32" s="31">
        <v>34</v>
      </c>
      <c r="I32" s="31">
        <f t="shared" si="6"/>
        <v>51068</v>
      </c>
      <c r="J32" s="31">
        <f t="shared" si="7"/>
        <v>47410.96</v>
      </c>
      <c r="K32" s="31">
        <f t="shared" si="8"/>
        <v>0</v>
      </c>
      <c r="L32" s="300">
        <f t="shared" si="9"/>
        <v>47410.96</v>
      </c>
      <c r="M32" s="630"/>
    </row>
    <row r="33" spans="1:24" x14ac:dyDescent="0.15">
      <c r="A33" s="419"/>
      <c r="B33" s="315" t="s">
        <v>26</v>
      </c>
      <c r="C33" s="302" t="s">
        <v>16</v>
      </c>
      <c r="D33" s="31">
        <v>3482</v>
      </c>
      <c r="E33" s="35">
        <v>3569.6</v>
      </c>
      <c r="F33" s="35"/>
      <c r="G33" s="35">
        <f t="shared" si="5"/>
        <v>3569.6</v>
      </c>
      <c r="H33" s="31">
        <v>35</v>
      </c>
      <c r="I33" s="31">
        <f t="shared" si="6"/>
        <v>121870</v>
      </c>
      <c r="J33" s="31">
        <f t="shared" si="7"/>
        <v>124936</v>
      </c>
      <c r="K33" s="31">
        <f t="shared" si="8"/>
        <v>0</v>
      </c>
      <c r="L33" s="300">
        <f t="shared" si="9"/>
        <v>124936</v>
      </c>
      <c r="M33" s="630"/>
    </row>
    <row r="34" spans="1:24" x14ac:dyDescent="0.15">
      <c r="A34" s="535">
        <v>2.6</v>
      </c>
      <c r="B34" s="317" t="s">
        <v>199</v>
      </c>
      <c r="C34" s="51" t="s">
        <v>174</v>
      </c>
      <c r="D34" s="70">
        <v>610</v>
      </c>
      <c r="E34" s="51">
        <v>589.29999999999995</v>
      </c>
      <c r="F34" s="35"/>
      <c r="G34" s="35">
        <f t="shared" si="5"/>
        <v>589.29999999999995</v>
      </c>
      <c r="H34" s="50">
        <v>35</v>
      </c>
      <c r="I34" s="31">
        <f t="shared" si="6"/>
        <v>21350</v>
      </c>
      <c r="J34" s="31">
        <f>H34*E34</f>
        <v>20625.5</v>
      </c>
      <c r="K34" s="31">
        <f>H34*F34</f>
        <v>0</v>
      </c>
      <c r="L34" s="300">
        <f t="shared" si="9"/>
        <v>20625.5</v>
      </c>
      <c r="M34" s="631"/>
    </row>
    <row r="35" spans="1:24" s="569" customFormat="1" ht="24.95" customHeight="1" thickBot="1" x14ac:dyDescent="0.2">
      <c r="A35" s="579"/>
      <c r="B35" s="1102" t="s">
        <v>64</v>
      </c>
      <c r="C35" s="1102"/>
      <c r="D35" s="1102"/>
      <c r="E35" s="1102"/>
      <c r="F35" s="1102"/>
      <c r="G35" s="1102"/>
      <c r="H35" s="1103"/>
      <c r="I35" s="568">
        <f>SUM(I18:I34)</f>
        <v>629172</v>
      </c>
      <c r="J35" s="568">
        <f>SUM(J18:J34)</f>
        <v>602588.81000000006</v>
      </c>
      <c r="K35" s="568">
        <f>SUM(K18:K34)</f>
        <v>0</v>
      </c>
      <c r="L35" s="568">
        <f>SUM(L18:L34)</f>
        <v>602588.81000000006</v>
      </c>
      <c r="M35" s="616"/>
      <c r="N35" s="616"/>
      <c r="O35" s="616"/>
      <c r="P35" s="616"/>
      <c r="Q35" s="616"/>
      <c r="R35" s="616"/>
      <c r="S35" s="616"/>
      <c r="T35" s="616"/>
      <c r="U35" s="616"/>
      <c r="V35" s="616"/>
      <c r="W35" s="616"/>
      <c r="X35" s="616"/>
    </row>
    <row r="36" spans="1:24" x14ac:dyDescent="0.15">
      <c r="A36" s="338">
        <v>3</v>
      </c>
      <c r="B36" s="538" t="s">
        <v>17</v>
      </c>
      <c r="C36" s="309"/>
      <c r="D36" s="56"/>
      <c r="E36" s="57"/>
      <c r="F36" s="57"/>
      <c r="G36" s="57"/>
      <c r="H36" s="56"/>
      <c r="I36" s="56"/>
      <c r="J36" s="56"/>
      <c r="K36" s="56"/>
      <c r="L36" s="311"/>
    </row>
    <row r="37" spans="1:24" x14ac:dyDescent="0.15">
      <c r="A37" s="419">
        <v>3.1</v>
      </c>
      <c r="B37" s="315" t="s">
        <v>122</v>
      </c>
      <c r="C37" s="302" t="s">
        <v>12</v>
      </c>
      <c r="D37" s="31">
        <v>136</v>
      </c>
      <c r="E37" s="43">
        <f>56.75+82.87</f>
        <v>139.62</v>
      </c>
      <c r="F37" s="43">
        <f>139.62-E37</f>
        <v>0</v>
      </c>
      <c r="G37" s="43">
        <f>F37+E37</f>
        <v>139.62</v>
      </c>
      <c r="H37" s="31">
        <v>800</v>
      </c>
      <c r="I37" s="31">
        <f>D37*H37</f>
        <v>108800</v>
      </c>
      <c r="J37" s="31">
        <f>H37*E37</f>
        <v>111696</v>
      </c>
      <c r="K37" s="31">
        <f>H37*F37</f>
        <v>0</v>
      </c>
      <c r="L37" s="300">
        <f>K37+J37</f>
        <v>111696</v>
      </c>
      <c r="M37" s="632"/>
    </row>
    <row r="38" spans="1:24" x14ac:dyDescent="0.15">
      <c r="A38" s="317">
        <v>3.2</v>
      </c>
      <c r="B38" s="305" t="s">
        <v>119</v>
      </c>
      <c r="C38" s="320" t="s">
        <v>12</v>
      </c>
      <c r="D38" s="50">
        <v>170</v>
      </c>
      <c r="E38" s="76">
        <f>86.14+18.58</f>
        <v>104.72</v>
      </c>
      <c r="F38" s="43">
        <f>104.72-E38</f>
        <v>0</v>
      </c>
      <c r="G38" s="43">
        <f>F38+E38</f>
        <v>104.72</v>
      </c>
      <c r="H38" s="31">
        <v>800</v>
      </c>
      <c r="I38" s="31">
        <f>D38*H38</f>
        <v>136000</v>
      </c>
      <c r="J38" s="31">
        <f>H38*E38</f>
        <v>83776</v>
      </c>
      <c r="K38" s="31">
        <f>H38*F38</f>
        <v>0</v>
      </c>
      <c r="L38" s="300">
        <f>K38+J38</f>
        <v>83776</v>
      </c>
      <c r="M38" s="633"/>
    </row>
    <row r="39" spans="1:24" s="569" customFormat="1" ht="24.95" customHeight="1" thickBot="1" x14ac:dyDescent="0.2">
      <c r="A39" s="579"/>
      <c r="B39" s="1102" t="s">
        <v>64</v>
      </c>
      <c r="C39" s="1102"/>
      <c r="D39" s="1102"/>
      <c r="E39" s="1102"/>
      <c r="F39" s="1102"/>
      <c r="G39" s="1102"/>
      <c r="H39" s="1103"/>
      <c r="I39" s="568">
        <f>SUM(I37:I38)</f>
        <v>244800</v>
      </c>
      <c r="J39" s="568">
        <f>SUM(J37:J38)</f>
        <v>195472</v>
      </c>
      <c r="K39" s="568">
        <f>SUM(K37:K38)</f>
        <v>0</v>
      </c>
      <c r="L39" s="568">
        <f>SUM(L37:L38)</f>
        <v>195472</v>
      </c>
      <c r="M39" s="616"/>
      <c r="N39" s="616"/>
      <c r="O39" s="616"/>
      <c r="P39" s="616"/>
      <c r="Q39" s="616"/>
      <c r="R39" s="616"/>
      <c r="S39" s="616"/>
      <c r="T39" s="616"/>
      <c r="U39" s="616"/>
      <c r="V39" s="616"/>
      <c r="W39" s="616"/>
      <c r="X39" s="616"/>
    </row>
    <row r="40" spans="1:24" x14ac:dyDescent="0.15">
      <c r="A40" s="84"/>
      <c r="B40" s="84"/>
      <c r="C40" s="322"/>
      <c r="D40" s="84"/>
      <c r="E40" s="84"/>
      <c r="F40" s="84"/>
      <c r="G40" s="84"/>
      <c r="H40" s="84"/>
      <c r="I40" s="84"/>
      <c r="J40" s="84"/>
      <c r="K40" s="84"/>
      <c r="L40" s="84"/>
    </row>
    <row r="41" spans="1:24" ht="15" thickBot="1" x14ac:dyDescent="0.2">
      <c r="A41" s="279"/>
      <c r="B41" s="1127" t="s">
        <v>83</v>
      </c>
      <c r="C41" s="1127"/>
      <c r="D41" s="1127"/>
      <c r="E41" s="1127"/>
      <c r="F41" s="1127"/>
      <c r="G41" s="1127"/>
      <c r="H41" s="1127"/>
      <c r="I41" s="1127"/>
      <c r="J41" s="1127"/>
      <c r="K41" s="1127"/>
      <c r="L41" s="90"/>
    </row>
    <row r="42" spans="1:24" s="254" customFormat="1" ht="21.75" customHeight="1" x14ac:dyDescent="0.15">
      <c r="A42" s="1107" t="s">
        <v>61</v>
      </c>
      <c r="B42" s="1128" t="s">
        <v>54</v>
      </c>
      <c r="C42" s="1128" t="s">
        <v>5</v>
      </c>
      <c r="D42" s="1117" t="s">
        <v>4</v>
      </c>
      <c r="E42" s="1118"/>
      <c r="F42" s="1119"/>
      <c r="G42" s="1128" t="s">
        <v>334</v>
      </c>
      <c r="H42" s="1110" t="s">
        <v>8</v>
      </c>
      <c r="I42" s="1136" t="s">
        <v>50</v>
      </c>
      <c r="J42" s="1118"/>
      <c r="K42" s="1119"/>
      <c r="L42" s="503"/>
      <c r="M42" s="616"/>
      <c r="N42" s="616"/>
      <c r="O42" s="616"/>
      <c r="P42" s="616"/>
      <c r="Q42" s="616"/>
      <c r="R42" s="616"/>
      <c r="S42" s="616"/>
      <c r="T42" s="616"/>
      <c r="U42" s="616"/>
      <c r="V42" s="616"/>
      <c r="W42" s="616"/>
      <c r="X42" s="616"/>
    </row>
    <row r="43" spans="1:24" s="254" customFormat="1" ht="19.5" customHeight="1" x14ac:dyDescent="0.15">
      <c r="A43" s="1108"/>
      <c r="B43" s="1129"/>
      <c r="C43" s="1129"/>
      <c r="D43" s="1130" t="s">
        <v>62</v>
      </c>
      <c r="E43" s="1120" t="s">
        <v>63</v>
      </c>
      <c r="F43" s="1121"/>
      <c r="G43" s="1129"/>
      <c r="H43" s="1111"/>
      <c r="I43" s="1122" t="s">
        <v>6</v>
      </c>
      <c r="J43" s="1134" t="s">
        <v>7</v>
      </c>
      <c r="K43" s="1135"/>
      <c r="L43" s="1132" t="s">
        <v>7</v>
      </c>
      <c r="M43" s="616"/>
      <c r="N43" s="616"/>
      <c r="O43" s="616"/>
      <c r="P43" s="616"/>
      <c r="Q43" s="616"/>
      <c r="R43" s="616"/>
      <c r="S43" s="616"/>
      <c r="T43" s="616"/>
      <c r="U43" s="616"/>
      <c r="V43" s="616"/>
      <c r="W43" s="616"/>
      <c r="X43" s="616"/>
    </row>
    <row r="44" spans="1:24" s="254" customFormat="1" ht="21" customHeight="1" thickBot="1" x14ac:dyDescent="0.2">
      <c r="A44" s="1109"/>
      <c r="B44" s="1123"/>
      <c r="C44" s="1123"/>
      <c r="D44" s="1131"/>
      <c r="E44" s="255" t="s">
        <v>98</v>
      </c>
      <c r="F44" s="255" t="s">
        <v>99</v>
      </c>
      <c r="G44" s="1129"/>
      <c r="H44" s="1112"/>
      <c r="I44" s="1123"/>
      <c r="J44" s="255" t="s">
        <v>98</v>
      </c>
      <c r="K44" s="255" t="s">
        <v>99</v>
      </c>
      <c r="L44" s="1133"/>
      <c r="M44" s="616"/>
      <c r="N44" s="616"/>
      <c r="O44" s="616"/>
      <c r="P44" s="616"/>
      <c r="Q44" s="616"/>
      <c r="R44" s="616"/>
      <c r="S44" s="616"/>
      <c r="T44" s="616"/>
      <c r="U44" s="616"/>
      <c r="V44" s="616"/>
      <c r="W44" s="616"/>
      <c r="X44" s="616"/>
    </row>
    <row r="45" spans="1:24" s="254" customFormat="1" ht="21" customHeight="1" thickBot="1" x14ac:dyDescent="0.2">
      <c r="A45" s="280" t="s">
        <v>102</v>
      </c>
      <c r="B45" s="257" t="s">
        <v>103</v>
      </c>
      <c r="C45" s="257" t="s">
        <v>104</v>
      </c>
      <c r="D45" s="258" t="s">
        <v>105</v>
      </c>
      <c r="E45" s="258" t="s">
        <v>106</v>
      </c>
      <c r="F45" s="258" t="s">
        <v>107</v>
      </c>
      <c r="G45" s="258"/>
      <c r="H45" s="259" t="s">
        <v>108</v>
      </c>
      <c r="I45" s="257" t="s">
        <v>116</v>
      </c>
      <c r="J45" s="258" t="s">
        <v>115</v>
      </c>
      <c r="K45" s="258" t="s">
        <v>114</v>
      </c>
      <c r="L45" s="260" t="s">
        <v>113</v>
      </c>
      <c r="M45" s="616"/>
      <c r="N45" s="616"/>
      <c r="O45" s="616"/>
      <c r="P45" s="616"/>
      <c r="Q45" s="616"/>
      <c r="R45" s="616"/>
      <c r="S45" s="616"/>
      <c r="T45" s="616"/>
      <c r="U45" s="616"/>
      <c r="V45" s="616"/>
      <c r="W45" s="616"/>
      <c r="X45" s="616"/>
    </row>
    <row r="46" spans="1:24" x14ac:dyDescent="0.15">
      <c r="A46" s="325"/>
      <c r="B46" s="326" t="s">
        <v>75</v>
      </c>
      <c r="C46" s="162"/>
      <c r="D46" s="294"/>
      <c r="E46" s="162"/>
      <c r="F46" s="162"/>
      <c r="G46" s="162"/>
      <c r="H46" s="294"/>
      <c r="I46" s="294"/>
      <c r="J46" s="295"/>
      <c r="K46" s="295"/>
      <c r="L46" s="296"/>
    </row>
    <row r="47" spans="1:24" x14ac:dyDescent="0.15">
      <c r="A47" s="327"/>
      <c r="B47" s="328" t="s">
        <v>76</v>
      </c>
      <c r="C47" s="40"/>
      <c r="D47" s="39"/>
      <c r="E47" s="40"/>
      <c r="F47" s="40"/>
      <c r="G47" s="40"/>
      <c r="H47" s="39"/>
      <c r="I47" s="39"/>
      <c r="J47" s="231"/>
      <c r="K47" s="231"/>
      <c r="L47" s="300"/>
    </row>
    <row r="48" spans="1:24" x14ac:dyDescent="0.15">
      <c r="A48" s="314">
        <v>1.01</v>
      </c>
      <c r="B48" s="328" t="s">
        <v>120</v>
      </c>
      <c r="C48" s="35"/>
      <c r="D48" s="31"/>
      <c r="E48" s="35"/>
      <c r="F48" s="35"/>
      <c r="G48" s="35"/>
      <c r="H48" s="31"/>
      <c r="I48" s="31">
        <f>D48*H48</f>
        <v>0</v>
      </c>
      <c r="J48" s="31">
        <f>E48*H48</f>
        <v>0</v>
      </c>
      <c r="K48" s="31"/>
      <c r="L48" s="300"/>
    </row>
    <row r="49" spans="1:24" x14ac:dyDescent="0.15">
      <c r="A49" s="314"/>
      <c r="B49" s="315" t="s">
        <v>77</v>
      </c>
      <c r="C49" s="35" t="s">
        <v>12</v>
      </c>
      <c r="D49" s="31">
        <v>5</v>
      </c>
      <c r="E49" s="35">
        <v>6.48</v>
      </c>
      <c r="F49" s="35"/>
      <c r="G49" s="35">
        <f>F49+E49</f>
        <v>6.48</v>
      </c>
      <c r="H49" s="31">
        <v>2600</v>
      </c>
      <c r="I49" s="31">
        <f>D49*H49</f>
        <v>13000</v>
      </c>
      <c r="J49" s="31">
        <f>E49*H49</f>
        <v>16848</v>
      </c>
      <c r="K49" s="31">
        <f>H49*F49</f>
        <v>0</v>
      </c>
      <c r="L49" s="300">
        <f>K49+J49</f>
        <v>16848</v>
      </c>
    </row>
    <row r="50" spans="1:24" x14ac:dyDescent="0.15">
      <c r="A50" s="314"/>
      <c r="B50" s="315" t="s">
        <v>74</v>
      </c>
      <c r="C50" s="35" t="s">
        <v>12</v>
      </c>
      <c r="D50" s="31">
        <v>23</v>
      </c>
      <c r="E50" s="35">
        <v>21.16</v>
      </c>
      <c r="F50" s="35"/>
      <c r="G50" s="35">
        <f t="shared" ref="G50:G59" si="10">F50+E50</f>
        <v>21.16</v>
      </c>
      <c r="H50" s="31">
        <v>2600</v>
      </c>
      <c r="I50" s="31">
        <f t="shared" ref="I50:I59" si="11">D50*H50</f>
        <v>59800</v>
      </c>
      <c r="J50" s="31">
        <f t="shared" ref="J50:J59" si="12">E50*H50</f>
        <v>55016</v>
      </c>
      <c r="K50" s="31">
        <f t="shared" ref="K50:K59" si="13">H50*F50</f>
        <v>0</v>
      </c>
      <c r="L50" s="300">
        <f t="shared" ref="L50:L59" si="14">K50+J50</f>
        <v>55016</v>
      </c>
    </row>
    <row r="51" spans="1:24" x14ac:dyDescent="0.15">
      <c r="A51" s="314"/>
      <c r="B51" s="315" t="s">
        <v>78</v>
      </c>
      <c r="C51" s="35" t="s">
        <v>12</v>
      </c>
      <c r="D51" s="31">
        <v>1.2</v>
      </c>
      <c r="E51" s="35"/>
      <c r="F51" s="35"/>
      <c r="G51" s="35">
        <f t="shared" si="10"/>
        <v>0</v>
      </c>
      <c r="H51" s="31">
        <v>2600</v>
      </c>
      <c r="I51" s="31">
        <f t="shared" si="11"/>
        <v>3120</v>
      </c>
      <c r="J51" s="31">
        <f t="shared" si="12"/>
        <v>0</v>
      </c>
      <c r="K51" s="31">
        <f t="shared" si="13"/>
        <v>0</v>
      </c>
      <c r="L51" s="300">
        <f t="shared" si="14"/>
        <v>0</v>
      </c>
    </row>
    <row r="52" spans="1:24" x14ac:dyDescent="0.15">
      <c r="A52" s="327">
        <v>1.2</v>
      </c>
      <c r="B52" s="328" t="s">
        <v>121</v>
      </c>
      <c r="C52" s="40"/>
      <c r="D52" s="39"/>
      <c r="E52" s="40"/>
      <c r="F52" s="40"/>
      <c r="G52" s="35">
        <f t="shared" si="10"/>
        <v>0</v>
      </c>
      <c r="H52" s="39"/>
      <c r="I52" s="31">
        <f t="shared" si="11"/>
        <v>0</v>
      </c>
      <c r="J52" s="31">
        <f t="shared" si="12"/>
        <v>0</v>
      </c>
      <c r="K52" s="31">
        <f t="shared" si="13"/>
        <v>0</v>
      </c>
      <c r="L52" s="300">
        <f t="shared" si="14"/>
        <v>0</v>
      </c>
    </row>
    <row r="53" spans="1:24" x14ac:dyDescent="0.15">
      <c r="A53" s="314"/>
      <c r="B53" s="315" t="s">
        <v>77</v>
      </c>
      <c r="C53" s="35" t="s">
        <v>11</v>
      </c>
      <c r="D53" s="31">
        <v>101</v>
      </c>
      <c r="E53" s="35">
        <v>129.6</v>
      </c>
      <c r="F53" s="35"/>
      <c r="G53" s="35">
        <f>F53+E53</f>
        <v>129.6</v>
      </c>
      <c r="H53" s="31">
        <v>85</v>
      </c>
      <c r="I53" s="31">
        <f t="shared" si="11"/>
        <v>8585</v>
      </c>
      <c r="J53" s="31">
        <f t="shared" si="12"/>
        <v>11016</v>
      </c>
      <c r="K53" s="31">
        <f t="shared" si="13"/>
        <v>0</v>
      </c>
      <c r="L53" s="300">
        <f t="shared" si="14"/>
        <v>11016</v>
      </c>
    </row>
    <row r="54" spans="1:24" x14ac:dyDescent="0.15">
      <c r="A54" s="329"/>
      <c r="B54" s="315" t="s">
        <v>74</v>
      </c>
      <c r="C54" s="35" t="s">
        <v>11</v>
      </c>
      <c r="D54" s="31">
        <v>255</v>
      </c>
      <c r="E54" s="35">
        <v>276.60000000000002</v>
      </c>
      <c r="F54" s="35"/>
      <c r="G54" s="35">
        <f t="shared" si="10"/>
        <v>276.60000000000002</v>
      </c>
      <c r="H54" s="31">
        <v>85</v>
      </c>
      <c r="I54" s="31">
        <f t="shared" si="11"/>
        <v>21675</v>
      </c>
      <c r="J54" s="31">
        <f t="shared" si="12"/>
        <v>23511.000000000004</v>
      </c>
      <c r="K54" s="31">
        <f t="shared" si="13"/>
        <v>0</v>
      </c>
      <c r="L54" s="300">
        <f t="shared" si="14"/>
        <v>23511.000000000004</v>
      </c>
    </row>
    <row r="55" spans="1:24" x14ac:dyDescent="0.15">
      <c r="A55" s="314"/>
      <c r="B55" s="315" t="s">
        <v>78</v>
      </c>
      <c r="C55" s="35" t="s">
        <v>11</v>
      </c>
      <c r="D55" s="31">
        <v>10</v>
      </c>
      <c r="E55" s="35"/>
      <c r="F55" s="35"/>
      <c r="G55" s="35">
        <f t="shared" si="10"/>
        <v>0</v>
      </c>
      <c r="H55" s="31">
        <v>85</v>
      </c>
      <c r="I55" s="31">
        <f t="shared" si="11"/>
        <v>850</v>
      </c>
      <c r="J55" s="31">
        <f t="shared" si="12"/>
        <v>0</v>
      </c>
      <c r="K55" s="31">
        <f t="shared" si="13"/>
        <v>0</v>
      </c>
      <c r="L55" s="300">
        <f t="shared" si="14"/>
        <v>0</v>
      </c>
    </row>
    <row r="56" spans="1:24" x14ac:dyDescent="0.15">
      <c r="A56" s="314">
        <v>1.3</v>
      </c>
      <c r="B56" s="328" t="s">
        <v>15</v>
      </c>
      <c r="C56" s="35"/>
      <c r="D56" s="31"/>
      <c r="E56" s="35"/>
      <c r="F56" s="35"/>
      <c r="G56" s="35">
        <f t="shared" si="10"/>
        <v>0</v>
      </c>
      <c r="H56" s="31"/>
      <c r="I56" s="31">
        <f t="shared" si="11"/>
        <v>0</v>
      </c>
      <c r="J56" s="31">
        <f t="shared" si="12"/>
        <v>0</v>
      </c>
      <c r="K56" s="31"/>
      <c r="L56" s="300">
        <f t="shared" si="14"/>
        <v>0</v>
      </c>
    </row>
    <row r="57" spans="1:24" x14ac:dyDescent="0.15">
      <c r="A57" s="314"/>
      <c r="B57" s="315" t="s">
        <v>79</v>
      </c>
      <c r="C57" s="35" t="s">
        <v>16</v>
      </c>
      <c r="D57" s="31"/>
      <c r="E57" s="35"/>
      <c r="F57" s="35"/>
      <c r="G57" s="35">
        <f t="shared" si="10"/>
        <v>0</v>
      </c>
      <c r="H57" s="36"/>
      <c r="I57" s="31">
        <f t="shared" si="11"/>
        <v>0</v>
      </c>
      <c r="J57" s="31">
        <f t="shared" si="12"/>
        <v>0</v>
      </c>
      <c r="K57" s="31">
        <f t="shared" si="13"/>
        <v>0</v>
      </c>
      <c r="L57" s="300">
        <f t="shared" si="14"/>
        <v>0</v>
      </c>
    </row>
    <row r="58" spans="1:24" x14ac:dyDescent="0.15">
      <c r="A58" s="314"/>
      <c r="B58" s="315" t="s">
        <v>42</v>
      </c>
      <c r="C58" s="35" t="s">
        <v>16</v>
      </c>
      <c r="D58" s="31">
        <v>2644</v>
      </c>
      <c r="E58" s="35">
        <v>2576.17</v>
      </c>
      <c r="F58" s="35"/>
      <c r="G58" s="35">
        <f t="shared" si="10"/>
        <v>2576.17</v>
      </c>
      <c r="H58" s="36">
        <v>34</v>
      </c>
      <c r="I58" s="31">
        <f t="shared" si="11"/>
        <v>89896</v>
      </c>
      <c r="J58" s="31">
        <f t="shared" si="12"/>
        <v>87589.78</v>
      </c>
      <c r="K58" s="31">
        <f t="shared" si="13"/>
        <v>0</v>
      </c>
      <c r="L58" s="300">
        <f t="shared" si="14"/>
        <v>87589.78</v>
      </c>
    </row>
    <row r="59" spans="1:24" x14ac:dyDescent="0.15">
      <c r="A59" s="304">
        <v>2.4</v>
      </c>
      <c r="B59" s="305" t="s">
        <v>43</v>
      </c>
      <c r="C59" s="51" t="s">
        <v>16</v>
      </c>
      <c r="D59" s="50">
        <v>786</v>
      </c>
      <c r="E59" s="51">
        <v>884.84</v>
      </c>
      <c r="F59" s="51"/>
      <c r="G59" s="35">
        <f t="shared" si="10"/>
        <v>884.84</v>
      </c>
      <c r="H59" s="50">
        <v>35</v>
      </c>
      <c r="I59" s="31">
        <f t="shared" si="11"/>
        <v>27510</v>
      </c>
      <c r="J59" s="31">
        <f t="shared" si="12"/>
        <v>30969.4</v>
      </c>
      <c r="K59" s="50">
        <f t="shared" si="13"/>
        <v>0</v>
      </c>
      <c r="L59" s="300">
        <f t="shared" si="14"/>
        <v>30969.4</v>
      </c>
    </row>
    <row r="60" spans="1:24" s="581" customFormat="1" ht="24.75" customHeight="1" thickBot="1" x14ac:dyDescent="0.2">
      <c r="A60" s="580"/>
      <c r="B60" s="1101" t="s">
        <v>64</v>
      </c>
      <c r="C60" s="1102"/>
      <c r="D60" s="1102"/>
      <c r="E60" s="1102"/>
      <c r="F60" s="1102"/>
      <c r="G60" s="1102"/>
      <c r="H60" s="1103"/>
      <c r="I60" s="568">
        <f>SUM(I47:I59)</f>
        <v>224436</v>
      </c>
      <c r="J60" s="568">
        <f>SUM(J47:J59)</f>
        <v>224950.18</v>
      </c>
      <c r="K60" s="568">
        <f>SUM(K47:K59)</f>
        <v>0</v>
      </c>
      <c r="L60" s="568">
        <f>SUM(L47:L59)</f>
        <v>224950.18</v>
      </c>
      <c r="M60" s="626">
        <f>L60-226075.58</f>
        <v>-1125.3999999999942</v>
      </c>
      <c r="N60" s="626"/>
      <c r="O60" s="626"/>
      <c r="P60" s="626"/>
      <c r="Q60" s="626"/>
      <c r="R60" s="626"/>
      <c r="S60" s="626"/>
      <c r="T60" s="626"/>
      <c r="U60" s="626"/>
      <c r="V60" s="626"/>
      <c r="W60" s="626"/>
      <c r="X60" s="626"/>
    </row>
    <row r="61" spans="1:24" s="332" customFormat="1" ht="26.25" customHeight="1" x14ac:dyDescent="0.15">
      <c r="A61" s="539"/>
      <c r="B61" s="540" t="s">
        <v>292</v>
      </c>
      <c r="C61" s="331"/>
      <c r="D61" s="331"/>
      <c r="E61" s="331"/>
      <c r="F61" s="331"/>
      <c r="G61" s="331"/>
      <c r="H61" s="330"/>
      <c r="I61" s="330"/>
      <c r="J61" s="330"/>
      <c r="K61" s="330"/>
      <c r="L61" s="330"/>
      <c r="M61" s="629"/>
      <c r="N61" s="629"/>
      <c r="O61" s="629"/>
      <c r="P61" s="629"/>
      <c r="Q61" s="629"/>
      <c r="R61" s="629"/>
      <c r="S61" s="629"/>
      <c r="T61" s="629"/>
      <c r="U61" s="629"/>
      <c r="V61" s="629"/>
      <c r="W61" s="629"/>
      <c r="X61" s="629"/>
    </row>
    <row r="62" spans="1:24" s="332" customFormat="1" ht="21" customHeight="1" x14ac:dyDescent="0.15">
      <c r="A62" s="541"/>
      <c r="B62" s="542" t="s">
        <v>293</v>
      </c>
      <c r="C62" s="334"/>
      <c r="D62" s="334"/>
      <c r="E62" s="334"/>
      <c r="F62" s="334"/>
      <c r="G62" s="334"/>
      <c r="H62" s="230"/>
      <c r="I62" s="230"/>
      <c r="J62" s="230"/>
      <c r="K62" s="230"/>
      <c r="L62" s="333"/>
      <c r="M62" s="629"/>
      <c r="N62" s="629"/>
      <c r="O62" s="629"/>
      <c r="P62" s="629"/>
      <c r="Q62" s="629"/>
      <c r="R62" s="629"/>
      <c r="S62" s="629"/>
      <c r="T62" s="629"/>
      <c r="U62" s="629"/>
      <c r="V62" s="629"/>
      <c r="W62" s="629"/>
      <c r="X62" s="629"/>
    </row>
    <row r="63" spans="1:24" s="332" customFormat="1" ht="21" customHeight="1" x14ac:dyDescent="0.15">
      <c r="A63" s="541"/>
      <c r="B63" s="542" t="s">
        <v>294</v>
      </c>
      <c r="C63" s="334" t="s">
        <v>11</v>
      </c>
      <c r="D63" s="334">
        <v>833</v>
      </c>
      <c r="E63" s="230">
        <v>550.07000000000005</v>
      </c>
      <c r="F63" s="334"/>
      <c r="G63" s="334">
        <f>E63+F63</f>
        <v>550.07000000000005</v>
      </c>
      <c r="H63" s="334">
        <v>310</v>
      </c>
      <c r="I63" s="31">
        <f>D63*H63</f>
        <v>258230</v>
      </c>
      <c r="J63" s="230">
        <f>H63*E63</f>
        <v>170521.7</v>
      </c>
      <c r="K63" s="230">
        <f>H63*F63</f>
        <v>0</v>
      </c>
      <c r="L63" s="333">
        <f>K63+J63</f>
        <v>170521.7</v>
      </c>
      <c r="M63" s="629"/>
      <c r="N63" s="629"/>
      <c r="O63" s="629"/>
      <c r="P63" s="629"/>
      <c r="Q63" s="629"/>
      <c r="R63" s="629"/>
      <c r="S63" s="629"/>
      <c r="T63" s="629"/>
      <c r="U63" s="629"/>
      <c r="V63" s="629"/>
      <c r="W63" s="629"/>
      <c r="X63" s="629"/>
    </row>
    <row r="64" spans="1:24" s="332" customFormat="1" ht="21" customHeight="1" x14ac:dyDescent="0.15">
      <c r="A64" s="541"/>
      <c r="B64" s="543" t="s">
        <v>295</v>
      </c>
      <c r="C64" s="334" t="s">
        <v>11</v>
      </c>
      <c r="D64" s="334">
        <v>419</v>
      </c>
      <c r="E64" s="230">
        <v>565.91</v>
      </c>
      <c r="F64" s="544"/>
      <c r="G64" s="334">
        <f>E64+F64</f>
        <v>565.91</v>
      </c>
      <c r="H64" s="334">
        <v>295</v>
      </c>
      <c r="I64" s="31">
        <f>D64*H64</f>
        <v>123605</v>
      </c>
      <c r="J64" s="230">
        <f>H64*E64</f>
        <v>166943.44999999998</v>
      </c>
      <c r="K64" s="230">
        <f>H64*F64</f>
        <v>0</v>
      </c>
      <c r="L64" s="333">
        <f>H64*G64</f>
        <v>166943.44999999998</v>
      </c>
      <c r="M64" s="630">
        <f>648.15*75%</f>
        <v>486.11249999999995</v>
      </c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</row>
    <row r="65" spans="1:24" s="581" customFormat="1" ht="26.25" customHeight="1" thickBot="1" x14ac:dyDescent="0.2">
      <c r="A65" s="579"/>
      <c r="B65" s="1101" t="s">
        <v>64</v>
      </c>
      <c r="C65" s="1102"/>
      <c r="D65" s="1102"/>
      <c r="E65" s="1102"/>
      <c r="F65" s="1102"/>
      <c r="G65" s="1102"/>
      <c r="H65" s="1103"/>
      <c r="I65" s="568">
        <f>SUM(I63:I64)</f>
        <v>381835</v>
      </c>
      <c r="J65" s="568">
        <f>SUM(J63:J64)</f>
        <v>337465.15</v>
      </c>
      <c r="K65" s="568">
        <f>SUM(K63:K64)</f>
        <v>0</v>
      </c>
      <c r="L65" s="568">
        <f>SUM(L63:L64)</f>
        <v>337465.15</v>
      </c>
      <c r="M65" s="626"/>
      <c r="N65" s="626"/>
      <c r="O65" s="626"/>
      <c r="P65" s="626"/>
      <c r="Q65" s="626"/>
      <c r="R65" s="626"/>
      <c r="S65" s="626"/>
      <c r="T65" s="626"/>
      <c r="U65" s="626"/>
      <c r="V65" s="626"/>
      <c r="W65" s="626"/>
      <c r="X65" s="626"/>
    </row>
    <row r="66" spans="1:24" s="312" customFormat="1" x14ac:dyDescent="0.15">
      <c r="A66" s="337"/>
      <c r="B66" s="338" t="s">
        <v>167</v>
      </c>
      <c r="C66" s="49"/>
      <c r="D66" s="32"/>
      <c r="E66" s="49"/>
      <c r="F66" s="49"/>
      <c r="G66" s="49"/>
      <c r="H66" s="32"/>
      <c r="I66" s="32"/>
      <c r="J66" s="32"/>
      <c r="K66" s="32"/>
      <c r="L66" s="339"/>
      <c r="M66" s="628"/>
      <c r="N66" s="628"/>
      <c r="O66" s="628"/>
      <c r="P66" s="628"/>
      <c r="Q66" s="628"/>
      <c r="R66" s="628"/>
      <c r="S66" s="628"/>
      <c r="T66" s="628"/>
      <c r="U66" s="628"/>
      <c r="V66" s="628"/>
      <c r="W66" s="628"/>
      <c r="X66" s="628"/>
    </row>
    <row r="67" spans="1:24" s="312" customFormat="1" x14ac:dyDescent="0.15">
      <c r="A67" s="304">
        <v>3.1</v>
      </c>
      <c r="B67" s="317" t="s">
        <v>166</v>
      </c>
      <c r="C67" s="51" t="s">
        <v>11</v>
      </c>
      <c r="D67" s="50">
        <v>800</v>
      </c>
      <c r="E67" s="51">
        <v>786.33</v>
      </c>
      <c r="F67" s="631"/>
      <c r="G67" s="51">
        <f>F67+E67</f>
        <v>786.33</v>
      </c>
      <c r="H67" s="50">
        <v>245</v>
      </c>
      <c r="I67" s="50">
        <f>D67*H67</f>
        <v>196000</v>
      </c>
      <c r="J67" s="50">
        <f>E67*H67</f>
        <v>192650.85</v>
      </c>
      <c r="K67" s="50">
        <f>H67*F67</f>
        <v>0</v>
      </c>
      <c r="L67" s="306">
        <f>K67+J67</f>
        <v>192650.85</v>
      </c>
      <c r="M67" s="628"/>
      <c r="N67" s="628"/>
      <c r="O67" s="628"/>
      <c r="P67" s="628"/>
      <c r="Q67" s="628"/>
      <c r="R67" s="628"/>
      <c r="S67" s="628"/>
      <c r="T67" s="628"/>
      <c r="U67" s="628"/>
      <c r="V67" s="628"/>
      <c r="W67" s="628"/>
      <c r="X67" s="628"/>
    </row>
    <row r="68" spans="1:24" s="312" customFormat="1" x14ac:dyDescent="0.15">
      <c r="A68" s="304">
        <v>3.2</v>
      </c>
      <c r="B68" s="317" t="s">
        <v>478</v>
      </c>
      <c r="C68" s="51" t="s">
        <v>12</v>
      </c>
      <c r="D68" s="50">
        <v>85</v>
      </c>
      <c r="E68" s="51"/>
      <c r="F68" s="631">
        <v>73.98</v>
      </c>
      <c r="G68" s="51">
        <f>F68+E68</f>
        <v>73.98</v>
      </c>
      <c r="H68" s="50">
        <v>220</v>
      </c>
      <c r="I68" s="50">
        <f>D68*H68</f>
        <v>18700</v>
      </c>
      <c r="J68" s="50">
        <f>E68*H68</f>
        <v>0</v>
      </c>
      <c r="K68" s="50">
        <f>H68*F68</f>
        <v>16275.6</v>
      </c>
      <c r="L68" s="306">
        <f>K68+J68</f>
        <v>16275.6</v>
      </c>
      <c r="M68" s="628"/>
      <c r="N68" s="628"/>
      <c r="O68" s="628"/>
      <c r="P68" s="628"/>
      <c r="Q68" s="628"/>
      <c r="R68" s="628"/>
      <c r="S68" s="628"/>
      <c r="T68" s="628"/>
      <c r="U68" s="628"/>
      <c r="V68" s="628"/>
      <c r="W68" s="628"/>
      <c r="X68" s="628"/>
    </row>
    <row r="69" spans="1:24" s="582" customFormat="1" ht="21.75" customHeight="1" thickBot="1" x14ac:dyDescent="0.2">
      <c r="A69" s="575"/>
      <c r="B69" s="1101" t="s">
        <v>64</v>
      </c>
      <c r="C69" s="1102"/>
      <c r="D69" s="1102"/>
      <c r="E69" s="1102"/>
      <c r="F69" s="1102"/>
      <c r="G69" s="1102"/>
      <c r="H69" s="1103"/>
      <c r="I69" s="568">
        <f>SUM(I67:I68)</f>
        <v>214700</v>
      </c>
      <c r="J69" s="568">
        <f>SUM(J67:J68)</f>
        <v>192650.85</v>
      </c>
      <c r="K69" s="568">
        <f>SUM(K67:K68)</f>
        <v>16275.6</v>
      </c>
      <c r="L69" s="568">
        <f>SUM(L67:L68)</f>
        <v>208926.45</v>
      </c>
      <c r="M69" s="628"/>
      <c r="N69" s="628"/>
      <c r="O69" s="628"/>
      <c r="P69" s="628"/>
      <c r="Q69" s="628"/>
      <c r="R69" s="628"/>
      <c r="S69" s="628"/>
      <c r="T69" s="628"/>
      <c r="U69" s="628"/>
      <c r="V69" s="628"/>
      <c r="W69" s="628"/>
      <c r="X69" s="628"/>
    </row>
    <row r="70" spans="1:24" s="312" customFormat="1" x14ac:dyDescent="0.15">
      <c r="A70" s="337"/>
      <c r="B70" s="338" t="s">
        <v>168</v>
      </c>
      <c r="C70" s="49"/>
      <c r="D70" s="32"/>
      <c r="E70" s="49"/>
      <c r="F70" s="49"/>
      <c r="G70" s="49"/>
      <c r="H70" s="32"/>
      <c r="I70" s="32"/>
      <c r="J70" s="32"/>
      <c r="K70" s="32"/>
      <c r="L70" s="339"/>
      <c r="M70" s="628"/>
      <c r="N70" s="628"/>
      <c r="O70" s="628"/>
      <c r="P70" s="628"/>
      <c r="Q70" s="628"/>
      <c r="R70" s="628"/>
      <c r="S70" s="628"/>
      <c r="T70" s="628"/>
      <c r="U70" s="628"/>
      <c r="V70" s="628"/>
      <c r="W70" s="628"/>
      <c r="X70" s="628"/>
    </row>
    <row r="71" spans="1:24" s="312" customFormat="1" x14ac:dyDescent="0.15">
      <c r="A71" s="304">
        <v>4.0999999999999996</v>
      </c>
      <c r="B71" s="317" t="s">
        <v>169</v>
      </c>
      <c r="C71" s="51"/>
      <c r="D71" s="50"/>
      <c r="E71" s="51"/>
      <c r="F71" s="51"/>
      <c r="G71" s="51"/>
      <c r="H71" s="50"/>
      <c r="I71" s="50"/>
      <c r="J71" s="50"/>
      <c r="K71" s="50"/>
      <c r="L71" s="306"/>
      <c r="M71" s="628"/>
      <c r="N71" s="628"/>
      <c r="O71" s="628"/>
      <c r="P71" s="628"/>
      <c r="Q71" s="628"/>
      <c r="R71" s="628"/>
      <c r="S71" s="628"/>
      <c r="T71" s="628"/>
      <c r="U71" s="628"/>
      <c r="V71" s="628"/>
      <c r="W71" s="628"/>
      <c r="X71" s="628"/>
    </row>
    <row r="72" spans="1:24" s="312" customFormat="1" x14ac:dyDescent="0.15">
      <c r="A72" s="304"/>
      <c r="B72" s="317" t="s">
        <v>170</v>
      </c>
      <c r="C72" s="51"/>
      <c r="D72" s="50"/>
      <c r="E72" s="51"/>
      <c r="F72" s="51"/>
      <c r="G72" s="51"/>
      <c r="H72" s="50"/>
      <c r="I72" s="50"/>
      <c r="J72" s="50"/>
      <c r="K72" s="50"/>
      <c r="L72" s="306"/>
      <c r="M72" s="628"/>
      <c r="N72" s="628"/>
      <c r="O72" s="628"/>
      <c r="P72" s="628"/>
      <c r="Q72" s="628"/>
      <c r="R72" s="628"/>
      <c r="S72" s="628"/>
      <c r="T72" s="628"/>
      <c r="U72" s="628"/>
      <c r="V72" s="628"/>
      <c r="W72" s="628"/>
      <c r="X72" s="628"/>
    </row>
    <row r="73" spans="1:24" s="312" customFormat="1" x14ac:dyDescent="0.15">
      <c r="A73" s="304"/>
      <c r="B73" s="317" t="s">
        <v>172</v>
      </c>
      <c r="C73" s="51" t="s">
        <v>174</v>
      </c>
      <c r="D73" s="50">
        <v>1305.31</v>
      </c>
      <c r="E73" s="51">
        <v>1378.34</v>
      </c>
      <c r="F73" s="51"/>
      <c r="G73" s="51">
        <f>F73+E73</f>
        <v>1378.34</v>
      </c>
      <c r="H73" s="50">
        <v>18</v>
      </c>
      <c r="I73" s="50">
        <f>H73*D73</f>
        <v>23495.579999999998</v>
      </c>
      <c r="J73" s="50">
        <f>H73*E73</f>
        <v>24810.12</v>
      </c>
      <c r="K73" s="50">
        <f>H73*F73</f>
        <v>0</v>
      </c>
      <c r="L73" s="306">
        <f>K73+J73</f>
        <v>24810.12</v>
      </c>
      <c r="M73" s="628"/>
      <c r="N73" s="628"/>
      <c r="O73" s="628"/>
      <c r="P73" s="628"/>
      <c r="Q73" s="628"/>
      <c r="R73" s="628"/>
      <c r="S73" s="628"/>
      <c r="T73" s="628"/>
      <c r="U73" s="628"/>
      <c r="V73" s="628"/>
      <c r="W73" s="628"/>
      <c r="X73" s="628"/>
    </row>
    <row r="74" spans="1:24" s="312" customFormat="1" x14ac:dyDescent="0.15">
      <c r="A74" s="304"/>
      <c r="B74" s="317" t="s">
        <v>173</v>
      </c>
      <c r="C74" s="51" t="s">
        <v>174</v>
      </c>
      <c r="D74" s="50">
        <v>926</v>
      </c>
      <c r="E74" s="51">
        <v>1305.04</v>
      </c>
      <c r="F74" s="51"/>
      <c r="G74" s="51">
        <f>F74+E74</f>
        <v>1305.04</v>
      </c>
      <c r="H74" s="50">
        <v>16</v>
      </c>
      <c r="I74" s="50">
        <f>H74*D74</f>
        <v>14816</v>
      </c>
      <c r="J74" s="50">
        <f>H74*E74</f>
        <v>20880.64</v>
      </c>
      <c r="K74" s="50">
        <f>H74*F74</f>
        <v>0</v>
      </c>
      <c r="L74" s="306">
        <f>K74+J74</f>
        <v>20880.64</v>
      </c>
      <c r="M74" s="628"/>
      <c r="N74" s="628"/>
      <c r="O74" s="628"/>
      <c r="P74" s="628"/>
      <c r="Q74" s="628"/>
      <c r="R74" s="628"/>
      <c r="S74" s="628"/>
      <c r="T74" s="628"/>
      <c r="U74" s="628"/>
      <c r="V74" s="628"/>
      <c r="W74" s="628"/>
      <c r="X74" s="628"/>
    </row>
    <row r="75" spans="1:24" s="312" customFormat="1" x14ac:dyDescent="0.15">
      <c r="A75" s="304"/>
      <c r="B75" s="317" t="s">
        <v>171</v>
      </c>
      <c r="C75" s="51" t="s">
        <v>174</v>
      </c>
      <c r="D75" s="50">
        <v>1013.22</v>
      </c>
      <c r="E75" s="51">
        <v>1201.1500000000001</v>
      </c>
      <c r="F75" s="51"/>
      <c r="G75" s="51">
        <f>F75+E75</f>
        <v>1201.1500000000001</v>
      </c>
      <c r="H75" s="50">
        <v>48</v>
      </c>
      <c r="I75" s="50">
        <f>H75*D75</f>
        <v>48634.559999999998</v>
      </c>
      <c r="J75" s="50">
        <f>H75*E75</f>
        <v>57655.200000000004</v>
      </c>
      <c r="K75" s="50">
        <f>H75*F75</f>
        <v>0</v>
      </c>
      <c r="L75" s="306">
        <f>K75+J75</f>
        <v>57655.200000000004</v>
      </c>
      <c r="M75" s="628"/>
      <c r="N75" s="628"/>
      <c r="O75" s="628"/>
      <c r="P75" s="628"/>
      <c r="Q75" s="628"/>
      <c r="R75" s="628"/>
      <c r="S75" s="628"/>
      <c r="T75" s="628"/>
      <c r="U75" s="628"/>
      <c r="V75" s="628"/>
      <c r="W75" s="628"/>
      <c r="X75" s="628"/>
    </row>
    <row r="76" spans="1:24" s="312" customFormat="1" x14ac:dyDescent="0.15">
      <c r="A76" s="304">
        <v>4.2</v>
      </c>
      <c r="B76" s="317" t="s">
        <v>238</v>
      </c>
      <c r="C76" s="51" t="s">
        <v>174</v>
      </c>
      <c r="D76" s="50">
        <v>123</v>
      </c>
      <c r="E76" s="51"/>
      <c r="F76" s="51">
        <v>125.1</v>
      </c>
      <c r="G76" s="51">
        <f>F76+E76</f>
        <v>125.1</v>
      </c>
      <c r="H76" s="50">
        <v>92</v>
      </c>
      <c r="I76" s="50">
        <f>H76*D76</f>
        <v>11316</v>
      </c>
      <c r="J76" s="50">
        <f>H76*E76</f>
        <v>0</v>
      </c>
      <c r="K76" s="50">
        <f>H76*F76</f>
        <v>11509.199999999999</v>
      </c>
      <c r="L76" s="306">
        <f>K76+J76</f>
        <v>11509.199999999999</v>
      </c>
      <c r="M76" s="628"/>
      <c r="N76" s="628"/>
      <c r="O76" s="628"/>
      <c r="P76" s="628"/>
      <c r="Q76" s="628"/>
      <c r="R76" s="628"/>
      <c r="S76" s="628"/>
      <c r="T76" s="628"/>
      <c r="U76" s="628"/>
      <c r="V76" s="628"/>
      <c r="W76" s="628"/>
      <c r="X76" s="628"/>
    </row>
    <row r="77" spans="1:24" s="582" customFormat="1" ht="21.75" customHeight="1" thickBot="1" x14ac:dyDescent="0.2">
      <c r="A77" s="571"/>
      <c r="B77" s="1104" t="s">
        <v>64</v>
      </c>
      <c r="C77" s="1105"/>
      <c r="D77" s="1105"/>
      <c r="E77" s="1105"/>
      <c r="F77" s="1105"/>
      <c r="G77" s="1105"/>
      <c r="H77" s="1106"/>
      <c r="I77" s="572">
        <f>SUM(I73:I76)</f>
        <v>98262.14</v>
      </c>
      <c r="J77" s="572">
        <f>SUM(J73:J76)</f>
        <v>103345.95999999999</v>
      </c>
      <c r="K77" s="572">
        <f>SUM(K73:K76)</f>
        <v>11509.199999999999</v>
      </c>
      <c r="L77" s="572">
        <f>SUM(L73:L76)</f>
        <v>114855.15999999999</v>
      </c>
      <c r="M77" s="628"/>
      <c r="N77" s="628"/>
      <c r="O77" s="628"/>
      <c r="P77" s="628"/>
      <c r="Q77" s="628"/>
      <c r="R77" s="628"/>
      <c r="S77" s="628"/>
      <c r="T77" s="628"/>
      <c r="U77" s="628"/>
      <c r="V77" s="628"/>
      <c r="W77" s="628"/>
      <c r="X77" s="628"/>
    </row>
    <row r="78" spans="1:24" s="254" customFormat="1" ht="21.75" customHeight="1" thickBot="1" x14ac:dyDescent="0.2">
      <c r="A78" s="253"/>
      <c r="B78" s="1116" t="s">
        <v>67</v>
      </c>
      <c r="C78" s="1116"/>
      <c r="D78" s="1116"/>
      <c r="E78" s="1116"/>
      <c r="F78" s="1116"/>
      <c r="G78" s="1116"/>
      <c r="H78" s="1116"/>
      <c r="I78" s="1116"/>
      <c r="J78" s="1116"/>
      <c r="K78" s="1116"/>
      <c r="M78" s="616"/>
      <c r="N78" s="616"/>
      <c r="O78" s="616"/>
      <c r="P78" s="616"/>
      <c r="Q78" s="616"/>
      <c r="R78" s="616"/>
      <c r="S78" s="616"/>
      <c r="T78" s="616"/>
      <c r="U78" s="616"/>
      <c r="V78" s="616"/>
      <c r="W78" s="616"/>
      <c r="X78" s="616"/>
    </row>
    <row r="79" spans="1:24" s="254" customFormat="1" ht="21.75" customHeight="1" x14ac:dyDescent="0.15">
      <c r="A79" s="1107" t="s">
        <v>61</v>
      </c>
      <c r="B79" s="1128" t="s">
        <v>54</v>
      </c>
      <c r="C79" s="1128" t="s">
        <v>5</v>
      </c>
      <c r="D79" s="1117" t="s">
        <v>4</v>
      </c>
      <c r="E79" s="1118"/>
      <c r="F79" s="1119"/>
      <c r="G79" s="1140" t="s">
        <v>334</v>
      </c>
      <c r="H79" s="1110" t="s">
        <v>8</v>
      </c>
      <c r="I79" s="1136" t="s">
        <v>50</v>
      </c>
      <c r="J79" s="1118"/>
      <c r="K79" s="1119"/>
      <c r="L79" s="503"/>
      <c r="M79" s="616"/>
      <c r="N79" s="616"/>
      <c r="O79" s="616"/>
      <c r="P79" s="616"/>
      <c r="Q79" s="616"/>
      <c r="R79" s="616"/>
      <c r="S79" s="616"/>
      <c r="T79" s="616"/>
      <c r="U79" s="616"/>
      <c r="V79" s="616"/>
      <c r="W79" s="616"/>
      <c r="X79" s="616"/>
    </row>
    <row r="80" spans="1:24" s="254" customFormat="1" ht="19.5" customHeight="1" x14ac:dyDescent="0.15">
      <c r="A80" s="1108"/>
      <c r="B80" s="1129"/>
      <c r="C80" s="1129"/>
      <c r="D80" s="1130" t="s">
        <v>62</v>
      </c>
      <c r="E80" s="1120" t="s">
        <v>63</v>
      </c>
      <c r="F80" s="1121"/>
      <c r="G80" s="1141"/>
      <c r="H80" s="1111"/>
      <c r="I80" s="1122" t="s">
        <v>6</v>
      </c>
      <c r="J80" s="1134" t="s">
        <v>7</v>
      </c>
      <c r="K80" s="1135"/>
      <c r="L80" s="1132" t="s">
        <v>336</v>
      </c>
      <c r="M80" s="616"/>
      <c r="N80" s="616"/>
      <c r="O80" s="616"/>
      <c r="P80" s="616"/>
      <c r="Q80" s="616"/>
      <c r="R80" s="616"/>
      <c r="S80" s="616"/>
      <c r="T80" s="616"/>
      <c r="U80" s="616"/>
      <c r="V80" s="616"/>
      <c r="W80" s="616"/>
      <c r="X80" s="616"/>
    </row>
    <row r="81" spans="1:24" s="254" customFormat="1" ht="21" customHeight="1" thickBot="1" x14ac:dyDescent="0.2">
      <c r="A81" s="1109"/>
      <c r="B81" s="1123"/>
      <c r="C81" s="1123"/>
      <c r="D81" s="1131"/>
      <c r="E81" s="880" t="s">
        <v>98</v>
      </c>
      <c r="F81" s="880" t="s">
        <v>99</v>
      </c>
      <c r="G81" s="1141"/>
      <c r="H81" s="1112"/>
      <c r="I81" s="1123"/>
      <c r="J81" s="880" t="s">
        <v>98</v>
      </c>
      <c r="K81" s="880" t="s">
        <v>99</v>
      </c>
      <c r="L81" s="1133"/>
      <c r="M81" s="616"/>
      <c r="N81" s="616"/>
      <c r="O81" s="616"/>
      <c r="P81" s="616"/>
      <c r="Q81" s="616"/>
      <c r="R81" s="616"/>
      <c r="S81" s="616"/>
      <c r="T81" s="616"/>
      <c r="U81" s="616"/>
      <c r="V81" s="616"/>
      <c r="W81" s="616"/>
      <c r="X81" s="616"/>
    </row>
    <row r="82" spans="1:24" s="278" customFormat="1" ht="15" customHeight="1" x14ac:dyDescent="0.15">
      <c r="A82" s="286"/>
      <c r="B82" s="283" t="s">
        <v>345</v>
      </c>
      <c r="C82" s="229"/>
      <c r="D82" s="228"/>
      <c r="E82" s="229"/>
      <c r="F82" s="229"/>
      <c r="G82" s="229"/>
      <c r="H82" s="228"/>
      <c r="I82" s="228"/>
      <c r="J82" s="228"/>
      <c r="K82" s="701"/>
      <c r="L82" s="284"/>
    </row>
    <row r="83" spans="1:24" s="278" customFormat="1" ht="15" customHeight="1" x14ac:dyDescent="0.15">
      <c r="A83" s="706">
        <v>5.0999999999999996</v>
      </c>
      <c r="B83" s="275" t="s">
        <v>346</v>
      </c>
      <c r="C83" s="146"/>
      <c r="D83" s="99"/>
      <c r="E83" s="12"/>
      <c r="F83" s="146"/>
      <c r="G83" s="146"/>
      <c r="H83" s="99"/>
      <c r="I83" s="99"/>
      <c r="J83" s="99"/>
      <c r="K83" s="272"/>
      <c r="L83" s="273"/>
    </row>
    <row r="84" spans="1:24" s="278" customFormat="1" ht="18.75" customHeight="1" x14ac:dyDescent="0.15">
      <c r="A84" s="706"/>
      <c r="B84" s="275" t="s">
        <v>356</v>
      </c>
      <c r="C84" s="146" t="s">
        <v>348</v>
      </c>
      <c r="D84" s="99">
        <v>4</v>
      </c>
      <c r="E84" s="230">
        <v>4</v>
      </c>
      <c r="F84" s="12"/>
      <c r="G84" s="146">
        <f>F84+E84</f>
        <v>4</v>
      </c>
      <c r="H84" s="146">
        <v>2400</v>
      </c>
      <c r="I84" s="99">
        <f t="shared" ref="I84:I91" si="15">H84*D84</f>
        <v>9600</v>
      </c>
      <c r="J84" s="50">
        <f t="shared" ref="J84:J91" si="16">H84*E84</f>
        <v>9600</v>
      </c>
      <c r="K84" s="707">
        <f t="shared" ref="K84:K91" si="17">H84*F84</f>
        <v>0</v>
      </c>
      <c r="L84" s="707">
        <f t="shared" ref="L84:L91" si="18">G84*H84</f>
        <v>9600</v>
      </c>
    </row>
    <row r="85" spans="1:24" s="278" customFormat="1" ht="18.75" customHeight="1" x14ac:dyDescent="0.15">
      <c r="A85" s="706"/>
      <c r="B85" s="275" t="s">
        <v>357</v>
      </c>
      <c r="C85" s="146" t="s">
        <v>348</v>
      </c>
      <c r="D85" s="99">
        <v>20</v>
      </c>
      <c r="E85" s="230">
        <v>21</v>
      </c>
      <c r="F85" s="12"/>
      <c r="G85" s="146">
        <f>F85+E85</f>
        <v>21</v>
      </c>
      <c r="H85" s="146">
        <v>3000</v>
      </c>
      <c r="I85" s="99">
        <f t="shared" si="15"/>
        <v>60000</v>
      </c>
      <c r="J85" s="50">
        <f t="shared" si="16"/>
        <v>63000</v>
      </c>
      <c r="K85" s="707">
        <f t="shared" si="17"/>
        <v>0</v>
      </c>
      <c r="L85" s="707">
        <f t="shared" si="18"/>
        <v>63000</v>
      </c>
    </row>
    <row r="86" spans="1:24" s="278" customFormat="1" ht="18.75" customHeight="1" x14ac:dyDescent="0.15">
      <c r="A86" s="706"/>
      <c r="B86" s="275" t="s">
        <v>360</v>
      </c>
      <c r="C86" s="146" t="s">
        <v>348</v>
      </c>
      <c r="D86" s="99">
        <v>1</v>
      </c>
      <c r="E86" s="230">
        <v>2</v>
      </c>
      <c r="F86" s="12"/>
      <c r="G86" s="146">
        <f>F86+E86</f>
        <v>2</v>
      </c>
      <c r="H86" s="146">
        <v>2200</v>
      </c>
      <c r="I86" s="99">
        <f t="shared" si="15"/>
        <v>2200</v>
      </c>
      <c r="J86" s="50">
        <f t="shared" si="16"/>
        <v>4400</v>
      </c>
      <c r="K86" s="707">
        <f t="shared" si="17"/>
        <v>0</v>
      </c>
      <c r="L86" s="707">
        <f t="shared" si="18"/>
        <v>4400</v>
      </c>
    </row>
    <row r="87" spans="1:24" s="278" customFormat="1" ht="18.75" customHeight="1" x14ac:dyDescent="0.15">
      <c r="A87" s="706"/>
      <c r="B87" s="275" t="s">
        <v>358</v>
      </c>
      <c r="C87" s="146" t="s">
        <v>348</v>
      </c>
      <c r="D87" s="99">
        <v>7</v>
      </c>
      <c r="E87" s="230">
        <v>3</v>
      </c>
      <c r="F87" s="12"/>
      <c r="G87" s="146">
        <f>F87+E87</f>
        <v>3</v>
      </c>
      <c r="H87" s="146">
        <v>1125</v>
      </c>
      <c r="I87" s="99">
        <f t="shared" si="15"/>
        <v>7875</v>
      </c>
      <c r="J87" s="50">
        <f t="shared" si="16"/>
        <v>3375</v>
      </c>
      <c r="K87" s="707">
        <f t="shared" si="17"/>
        <v>0</v>
      </c>
      <c r="L87" s="707">
        <f t="shared" si="18"/>
        <v>3375</v>
      </c>
    </row>
    <row r="88" spans="1:24" s="278" customFormat="1" ht="18.75" customHeight="1" x14ac:dyDescent="0.15">
      <c r="A88" s="706"/>
      <c r="B88" s="275" t="s">
        <v>359</v>
      </c>
      <c r="C88" s="146" t="s">
        <v>348</v>
      </c>
      <c r="D88" s="99">
        <v>4</v>
      </c>
      <c r="E88" s="230"/>
      <c r="F88" s="12"/>
      <c r="G88" s="146">
        <f>F88+E88</f>
        <v>0</v>
      </c>
      <c r="H88" s="146">
        <v>750</v>
      </c>
      <c r="I88" s="99">
        <f t="shared" si="15"/>
        <v>3000</v>
      </c>
      <c r="J88" s="50">
        <f t="shared" si="16"/>
        <v>0</v>
      </c>
      <c r="K88" s="707">
        <f t="shared" si="17"/>
        <v>0</v>
      </c>
      <c r="L88" s="707">
        <f t="shared" si="18"/>
        <v>0</v>
      </c>
    </row>
    <row r="89" spans="1:24" s="278" customFormat="1" ht="18.75" customHeight="1" x14ac:dyDescent="0.15">
      <c r="A89" s="932">
        <v>5.2</v>
      </c>
      <c r="B89" s="99" t="s">
        <v>390</v>
      </c>
      <c r="C89" s="146"/>
      <c r="D89" s="99"/>
      <c r="E89" s="272"/>
      <c r="F89" s="146"/>
      <c r="G89" s="146"/>
      <c r="H89" s="146"/>
      <c r="I89" s="99">
        <f t="shared" si="15"/>
        <v>0</v>
      </c>
      <c r="J89" s="50">
        <f t="shared" si="16"/>
        <v>0</v>
      </c>
      <c r="K89" s="707">
        <f t="shared" si="17"/>
        <v>0</v>
      </c>
      <c r="L89" s="707">
        <f t="shared" si="18"/>
        <v>0</v>
      </c>
    </row>
    <row r="90" spans="1:24" s="278" customFormat="1" ht="18.75" customHeight="1" x14ac:dyDescent="0.15">
      <c r="A90" s="932"/>
      <c r="B90" s="99" t="s">
        <v>530</v>
      </c>
      <c r="C90" s="146" t="s">
        <v>142</v>
      </c>
      <c r="D90" s="98">
        <v>2</v>
      </c>
      <c r="E90" s="272"/>
      <c r="F90" s="146">
        <v>5</v>
      </c>
      <c r="G90" s="146"/>
      <c r="H90" s="146">
        <v>2700</v>
      </c>
      <c r="I90" s="99">
        <f t="shared" si="15"/>
        <v>5400</v>
      </c>
      <c r="J90" s="50">
        <f t="shared" si="16"/>
        <v>0</v>
      </c>
      <c r="K90" s="707">
        <f t="shared" si="17"/>
        <v>13500</v>
      </c>
      <c r="L90" s="707">
        <f t="shared" si="18"/>
        <v>0</v>
      </c>
    </row>
    <row r="91" spans="1:24" s="278" customFormat="1" ht="18.75" customHeight="1" x14ac:dyDescent="0.15">
      <c r="A91" s="932"/>
      <c r="B91" s="99"/>
      <c r="C91" s="146"/>
      <c r="D91" s="99"/>
      <c r="E91" s="272"/>
      <c r="F91" s="146"/>
      <c r="G91" s="146"/>
      <c r="H91" s="146"/>
      <c r="I91" s="99">
        <f t="shared" si="15"/>
        <v>0</v>
      </c>
      <c r="J91" s="50">
        <f t="shared" si="16"/>
        <v>0</v>
      </c>
      <c r="K91" s="707">
        <f t="shared" si="17"/>
        <v>0</v>
      </c>
      <c r="L91" s="707">
        <f t="shared" si="18"/>
        <v>0</v>
      </c>
    </row>
    <row r="92" spans="1:24" s="704" customFormat="1" ht="21.75" customHeight="1" thickBot="1" x14ac:dyDescent="0.2">
      <c r="A92" s="571"/>
      <c r="B92" s="1104" t="s">
        <v>64</v>
      </c>
      <c r="C92" s="1105"/>
      <c r="D92" s="1105"/>
      <c r="E92" s="1105"/>
      <c r="F92" s="1105"/>
      <c r="G92" s="1105"/>
      <c r="H92" s="1106"/>
      <c r="I92" s="572">
        <f>SUM(I84:I91)</f>
        <v>88075</v>
      </c>
      <c r="J92" s="572">
        <f>SUM(J84:J91)</f>
        <v>80375</v>
      </c>
      <c r="K92" s="705">
        <f>SUM(K84:K91)</f>
        <v>13500</v>
      </c>
      <c r="L92" s="705">
        <f>SUM(L84:L91)</f>
        <v>80375</v>
      </c>
    </row>
    <row r="93" spans="1:24" s="312" customFormat="1" x14ac:dyDescent="0.15">
      <c r="A93" s="340"/>
      <c r="B93" s="267" t="s">
        <v>297</v>
      </c>
      <c r="C93" s="149"/>
      <c r="D93" s="149"/>
      <c r="E93" s="341"/>
      <c r="F93" s="341"/>
      <c r="G93" s="341"/>
      <c r="H93" s="342"/>
      <c r="I93" s="342"/>
      <c r="J93" s="295"/>
      <c r="K93" s="295"/>
      <c r="L93" s="295"/>
      <c r="M93" s="628"/>
      <c r="N93" s="628"/>
      <c r="O93" s="628"/>
      <c r="P93" s="628"/>
      <c r="Q93" s="628"/>
      <c r="R93" s="628"/>
      <c r="S93" s="628"/>
      <c r="T93" s="628"/>
      <c r="U93" s="628"/>
      <c r="V93" s="628"/>
    </row>
    <row r="94" spans="1:24" s="312" customFormat="1" ht="15" customHeight="1" x14ac:dyDescent="0.15">
      <c r="A94" s="343">
        <v>6.1</v>
      </c>
      <c r="B94" s="270" t="s">
        <v>298</v>
      </c>
      <c r="C94" s="149"/>
      <c r="D94" s="149"/>
      <c r="E94" s="231"/>
      <c r="F94" s="231"/>
      <c r="G94" s="310"/>
      <c r="H94" s="147"/>
      <c r="I94" s="147"/>
      <c r="J94" s="231"/>
      <c r="K94" s="231"/>
      <c r="L94" s="231"/>
      <c r="M94" s="628"/>
      <c r="N94" s="628"/>
      <c r="O94" s="628"/>
      <c r="P94" s="628"/>
      <c r="Q94" s="628"/>
      <c r="R94" s="628"/>
      <c r="S94" s="628"/>
      <c r="T94" s="628"/>
      <c r="U94" s="628"/>
      <c r="V94" s="628"/>
    </row>
    <row r="95" spans="1:24" s="312" customFormat="1" ht="17.25" x14ac:dyDescent="0.15">
      <c r="A95" s="343"/>
      <c r="B95" s="270" t="s">
        <v>299</v>
      </c>
      <c r="C95" s="12" t="s">
        <v>300</v>
      </c>
      <c r="D95" s="12">
        <v>833</v>
      </c>
      <c r="E95" s="231">
        <v>246.17</v>
      </c>
      <c r="F95" s="231"/>
      <c r="G95" s="231">
        <f t="shared" ref="G95:G102" si="19">F95+E95</f>
        <v>246.17</v>
      </c>
      <c r="H95" s="98">
        <v>115</v>
      </c>
      <c r="I95" s="98">
        <f t="shared" ref="I95:I102" si="20">H95*D95</f>
        <v>95795</v>
      </c>
      <c r="J95" s="31">
        <f>H95*E95</f>
        <v>28309.55</v>
      </c>
      <c r="K95" s="31">
        <f t="shared" ref="K95:K102" si="21">H95*F95</f>
        <v>0</v>
      </c>
      <c r="L95" s="231">
        <f>K95+J95</f>
        <v>28309.55</v>
      </c>
      <c r="M95" s="628"/>
      <c r="N95" s="628"/>
      <c r="O95" s="628"/>
      <c r="P95" s="628"/>
      <c r="Q95" s="628"/>
      <c r="R95" s="628"/>
      <c r="S95" s="628"/>
      <c r="T95" s="628"/>
      <c r="U95" s="628"/>
      <c r="V95" s="628"/>
    </row>
    <row r="96" spans="1:24" s="312" customFormat="1" ht="22.5" customHeight="1" x14ac:dyDescent="0.15">
      <c r="A96" s="343">
        <v>6.2</v>
      </c>
      <c r="B96" s="270" t="s">
        <v>301</v>
      </c>
      <c r="C96" s="12"/>
      <c r="D96" s="12"/>
      <c r="E96" s="310"/>
      <c r="F96" s="310"/>
      <c r="G96" s="231">
        <f t="shared" si="19"/>
        <v>0</v>
      </c>
      <c r="H96" s="98"/>
      <c r="I96" s="98">
        <f t="shared" si="20"/>
        <v>0</v>
      </c>
      <c r="J96" s="31">
        <f t="shared" ref="J96:J102" si="22">H96*E96</f>
        <v>0</v>
      </c>
      <c r="K96" s="31">
        <f t="shared" si="21"/>
        <v>0</v>
      </c>
      <c r="L96" s="231">
        <f>K96+J96</f>
        <v>0</v>
      </c>
      <c r="M96" s="628"/>
      <c r="N96" s="628"/>
      <c r="O96" s="628"/>
      <c r="P96" s="628"/>
      <c r="Q96" s="628"/>
      <c r="R96" s="628"/>
      <c r="S96" s="628"/>
      <c r="T96" s="628"/>
      <c r="U96" s="628"/>
      <c r="V96" s="628"/>
    </row>
    <row r="97" spans="1:24" s="312" customFormat="1" ht="19.5" customHeight="1" x14ac:dyDescent="0.15">
      <c r="A97" s="343"/>
      <c r="B97" s="344" t="s">
        <v>302</v>
      </c>
      <c r="C97" s="12" t="s">
        <v>300</v>
      </c>
      <c r="D97" s="12">
        <v>1671</v>
      </c>
      <c r="E97" s="231">
        <v>2474.14</v>
      </c>
      <c r="F97" s="872"/>
      <c r="G97" s="231">
        <f t="shared" si="19"/>
        <v>2474.14</v>
      </c>
      <c r="H97" s="98">
        <v>140</v>
      </c>
      <c r="I97" s="98">
        <f t="shared" si="20"/>
        <v>233940</v>
      </c>
      <c r="J97" s="31">
        <f>H97*E97</f>
        <v>346379.6</v>
      </c>
      <c r="K97" s="31">
        <f t="shared" si="21"/>
        <v>0</v>
      </c>
      <c r="L97" s="231">
        <v>346379.6</v>
      </c>
      <c r="M97" s="628"/>
      <c r="N97" s="628"/>
      <c r="O97" s="628"/>
      <c r="P97" s="628"/>
      <c r="Q97" s="628"/>
      <c r="R97" s="628"/>
      <c r="S97" s="628"/>
      <c r="T97" s="628"/>
      <c r="U97" s="628"/>
      <c r="V97" s="628"/>
    </row>
    <row r="98" spans="1:24" ht="17.25" x14ac:dyDescent="0.15">
      <c r="A98" s="785">
        <v>6.3</v>
      </c>
      <c r="B98" s="786" t="s">
        <v>399</v>
      </c>
      <c r="C98" s="35" t="s">
        <v>400</v>
      </c>
      <c r="D98" s="35">
        <v>625</v>
      </c>
      <c r="E98" s="231">
        <v>184.79</v>
      </c>
      <c r="F98" s="231">
        <v>431.16</v>
      </c>
      <c r="G98" s="231">
        <f t="shared" si="19"/>
        <v>615.95000000000005</v>
      </c>
      <c r="H98" s="31">
        <v>340</v>
      </c>
      <c r="I98" s="98">
        <f t="shared" si="20"/>
        <v>212500</v>
      </c>
      <c r="J98" s="31">
        <f t="shared" si="22"/>
        <v>62828.6</v>
      </c>
      <c r="K98" s="31">
        <f t="shared" si="21"/>
        <v>146594.4</v>
      </c>
      <c r="L98" s="231">
        <f>K98+J98</f>
        <v>209423</v>
      </c>
      <c r="M98" s="628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</row>
    <row r="99" spans="1:24" x14ac:dyDescent="0.15">
      <c r="A99" s="785">
        <v>6.4</v>
      </c>
      <c r="B99" s="786" t="s">
        <v>484</v>
      </c>
      <c r="C99" s="35" t="s">
        <v>11</v>
      </c>
      <c r="D99" s="35">
        <v>422</v>
      </c>
      <c r="E99" s="231"/>
      <c r="F99" s="231"/>
      <c r="G99" s="231">
        <f t="shared" si="19"/>
        <v>0</v>
      </c>
      <c r="H99" s="31">
        <v>330</v>
      </c>
      <c r="I99" s="98">
        <f t="shared" si="20"/>
        <v>139260</v>
      </c>
      <c r="J99" s="31">
        <f t="shared" si="22"/>
        <v>0</v>
      </c>
      <c r="K99" s="31">
        <f t="shared" si="21"/>
        <v>0</v>
      </c>
      <c r="L99" s="231">
        <f>K99+J99</f>
        <v>0</v>
      </c>
      <c r="M99" s="628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</row>
    <row r="100" spans="1:24" x14ac:dyDescent="0.15">
      <c r="A100" s="785">
        <v>6.5</v>
      </c>
      <c r="B100" s="786" t="s">
        <v>483</v>
      </c>
      <c r="C100" s="35" t="s">
        <v>11</v>
      </c>
      <c r="D100" s="35">
        <v>625</v>
      </c>
      <c r="E100" s="231"/>
      <c r="F100" s="231">
        <v>644.46</v>
      </c>
      <c r="G100" s="231">
        <f t="shared" si="19"/>
        <v>644.46</v>
      </c>
      <c r="H100" s="31">
        <v>380</v>
      </c>
      <c r="I100" s="98">
        <f t="shared" si="20"/>
        <v>237500</v>
      </c>
      <c r="J100" s="31">
        <f t="shared" si="22"/>
        <v>0</v>
      </c>
      <c r="K100" s="31">
        <f t="shared" si="21"/>
        <v>244894.80000000002</v>
      </c>
      <c r="L100" s="231">
        <f>K100+J100</f>
        <v>244894.80000000002</v>
      </c>
      <c r="M100" s="628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</row>
    <row r="101" spans="1:24" x14ac:dyDescent="0.15">
      <c r="A101" s="785">
        <v>6.6</v>
      </c>
      <c r="B101" s="786" t="s">
        <v>531</v>
      </c>
      <c r="C101" s="35" t="s">
        <v>174</v>
      </c>
      <c r="D101" s="35">
        <v>610</v>
      </c>
      <c r="E101" s="231"/>
      <c r="F101" s="231"/>
      <c r="G101" s="231">
        <f t="shared" si="19"/>
        <v>0</v>
      </c>
      <c r="H101" s="31">
        <v>50</v>
      </c>
      <c r="I101" s="98">
        <f t="shared" si="20"/>
        <v>30500</v>
      </c>
      <c r="J101" s="31">
        <f t="shared" si="22"/>
        <v>0</v>
      </c>
      <c r="K101" s="31">
        <f t="shared" si="21"/>
        <v>0</v>
      </c>
      <c r="L101" s="231">
        <f>K101+J101</f>
        <v>0</v>
      </c>
      <c r="M101" s="628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</row>
    <row r="102" spans="1:24" x14ac:dyDescent="0.15">
      <c r="A102" s="933">
        <v>6.9</v>
      </c>
      <c r="B102" s="934" t="s">
        <v>532</v>
      </c>
      <c r="C102" s="35" t="s">
        <v>11</v>
      </c>
      <c r="D102" s="35">
        <v>148</v>
      </c>
      <c r="E102" s="231"/>
      <c r="F102" s="231">
        <v>75</v>
      </c>
      <c r="G102" s="231">
        <f t="shared" si="19"/>
        <v>75</v>
      </c>
      <c r="H102" s="31">
        <v>450</v>
      </c>
      <c r="I102" s="98">
        <f t="shared" si="20"/>
        <v>66600</v>
      </c>
      <c r="J102" s="31">
        <f t="shared" si="22"/>
        <v>0</v>
      </c>
      <c r="K102" s="31">
        <f t="shared" si="21"/>
        <v>33750</v>
      </c>
      <c r="L102" s="231">
        <f>K102+J102</f>
        <v>33750</v>
      </c>
      <c r="M102" s="628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</row>
    <row r="103" spans="1:24" s="582" customFormat="1" ht="21.75" customHeight="1" thickBot="1" x14ac:dyDescent="0.2">
      <c r="A103" s="571"/>
      <c r="B103" s="1104" t="s">
        <v>64</v>
      </c>
      <c r="C103" s="1105"/>
      <c r="D103" s="1105"/>
      <c r="E103" s="1105"/>
      <c r="F103" s="1105"/>
      <c r="G103" s="1105"/>
      <c r="H103" s="1106"/>
      <c r="I103" s="572">
        <f>SUM(I95:I102)</f>
        <v>1016095</v>
      </c>
      <c r="J103" s="572">
        <f>SUM(J95:J102)</f>
        <v>437517.74999999994</v>
      </c>
      <c r="K103" s="572">
        <f>SUM(K95:K102)</f>
        <v>425239.2</v>
      </c>
      <c r="L103" s="572">
        <f>SUM(L95:L102)</f>
        <v>862756.95</v>
      </c>
      <c r="M103" s="628"/>
      <c r="N103" s="628"/>
      <c r="O103" s="628"/>
      <c r="P103" s="628"/>
      <c r="Q103" s="628"/>
      <c r="R103" s="628"/>
      <c r="S103" s="628"/>
      <c r="T103" s="628"/>
      <c r="U103" s="628"/>
      <c r="V103" s="628"/>
    </row>
    <row r="104" spans="1:24" s="312" customFormat="1" x14ac:dyDescent="0.15">
      <c r="A104" s="340"/>
      <c r="B104" s="267" t="s">
        <v>516</v>
      </c>
      <c r="C104" s="149"/>
      <c r="D104" s="149"/>
      <c r="E104" s="341"/>
      <c r="F104" s="341"/>
      <c r="G104" s="341"/>
      <c r="H104" s="342"/>
      <c r="I104" s="342"/>
      <c r="J104" s="295"/>
      <c r="K104" s="295"/>
      <c r="L104" s="295"/>
      <c r="M104" s="628"/>
      <c r="N104" s="628"/>
      <c r="O104" s="628"/>
      <c r="P104" s="628"/>
      <c r="Q104" s="628"/>
      <c r="R104" s="628"/>
      <c r="S104" s="628"/>
      <c r="T104" s="628"/>
      <c r="U104" s="628"/>
      <c r="V104" s="628"/>
    </row>
    <row r="105" spans="1:24" s="312" customFormat="1" x14ac:dyDescent="0.15">
      <c r="A105" s="343">
        <v>2</v>
      </c>
      <c r="B105" s="267" t="s">
        <v>517</v>
      </c>
      <c r="C105" s="149"/>
      <c r="D105" s="149"/>
      <c r="E105" s="231"/>
      <c r="F105" s="231"/>
      <c r="G105" s="310"/>
      <c r="H105" s="147"/>
      <c r="I105" s="147"/>
      <c r="J105" s="231"/>
      <c r="K105" s="231"/>
      <c r="L105" s="231"/>
      <c r="M105" s="628"/>
      <c r="N105" s="628"/>
      <c r="O105" s="628"/>
      <c r="P105" s="628"/>
      <c r="Q105" s="628"/>
      <c r="R105" s="628"/>
      <c r="S105" s="628"/>
      <c r="T105" s="628"/>
      <c r="U105" s="628"/>
      <c r="V105" s="628"/>
    </row>
    <row r="106" spans="1:24" s="312" customFormat="1" x14ac:dyDescent="0.15">
      <c r="A106" s="343">
        <v>2.0099999999999998</v>
      </c>
      <c r="B106" s="270" t="s">
        <v>520</v>
      </c>
      <c r="C106" s="12" t="s">
        <v>466</v>
      </c>
      <c r="D106" s="12">
        <v>138</v>
      </c>
      <c r="E106" s="231"/>
      <c r="F106" s="231">
        <v>140</v>
      </c>
      <c r="G106" s="231">
        <f>F106+E106</f>
        <v>140</v>
      </c>
      <c r="H106" s="98">
        <v>320</v>
      </c>
      <c r="I106" s="98">
        <f>H106*D106</f>
        <v>44160</v>
      </c>
      <c r="J106" s="31">
        <f t="shared" ref="J106:J111" si="23">H106*E106</f>
        <v>0</v>
      </c>
      <c r="K106" s="31">
        <f t="shared" ref="K106:K111" si="24">H106*F106</f>
        <v>44800</v>
      </c>
      <c r="L106" s="231">
        <f t="shared" ref="L106:L111" si="25">K106+J106</f>
        <v>44800</v>
      </c>
      <c r="M106" s="628"/>
      <c r="N106" s="628"/>
      <c r="O106" s="628"/>
      <c r="P106" s="628"/>
      <c r="Q106" s="628"/>
      <c r="R106" s="628"/>
      <c r="S106" s="628"/>
      <c r="T106" s="628"/>
      <c r="U106" s="628"/>
      <c r="V106" s="628"/>
    </row>
    <row r="107" spans="1:24" s="312" customFormat="1" x14ac:dyDescent="0.15">
      <c r="A107" s="343">
        <v>4</v>
      </c>
      <c r="B107" s="267" t="s">
        <v>518</v>
      </c>
      <c r="C107" s="12"/>
      <c r="D107" s="12"/>
      <c r="E107" s="310"/>
      <c r="F107" s="310"/>
      <c r="G107" s="231"/>
      <c r="H107" s="98"/>
      <c r="I107" s="98"/>
      <c r="J107" s="31">
        <f t="shared" si="23"/>
        <v>0</v>
      </c>
      <c r="K107" s="31">
        <f t="shared" si="24"/>
        <v>0</v>
      </c>
      <c r="L107" s="231">
        <f t="shared" si="25"/>
        <v>0</v>
      </c>
      <c r="M107" s="628"/>
      <c r="N107" s="628"/>
      <c r="O107" s="628"/>
      <c r="P107" s="628"/>
      <c r="Q107" s="628"/>
      <c r="R107" s="628"/>
      <c r="S107" s="628"/>
      <c r="T107" s="628"/>
      <c r="U107" s="628"/>
      <c r="V107" s="628"/>
    </row>
    <row r="108" spans="1:24" s="312" customFormat="1" ht="17.25" customHeight="1" x14ac:dyDescent="0.15">
      <c r="A108" s="343">
        <v>4.01</v>
      </c>
      <c r="B108" s="344" t="s">
        <v>519</v>
      </c>
      <c r="C108" s="12" t="s">
        <v>466</v>
      </c>
      <c r="D108" s="12">
        <v>78</v>
      </c>
      <c r="E108" s="231"/>
      <c r="F108" s="872">
        <v>64</v>
      </c>
      <c r="G108" s="231">
        <f>F108+E108</f>
        <v>64</v>
      </c>
      <c r="H108" s="98">
        <v>260</v>
      </c>
      <c r="I108" s="98">
        <f>H108*D108</f>
        <v>20280</v>
      </c>
      <c r="J108" s="31">
        <f t="shared" si="23"/>
        <v>0</v>
      </c>
      <c r="K108" s="31">
        <f t="shared" si="24"/>
        <v>16640</v>
      </c>
      <c r="L108" s="231">
        <f t="shared" si="25"/>
        <v>16640</v>
      </c>
      <c r="M108" s="628"/>
      <c r="N108" s="628"/>
      <c r="O108" s="628"/>
      <c r="P108" s="628"/>
      <c r="Q108" s="628"/>
      <c r="R108" s="628"/>
      <c r="S108" s="628"/>
      <c r="T108" s="628"/>
      <c r="U108" s="628"/>
      <c r="V108" s="628"/>
    </row>
    <row r="109" spans="1:24" x14ac:dyDescent="0.15">
      <c r="A109" s="785"/>
      <c r="B109" s="786"/>
      <c r="C109" s="35"/>
      <c r="D109" s="35"/>
      <c r="E109" s="231"/>
      <c r="F109" s="231"/>
      <c r="G109" s="231">
        <f>F109+E109</f>
        <v>0</v>
      </c>
      <c r="H109" s="31"/>
      <c r="I109" s="98">
        <f>H109*D109</f>
        <v>0</v>
      </c>
      <c r="J109" s="31">
        <f t="shared" si="23"/>
        <v>0</v>
      </c>
      <c r="K109" s="31">
        <f t="shared" si="24"/>
        <v>0</v>
      </c>
      <c r="L109" s="231">
        <f t="shared" si="25"/>
        <v>0</v>
      </c>
      <c r="M109" s="628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</row>
    <row r="110" spans="1:24" x14ac:dyDescent="0.15">
      <c r="A110" s="785"/>
      <c r="B110" s="786"/>
      <c r="C110" s="35"/>
      <c r="D110" s="35"/>
      <c r="E110" s="231"/>
      <c r="F110" s="231"/>
      <c r="G110" s="231">
        <f>F110+E110</f>
        <v>0</v>
      </c>
      <c r="H110" s="31"/>
      <c r="I110" s="98">
        <f>H110*D110</f>
        <v>0</v>
      </c>
      <c r="J110" s="31">
        <f t="shared" si="23"/>
        <v>0</v>
      </c>
      <c r="K110" s="31">
        <f t="shared" si="24"/>
        <v>0</v>
      </c>
      <c r="L110" s="231">
        <f t="shared" si="25"/>
        <v>0</v>
      </c>
      <c r="M110" s="628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</row>
    <row r="111" spans="1:24" x14ac:dyDescent="0.15">
      <c r="A111" s="785"/>
      <c r="B111" s="786"/>
      <c r="C111" s="35"/>
      <c r="D111" s="35"/>
      <c r="E111" s="231"/>
      <c r="F111" s="231"/>
      <c r="G111" s="231">
        <f>F111+E111</f>
        <v>0</v>
      </c>
      <c r="H111" s="31"/>
      <c r="I111" s="98">
        <f>H111*D111</f>
        <v>0</v>
      </c>
      <c r="J111" s="31">
        <f t="shared" si="23"/>
        <v>0</v>
      </c>
      <c r="K111" s="31">
        <f t="shared" si="24"/>
        <v>0</v>
      </c>
      <c r="L111" s="231">
        <f t="shared" si="25"/>
        <v>0</v>
      </c>
      <c r="M111" s="628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</row>
    <row r="112" spans="1:24" x14ac:dyDescent="0.15">
      <c r="A112" s="785"/>
      <c r="B112" s="786"/>
      <c r="C112" s="35"/>
      <c r="D112" s="35"/>
      <c r="E112" s="231"/>
      <c r="F112" s="231"/>
      <c r="G112" s="231"/>
      <c r="H112" s="31"/>
      <c r="I112" s="98"/>
      <c r="J112" s="31"/>
      <c r="K112" s="31"/>
      <c r="L112" s="23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</row>
    <row r="113" spans="1:22" s="582" customFormat="1" ht="21.75" customHeight="1" thickBot="1" x14ac:dyDescent="0.2">
      <c r="A113" s="571"/>
      <c r="B113" s="1104" t="s">
        <v>64</v>
      </c>
      <c r="C113" s="1105"/>
      <c r="D113" s="1105"/>
      <c r="E113" s="1105"/>
      <c r="F113" s="1105"/>
      <c r="G113" s="1105"/>
      <c r="H113" s="1106"/>
      <c r="I113" s="572">
        <f>SUM(I106:I112)</f>
        <v>64440</v>
      </c>
      <c r="J113" s="572">
        <f>SUM(J106:J112)</f>
        <v>0</v>
      </c>
      <c r="K113" s="572">
        <f>SUM(K106:K112)</f>
        <v>61440</v>
      </c>
      <c r="L113" s="572">
        <f>SUM(L106:L112)</f>
        <v>61440</v>
      </c>
      <c r="M113" s="628"/>
      <c r="N113" s="628"/>
      <c r="O113" s="628"/>
      <c r="P113" s="628"/>
      <c r="Q113" s="628"/>
      <c r="R113" s="628"/>
      <c r="S113" s="628"/>
      <c r="T113" s="628"/>
      <c r="U113" s="628"/>
      <c r="V113" s="628"/>
    </row>
    <row r="114" spans="1:22" x14ac:dyDescent="0.15">
      <c r="A114" s="84"/>
      <c r="B114" s="84"/>
      <c r="C114" s="322"/>
      <c r="D114" s="84"/>
      <c r="E114" s="84"/>
      <c r="F114" s="84"/>
      <c r="G114" s="84"/>
      <c r="H114" s="84"/>
      <c r="I114" s="84"/>
      <c r="J114" s="84"/>
      <c r="K114" s="84"/>
      <c r="L114" s="84"/>
    </row>
    <row r="115" spans="1:22" x14ac:dyDescent="0.15">
      <c r="A115" s="84"/>
      <c r="B115" s="84"/>
      <c r="C115" s="322"/>
      <c r="D115" s="84"/>
      <c r="E115" s="84"/>
      <c r="F115" s="84"/>
      <c r="G115" s="84"/>
      <c r="H115" s="84"/>
      <c r="I115" s="84"/>
      <c r="J115" s="84"/>
      <c r="K115" s="84"/>
      <c r="L115" s="84"/>
    </row>
    <row r="116" spans="1:22" x14ac:dyDescent="0.15">
      <c r="A116" s="84"/>
      <c r="B116" s="84"/>
      <c r="C116" s="322"/>
      <c r="D116" s="84"/>
      <c r="E116" s="84"/>
      <c r="F116" s="84"/>
      <c r="G116" s="84"/>
      <c r="H116" s="84"/>
      <c r="I116" s="84"/>
      <c r="J116" s="84"/>
      <c r="K116" s="84"/>
      <c r="L116" s="84"/>
    </row>
    <row r="117" spans="1:22" x14ac:dyDescent="0.15">
      <c r="A117" s="84"/>
      <c r="B117" s="84"/>
      <c r="C117" s="322"/>
      <c r="D117" s="84"/>
      <c r="E117" s="84"/>
      <c r="F117" s="84"/>
      <c r="G117" s="84"/>
      <c r="H117" s="84"/>
      <c r="I117" s="84"/>
      <c r="J117" s="84"/>
      <c r="K117" s="84"/>
      <c r="L117" s="84"/>
    </row>
    <row r="118" spans="1:22" x14ac:dyDescent="0.15">
      <c r="A118" s="84"/>
      <c r="B118" s="84"/>
      <c r="C118" s="322"/>
      <c r="D118" s="84"/>
      <c r="E118" s="84"/>
      <c r="F118" s="84"/>
      <c r="G118" s="84"/>
      <c r="H118" s="84"/>
      <c r="I118" s="84"/>
      <c r="J118" s="84"/>
      <c r="K118" s="84"/>
      <c r="L118" s="84"/>
    </row>
    <row r="119" spans="1:22" x14ac:dyDescent="0.15">
      <c r="A119" s="84"/>
      <c r="B119" s="84"/>
      <c r="C119" s="322"/>
      <c r="D119" s="84"/>
      <c r="E119" s="84"/>
      <c r="F119" s="84"/>
      <c r="G119" s="84"/>
      <c r="H119" s="84"/>
      <c r="I119" s="84"/>
      <c r="J119" s="84"/>
      <c r="K119" s="84"/>
      <c r="L119" s="84"/>
    </row>
    <row r="120" spans="1:22" x14ac:dyDescent="0.15">
      <c r="A120" s="84"/>
      <c r="B120" s="84"/>
      <c r="C120" s="322"/>
      <c r="D120" s="84"/>
      <c r="E120" s="84"/>
      <c r="F120" s="84"/>
      <c r="G120" s="84"/>
      <c r="H120" s="84"/>
      <c r="I120" s="84"/>
      <c r="J120" s="84"/>
      <c r="K120" s="84"/>
      <c r="L120" s="84"/>
    </row>
    <row r="121" spans="1:22" x14ac:dyDescent="0.15">
      <c r="A121" s="84"/>
      <c r="B121" s="84"/>
      <c r="C121" s="322"/>
      <c r="D121" s="84"/>
      <c r="E121" s="84"/>
      <c r="F121" s="84"/>
      <c r="G121" s="84"/>
      <c r="H121" s="84"/>
      <c r="I121" s="84"/>
      <c r="J121" s="84"/>
      <c r="K121" s="84"/>
      <c r="L121" s="84"/>
    </row>
    <row r="122" spans="1:22" x14ac:dyDescent="0.15">
      <c r="A122" s="84"/>
      <c r="B122" s="84"/>
      <c r="C122" s="322"/>
      <c r="D122" s="84"/>
      <c r="E122" s="84"/>
      <c r="F122" s="84"/>
      <c r="G122" s="84"/>
      <c r="H122" s="84"/>
      <c r="I122" s="84"/>
      <c r="J122" s="84"/>
      <c r="K122" s="84"/>
      <c r="L122" s="84"/>
    </row>
    <row r="123" spans="1:22" x14ac:dyDescent="0.15">
      <c r="A123" s="84"/>
      <c r="B123" s="84"/>
      <c r="C123" s="322"/>
      <c r="D123" s="84"/>
      <c r="E123" s="84"/>
      <c r="F123" s="84"/>
      <c r="G123" s="84"/>
      <c r="H123" s="84"/>
      <c r="I123" s="84"/>
      <c r="J123" s="84"/>
      <c r="K123" s="84"/>
      <c r="L123" s="84"/>
    </row>
    <row r="124" spans="1:22" x14ac:dyDescent="0.15">
      <c r="A124" s="84"/>
      <c r="B124" s="84"/>
      <c r="C124" s="322"/>
      <c r="D124" s="84"/>
      <c r="E124" s="84"/>
      <c r="F124" s="84"/>
      <c r="G124" s="84"/>
      <c r="H124" s="84"/>
      <c r="I124" s="84"/>
      <c r="J124" s="84"/>
      <c r="K124" s="84"/>
      <c r="L124" s="84"/>
    </row>
    <row r="125" spans="1:22" x14ac:dyDescent="0.15">
      <c r="A125" s="84"/>
      <c r="B125" s="84"/>
      <c r="C125" s="322"/>
      <c r="D125" s="84"/>
      <c r="E125" s="84"/>
      <c r="F125" s="84"/>
      <c r="G125" s="84"/>
      <c r="H125" s="84"/>
      <c r="I125" s="84"/>
      <c r="J125" s="84"/>
      <c r="K125" s="84"/>
      <c r="L125" s="84"/>
    </row>
    <row r="126" spans="1:22" x14ac:dyDescent="0.15">
      <c r="A126" s="84"/>
      <c r="B126" s="84"/>
      <c r="C126" s="322"/>
      <c r="D126" s="84"/>
      <c r="E126" s="84"/>
      <c r="F126" s="84"/>
      <c r="G126" s="84"/>
      <c r="H126" s="84"/>
      <c r="I126" s="84"/>
      <c r="J126" s="84"/>
      <c r="K126" s="84"/>
      <c r="L126" s="84"/>
    </row>
    <row r="127" spans="1:22" x14ac:dyDescent="0.15">
      <c r="A127" s="84"/>
      <c r="B127" s="84"/>
      <c r="C127" s="322"/>
      <c r="D127" s="84"/>
      <c r="E127" s="84"/>
      <c r="F127" s="84"/>
      <c r="G127" s="84"/>
      <c r="H127" s="84"/>
      <c r="I127" s="84"/>
      <c r="J127" s="84"/>
      <c r="K127" s="84"/>
      <c r="L127" s="84"/>
    </row>
    <row r="128" spans="1:22" x14ac:dyDescent="0.15">
      <c r="A128" s="84"/>
      <c r="B128" s="84"/>
      <c r="C128" s="322"/>
      <c r="D128" s="84"/>
      <c r="E128" s="84"/>
      <c r="F128" s="84"/>
      <c r="G128" s="84"/>
      <c r="H128" s="84"/>
      <c r="I128" s="84"/>
      <c r="J128" s="84"/>
      <c r="K128" s="84"/>
      <c r="L128" s="84"/>
    </row>
    <row r="129" spans="1:12" x14ac:dyDescent="0.15">
      <c r="A129" s="84"/>
      <c r="B129" s="84"/>
      <c r="C129" s="322"/>
      <c r="D129" s="84"/>
      <c r="E129" s="84"/>
      <c r="F129" s="84"/>
      <c r="G129" s="84"/>
      <c r="H129" s="84"/>
      <c r="I129" s="84"/>
      <c r="J129" s="84"/>
      <c r="K129" s="84"/>
      <c r="L129" s="84"/>
    </row>
    <row r="130" spans="1:12" x14ac:dyDescent="0.15">
      <c r="A130" s="84"/>
      <c r="B130" s="84"/>
      <c r="C130" s="322"/>
      <c r="D130" s="84"/>
      <c r="E130" s="84"/>
      <c r="F130" s="84"/>
      <c r="G130" s="84"/>
      <c r="H130" s="84"/>
      <c r="I130" s="84"/>
      <c r="J130" s="84"/>
      <c r="K130" s="84"/>
      <c r="L130" s="84"/>
    </row>
    <row r="131" spans="1:12" x14ac:dyDescent="0.15">
      <c r="A131" s="84"/>
      <c r="B131" s="84"/>
      <c r="C131" s="322"/>
      <c r="D131" s="84"/>
      <c r="E131" s="84"/>
      <c r="F131" s="84"/>
      <c r="G131" s="84"/>
      <c r="H131" s="84"/>
      <c r="I131" s="84"/>
      <c r="J131" s="84"/>
      <c r="K131" s="84"/>
      <c r="L131" s="84"/>
    </row>
    <row r="132" spans="1:12" x14ac:dyDescent="0.15">
      <c r="A132" s="84"/>
      <c r="B132" s="84"/>
      <c r="C132" s="322"/>
      <c r="D132" s="84"/>
      <c r="E132" s="84"/>
      <c r="F132" s="84"/>
      <c r="G132" s="84"/>
      <c r="H132" s="84"/>
      <c r="I132" s="84"/>
      <c r="J132" s="84"/>
      <c r="K132" s="84"/>
      <c r="L132" s="84"/>
    </row>
    <row r="133" spans="1:12" x14ac:dyDescent="0.15">
      <c r="A133" s="84"/>
      <c r="B133" s="84"/>
      <c r="C133" s="322"/>
      <c r="D133" s="84"/>
      <c r="E133" s="84"/>
      <c r="F133" s="84"/>
      <c r="G133" s="84"/>
      <c r="H133" s="84"/>
      <c r="I133" s="84"/>
      <c r="J133" s="84"/>
      <c r="K133" s="84"/>
      <c r="L133" s="84"/>
    </row>
    <row r="134" spans="1:12" x14ac:dyDescent="0.15">
      <c r="A134" s="84"/>
      <c r="B134" s="84"/>
      <c r="C134" s="322"/>
      <c r="D134" s="84"/>
      <c r="E134" s="84"/>
      <c r="F134" s="84"/>
      <c r="G134" s="84"/>
      <c r="H134" s="84"/>
      <c r="I134" s="84"/>
      <c r="J134" s="84"/>
      <c r="K134" s="84"/>
      <c r="L134" s="84"/>
    </row>
    <row r="135" spans="1:12" x14ac:dyDescent="0.15">
      <c r="A135" s="84"/>
      <c r="B135" s="84"/>
      <c r="C135" s="322"/>
      <c r="D135" s="84"/>
      <c r="E135" s="84"/>
      <c r="F135" s="84"/>
      <c r="G135" s="84"/>
      <c r="H135" s="84"/>
      <c r="I135" s="84"/>
      <c r="J135" s="84"/>
      <c r="K135" s="84"/>
      <c r="L135" s="84"/>
    </row>
    <row r="136" spans="1:12" x14ac:dyDescent="0.15">
      <c r="A136" s="84"/>
      <c r="B136" s="84"/>
      <c r="C136" s="322"/>
      <c r="D136" s="84"/>
      <c r="E136" s="84"/>
      <c r="F136" s="84"/>
      <c r="G136" s="84"/>
      <c r="H136" s="84"/>
      <c r="I136" s="84"/>
      <c r="J136" s="84"/>
      <c r="K136" s="84"/>
      <c r="L136" s="84"/>
    </row>
    <row r="137" spans="1:12" x14ac:dyDescent="0.15">
      <c r="A137" s="84"/>
      <c r="B137" s="84"/>
      <c r="C137" s="322"/>
      <c r="D137" s="84"/>
      <c r="E137" s="84"/>
      <c r="F137" s="84"/>
      <c r="G137" s="84"/>
      <c r="H137" s="84"/>
      <c r="I137" s="84"/>
      <c r="J137" s="84"/>
      <c r="K137" s="84"/>
      <c r="L137" s="84"/>
    </row>
    <row r="138" spans="1:12" x14ac:dyDescent="0.15">
      <c r="A138" s="84"/>
      <c r="B138" s="84"/>
      <c r="C138" s="322"/>
      <c r="D138" s="84"/>
      <c r="E138" s="84"/>
      <c r="F138" s="84"/>
      <c r="G138" s="84"/>
      <c r="H138" s="84"/>
      <c r="I138" s="84"/>
      <c r="J138" s="84"/>
      <c r="K138" s="84"/>
      <c r="L138" s="84"/>
    </row>
    <row r="139" spans="1:12" x14ac:dyDescent="0.15">
      <c r="A139" s="84"/>
      <c r="B139" s="84"/>
      <c r="C139" s="322"/>
      <c r="D139" s="84"/>
      <c r="E139" s="84"/>
      <c r="F139" s="84"/>
      <c r="G139" s="84"/>
      <c r="H139" s="84"/>
      <c r="I139" s="84"/>
      <c r="J139" s="84"/>
      <c r="K139" s="84"/>
      <c r="L139" s="84"/>
    </row>
    <row r="140" spans="1:12" x14ac:dyDescent="0.15">
      <c r="A140" s="84"/>
      <c r="B140" s="84"/>
      <c r="C140" s="322"/>
      <c r="D140" s="84"/>
      <c r="E140" s="84"/>
      <c r="F140" s="84"/>
      <c r="G140" s="84"/>
      <c r="H140" s="84"/>
      <c r="I140" s="84"/>
      <c r="J140" s="84"/>
      <c r="K140" s="84"/>
      <c r="L140" s="84"/>
    </row>
    <row r="141" spans="1:12" x14ac:dyDescent="0.15">
      <c r="A141" s="84"/>
      <c r="B141" s="84"/>
      <c r="C141" s="322"/>
      <c r="D141" s="84"/>
      <c r="E141" s="84"/>
      <c r="F141" s="84"/>
      <c r="G141" s="84"/>
      <c r="H141" s="84"/>
      <c r="I141" s="84"/>
      <c r="J141" s="84"/>
      <c r="K141" s="84"/>
      <c r="L141" s="84"/>
    </row>
    <row r="142" spans="1:12" x14ac:dyDescent="0.15">
      <c r="A142" s="84"/>
      <c r="B142" s="84"/>
      <c r="C142" s="322"/>
      <c r="D142" s="84"/>
      <c r="E142" s="84"/>
      <c r="F142" s="84"/>
      <c r="G142" s="84"/>
      <c r="H142" s="84"/>
      <c r="I142" s="84"/>
      <c r="J142" s="84"/>
      <c r="K142" s="84"/>
      <c r="L142" s="84"/>
    </row>
    <row r="143" spans="1:12" x14ac:dyDescent="0.15">
      <c r="A143" s="84"/>
      <c r="B143" s="84"/>
      <c r="C143" s="322"/>
      <c r="D143" s="84"/>
      <c r="E143" s="84"/>
      <c r="F143" s="84"/>
      <c r="G143" s="84"/>
      <c r="H143" s="84"/>
      <c r="I143" s="84"/>
      <c r="J143" s="84"/>
      <c r="K143" s="84"/>
      <c r="L143" s="84"/>
    </row>
    <row r="144" spans="1:12" x14ac:dyDescent="0.15">
      <c r="A144" s="84"/>
      <c r="B144" s="84"/>
      <c r="C144" s="322"/>
      <c r="D144" s="84"/>
      <c r="E144" s="84"/>
      <c r="F144" s="84"/>
      <c r="G144" s="84"/>
      <c r="H144" s="84"/>
      <c r="I144" s="84"/>
      <c r="J144" s="84"/>
      <c r="K144" s="84"/>
      <c r="L144" s="84"/>
    </row>
    <row r="145" spans="1:12" x14ac:dyDescent="0.15">
      <c r="A145" s="84"/>
      <c r="B145" s="84"/>
      <c r="C145" s="322"/>
      <c r="D145" s="84"/>
      <c r="E145" s="84"/>
      <c r="F145" s="84"/>
      <c r="G145" s="84"/>
      <c r="H145" s="84"/>
      <c r="I145" s="84"/>
      <c r="J145" s="84"/>
      <c r="K145" s="84"/>
      <c r="L145" s="84"/>
    </row>
    <row r="146" spans="1:12" x14ac:dyDescent="0.15">
      <c r="A146" s="84"/>
      <c r="B146" s="84"/>
      <c r="C146" s="322"/>
      <c r="D146" s="84"/>
      <c r="E146" s="84"/>
      <c r="F146" s="84"/>
      <c r="G146" s="84"/>
      <c r="H146" s="84"/>
      <c r="I146" s="84"/>
      <c r="J146" s="84"/>
      <c r="K146" s="84"/>
      <c r="L146" s="84"/>
    </row>
    <row r="147" spans="1:12" x14ac:dyDescent="0.15">
      <c r="A147" s="84"/>
      <c r="B147" s="84"/>
      <c r="C147" s="322"/>
      <c r="D147" s="84"/>
      <c r="E147" s="84"/>
      <c r="F147" s="84"/>
      <c r="G147" s="84"/>
      <c r="H147" s="84"/>
      <c r="I147" s="84"/>
      <c r="J147" s="84"/>
      <c r="K147" s="84"/>
      <c r="L147" s="84"/>
    </row>
    <row r="148" spans="1:12" x14ac:dyDescent="0.15">
      <c r="A148" s="84"/>
      <c r="B148" s="84"/>
      <c r="C148" s="322"/>
      <c r="D148" s="84"/>
      <c r="E148" s="84"/>
      <c r="F148" s="84"/>
      <c r="G148" s="84"/>
      <c r="H148" s="84"/>
      <c r="I148" s="84"/>
      <c r="J148" s="84"/>
      <c r="K148" s="84"/>
      <c r="L148" s="84"/>
    </row>
    <row r="149" spans="1:12" x14ac:dyDescent="0.15">
      <c r="A149" s="84"/>
      <c r="B149" s="84"/>
      <c r="C149" s="322"/>
      <c r="D149" s="84"/>
      <c r="E149" s="84"/>
      <c r="F149" s="84"/>
      <c r="G149" s="84"/>
      <c r="H149" s="84"/>
      <c r="I149" s="84"/>
      <c r="J149" s="84"/>
      <c r="K149" s="84"/>
      <c r="L149" s="84"/>
    </row>
    <row r="150" spans="1:12" x14ac:dyDescent="0.15">
      <c r="A150" s="84"/>
      <c r="B150" s="84"/>
      <c r="C150" s="322"/>
      <c r="D150" s="84"/>
      <c r="E150" s="84"/>
      <c r="F150" s="84"/>
      <c r="G150" s="84"/>
      <c r="H150" s="84"/>
      <c r="I150" s="84"/>
      <c r="J150" s="84"/>
      <c r="K150" s="84"/>
      <c r="L150" s="84"/>
    </row>
    <row r="151" spans="1:12" x14ac:dyDescent="0.15">
      <c r="A151" s="84"/>
      <c r="B151" s="84"/>
      <c r="C151" s="322"/>
      <c r="D151" s="84"/>
      <c r="E151" s="84"/>
      <c r="F151" s="84"/>
      <c r="G151" s="84"/>
      <c r="H151" s="84"/>
      <c r="I151" s="84"/>
      <c r="J151" s="84"/>
      <c r="K151" s="84"/>
      <c r="L151" s="84"/>
    </row>
  </sheetData>
  <mergeCells count="49">
    <mergeCell ref="L3:L4"/>
    <mergeCell ref="B14:H14"/>
    <mergeCell ref="A42:A44"/>
    <mergeCell ref="B42:B44"/>
    <mergeCell ref="C42:C44"/>
    <mergeCell ref="D42:F42"/>
    <mergeCell ref="H42:H44"/>
    <mergeCell ref="L43:L44"/>
    <mergeCell ref="A2:A4"/>
    <mergeCell ref="B2:B4"/>
    <mergeCell ref="B1:K1"/>
    <mergeCell ref="B41:K41"/>
    <mergeCell ref="I42:K42"/>
    <mergeCell ref="G42:G44"/>
    <mergeCell ref="D43:D44"/>
    <mergeCell ref="J43:K43"/>
    <mergeCell ref="C2:C4"/>
    <mergeCell ref="D2:F2"/>
    <mergeCell ref="H2:H4"/>
    <mergeCell ref="I3:I4"/>
    <mergeCell ref="D3:D4"/>
    <mergeCell ref="G2:G4"/>
    <mergeCell ref="I2:K2"/>
    <mergeCell ref="E3:F3"/>
    <mergeCell ref="J3:K3"/>
    <mergeCell ref="E43:F43"/>
    <mergeCell ref="I43:I44"/>
    <mergeCell ref="B60:H60"/>
    <mergeCell ref="B35:H35"/>
    <mergeCell ref="B39:H39"/>
    <mergeCell ref="I80:I81"/>
    <mergeCell ref="J80:K80"/>
    <mergeCell ref="L80:L81"/>
    <mergeCell ref="B78:K78"/>
    <mergeCell ref="B65:H65"/>
    <mergeCell ref="H79:H81"/>
    <mergeCell ref="I79:K79"/>
    <mergeCell ref="B69:H69"/>
    <mergeCell ref="B77:H77"/>
    <mergeCell ref="D80:D81"/>
    <mergeCell ref="E80:F80"/>
    <mergeCell ref="B113:H113"/>
    <mergeCell ref="B92:H92"/>
    <mergeCell ref="B103:H103"/>
    <mergeCell ref="A79:A81"/>
    <mergeCell ref="B79:B81"/>
    <mergeCell ref="C79:C81"/>
    <mergeCell ref="D79:F79"/>
    <mergeCell ref="G79:G81"/>
  </mergeCells>
  <pageMargins left="0.19791666666666699" right="0.17" top="0.64" bottom="0.56000000000000005" header="0.3" footer="0.3"/>
  <pageSetup scale="58" orientation="landscape" horizontalDpi="300" verticalDpi="300" r:id="rId1"/>
  <headerFooter>
    <oddHeader>&amp;C&amp;20BRIGHT CONSTRUCTION plc</oddHeader>
    <oddFooter>&amp;LCONTRACTOR:-________________&amp;RSUPERVISOR:-___________________</oddFooter>
  </headerFooter>
  <rowBreaks count="2" manualBreakCount="2">
    <brk id="40" max="16383" man="1"/>
    <brk id="77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43"/>
  <sheetViews>
    <sheetView zoomScale="60" zoomScaleNormal="60" workbookViewId="0">
      <pane ySplit="4" topLeftCell="A86" activePane="bottomLeft" state="frozen"/>
      <selection pane="bottomLeft" activeCell="K105" sqref="K105"/>
    </sheetView>
  </sheetViews>
  <sheetFormatPr defaultColWidth="9.14453125" defaultRowHeight="14.25" x14ac:dyDescent="0.15"/>
  <cols>
    <col min="1" max="1" width="9.953125" style="265" customWidth="1"/>
    <col min="2" max="2" width="43.31640625" style="265" customWidth="1"/>
    <col min="3" max="3" width="7.3984375" style="502" customWidth="1"/>
    <col min="4" max="4" width="20.4453125" style="265" customWidth="1"/>
    <col min="5" max="5" width="13.98828125" style="265" customWidth="1"/>
    <col min="6" max="7" width="15.19921875" style="265" customWidth="1"/>
    <col min="8" max="8" width="18.0234375" style="265" customWidth="1"/>
    <col min="9" max="9" width="19.90625" style="265" bestFit="1" customWidth="1"/>
    <col min="10" max="11" width="22.328125" style="265" customWidth="1"/>
    <col min="12" max="12" width="21.25390625" style="265" customWidth="1"/>
    <col min="13" max="13" width="14.52734375" style="617" customWidth="1"/>
    <col min="14" max="32" width="9.14453125" style="617"/>
    <col min="33" max="16384" width="9.14453125" style="265"/>
  </cols>
  <sheetData>
    <row r="1" spans="1:32" s="254" customFormat="1" ht="21.75" customHeight="1" thickBot="1" x14ac:dyDescent="0.2">
      <c r="A1" s="279"/>
      <c r="B1" s="1169" t="s">
        <v>69</v>
      </c>
      <c r="C1" s="1169"/>
      <c r="D1" s="1169"/>
      <c r="E1" s="1169"/>
      <c r="F1" s="1169"/>
      <c r="G1" s="1169"/>
      <c r="H1" s="1169"/>
      <c r="I1" s="1169"/>
      <c r="J1" s="1169"/>
      <c r="K1" s="1169"/>
      <c r="L1" s="90"/>
      <c r="M1" s="616"/>
      <c r="N1" s="616"/>
      <c r="O1" s="616"/>
      <c r="P1" s="616"/>
      <c r="Q1" s="616"/>
      <c r="R1" s="616"/>
      <c r="S1" s="616"/>
      <c r="T1" s="616"/>
      <c r="U1" s="616"/>
      <c r="V1" s="616"/>
      <c r="W1" s="616"/>
      <c r="X1" s="616"/>
      <c r="Y1" s="616"/>
      <c r="Z1" s="616"/>
      <c r="AA1" s="616"/>
      <c r="AB1" s="616"/>
      <c r="AC1" s="616"/>
      <c r="AD1" s="616"/>
      <c r="AE1" s="616"/>
      <c r="AF1" s="616"/>
    </row>
    <row r="2" spans="1:32" s="254" customFormat="1" ht="21.75" customHeight="1" x14ac:dyDescent="0.15">
      <c r="A2" s="1107" t="s">
        <v>61</v>
      </c>
      <c r="B2" s="1128" t="s">
        <v>54</v>
      </c>
      <c r="C2" s="1128" t="s">
        <v>5</v>
      </c>
      <c r="D2" s="1117" t="s">
        <v>4</v>
      </c>
      <c r="E2" s="1118"/>
      <c r="F2" s="1119"/>
      <c r="G2" s="1128" t="s">
        <v>334</v>
      </c>
      <c r="H2" s="1128" t="s">
        <v>8</v>
      </c>
      <c r="I2" s="1136" t="s">
        <v>50</v>
      </c>
      <c r="J2" s="1118"/>
      <c r="K2" s="1119"/>
      <c r="L2" s="503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  <c r="Y2" s="616"/>
      <c r="Z2" s="616"/>
      <c r="AA2" s="616"/>
      <c r="AB2" s="616"/>
      <c r="AC2" s="616"/>
      <c r="AD2" s="616"/>
      <c r="AE2" s="616"/>
      <c r="AF2" s="616"/>
    </row>
    <row r="3" spans="1:32" s="254" customFormat="1" ht="19.5" customHeight="1" x14ac:dyDescent="0.15">
      <c r="A3" s="1108"/>
      <c r="B3" s="1129"/>
      <c r="C3" s="1129"/>
      <c r="D3" s="1130" t="s">
        <v>62</v>
      </c>
      <c r="E3" s="1120" t="s">
        <v>63</v>
      </c>
      <c r="F3" s="1121"/>
      <c r="G3" s="1129"/>
      <c r="H3" s="1170"/>
      <c r="I3" s="1122" t="s">
        <v>6</v>
      </c>
      <c r="J3" s="1134" t="s">
        <v>7</v>
      </c>
      <c r="K3" s="1135"/>
      <c r="L3" s="1132" t="s">
        <v>336</v>
      </c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616"/>
      <c r="AB3" s="616"/>
      <c r="AC3" s="616"/>
      <c r="AD3" s="616"/>
      <c r="AE3" s="616"/>
      <c r="AF3" s="616"/>
    </row>
    <row r="4" spans="1:32" s="254" customFormat="1" ht="21" customHeight="1" thickBot="1" x14ac:dyDescent="0.2">
      <c r="A4" s="1109"/>
      <c r="B4" s="1123"/>
      <c r="C4" s="1123"/>
      <c r="D4" s="1131"/>
      <c r="E4" s="255" t="s">
        <v>98</v>
      </c>
      <c r="F4" s="255" t="s">
        <v>99</v>
      </c>
      <c r="G4" s="1129"/>
      <c r="H4" s="1123"/>
      <c r="I4" s="1123"/>
      <c r="J4" s="255" t="s">
        <v>98</v>
      </c>
      <c r="K4" s="255" t="s">
        <v>99</v>
      </c>
      <c r="L4" s="1133"/>
      <c r="M4" s="616"/>
      <c r="N4" s="616"/>
      <c r="O4" s="616"/>
      <c r="P4" s="616"/>
      <c r="Q4" s="616"/>
      <c r="R4" s="616"/>
      <c r="S4" s="616"/>
      <c r="T4" s="616"/>
      <c r="U4" s="616"/>
      <c r="V4" s="616"/>
      <c r="W4" s="616"/>
      <c r="X4" s="616"/>
      <c r="Y4" s="616"/>
      <c r="Z4" s="616"/>
      <c r="AA4" s="616"/>
      <c r="AB4" s="616"/>
      <c r="AC4" s="616"/>
      <c r="AD4" s="616"/>
      <c r="AE4" s="616"/>
      <c r="AF4" s="616"/>
    </row>
    <row r="5" spans="1:32" s="254" customFormat="1" ht="21" customHeight="1" thickBot="1" x14ac:dyDescent="0.2">
      <c r="A5" s="280" t="s">
        <v>102</v>
      </c>
      <c r="B5" s="257" t="s">
        <v>103</v>
      </c>
      <c r="C5" s="257" t="s">
        <v>104</v>
      </c>
      <c r="D5" s="258" t="s">
        <v>105</v>
      </c>
      <c r="E5" s="258" t="s">
        <v>106</v>
      </c>
      <c r="F5" s="258" t="s">
        <v>107</v>
      </c>
      <c r="G5" s="258"/>
      <c r="H5" s="257" t="s">
        <v>108</v>
      </c>
      <c r="I5" s="257" t="s">
        <v>116</v>
      </c>
      <c r="J5" s="258" t="s">
        <v>115</v>
      </c>
      <c r="K5" s="258" t="s">
        <v>114</v>
      </c>
      <c r="L5" s="260" t="s">
        <v>113</v>
      </c>
      <c r="M5" s="616"/>
      <c r="N5" s="616"/>
      <c r="O5" s="616"/>
      <c r="P5" s="616"/>
      <c r="Q5" s="616"/>
      <c r="R5" s="616"/>
      <c r="S5" s="616"/>
      <c r="T5" s="616"/>
      <c r="U5" s="616"/>
      <c r="V5" s="616"/>
      <c r="W5" s="616"/>
      <c r="X5" s="616"/>
      <c r="Y5" s="616"/>
      <c r="Z5" s="616"/>
      <c r="AA5" s="616"/>
      <c r="AB5" s="616"/>
      <c r="AC5" s="616"/>
      <c r="AD5" s="616"/>
      <c r="AE5" s="616"/>
      <c r="AF5" s="616"/>
    </row>
    <row r="6" spans="1:32" ht="18" x14ac:dyDescent="0.2">
      <c r="A6" s="358"/>
      <c r="B6" s="359" t="s">
        <v>9</v>
      </c>
      <c r="C6" s="360"/>
      <c r="D6" s="361"/>
      <c r="E6" s="360"/>
      <c r="F6" s="360"/>
      <c r="G6" s="360"/>
      <c r="H6" s="361"/>
      <c r="I6" s="361"/>
      <c r="J6" s="362"/>
      <c r="K6" s="363"/>
      <c r="L6" s="364"/>
    </row>
    <row r="7" spans="1:32" ht="18" x14ac:dyDescent="0.2">
      <c r="A7" s="365">
        <v>1</v>
      </c>
      <c r="B7" s="366" t="s">
        <v>10</v>
      </c>
      <c r="C7" s="208"/>
      <c r="D7" s="207"/>
      <c r="E7" s="208"/>
      <c r="F7" s="208"/>
      <c r="G7" s="208"/>
      <c r="H7" s="207"/>
      <c r="I7" s="207"/>
      <c r="J7" s="244"/>
      <c r="K7" s="367"/>
      <c r="L7" s="368"/>
    </row>
    <row r="8" spans="1:32" ht="18" x14ac:dyDescent="0.2">
      <c r="A8" s="369">
        <v>1.01</v>
      </c>
      <c r="B8" s="370" t="s">
        <v>18</v>
      </c>
      <c r="C8" s="202" t="s">
        <v>11</v>
      </c>
      <c r="D8" s="130">
        <v>501.2</v>
      </c>
      <c r="E8" s="202">
        <v>337.76</v>
      </c>
      <c r="F8" s="202"/>
      <c r="G8" s="202">
        <f t="shared" ref="G8:G13" si="0">F8+E8</f>
        <v>337.76</v>
      </c>
      <c r="H8" s="130">
        <f>'WORK MES OR'!H8</f>
        <v>6</v>
      </c>
      <c r="I8" s="130">
        <f t="shared" ref="I8:I13" si="1">D8*H8</f>
        <v>3007.2</v>
      </c>
      <c r="J8" s="130">
        <f t="shared" ref="J8:J13" si="2">H8*E8</f>
        <v>2026.56</v>
      </c>
      <c r="K8" s="203">
        <f t="shared" ref="K8:K13" si="3">H8*F8</f>
        <v>0</v>
      </c>
      <c r="L8" s="368">
        <f t="shared" ref="L8:L13" si="4">K8+J8</f>
        <v>2026.56</v>
      </c>
      <c r="M8" s="708"/>
    </row>
    <row r="9" spans="1:32" ht="18" x14ac:dyDescent="0.2">
      <c r="A9" s="369">
        <v>1.02</v>
      </c>
      <c r="B9" s="370" t="s">
        <v>123</v>
      </c>
      <c r="C9" s="202" t="s">
        <v>12</v>
      </c>
      <c r="D9" s="130">
        <v>546.74</v>
      </c>
      <c r="E9" s="202">
        <v>211.57</v>
      </c>
      <c r="F9" s="202"/>
      <c r="G9" s="202">
        <f t="shared" si="0"/>
        <v>211.57</v>
      </c>
      <c r="H9" s="130">
        <f>'WORK MES OR'!H9</f>
        <v>25</v>
      </c>
      <c r="I9" s="130">
        <f t="shared" si="1"/>
        <v>13668.5</v>
      </c>
      <c r="J9" s="130">
        <f t="shared" si="2"/>
        <v>5289.25</v>
      </c>
      <c r="K9" s="203">
        <f t="shared" si="3"/>
        <v>0</v>
      </c>
      <c r="L9" s="368">
        <f t="shared" si="4"/>
        <v>5289.25</v>
      </c>
      <c r="M9" s="708"/>
    </row>
    <row r="10" spans="1:32" ht="18" x14ac:dyDescent="0.2">
      <c r="A10" s="369">
        <v>1.04</v>
      </c>
      <c r="B10" s="370" t="s">
        <v>13</v>
      </c>
      <c r="C10" s="202" t="s">
        <v>12</v>
      </c>
      <c r="D10" s="130">
        <v>205.03</v>
      </c>
      <c r="E10" s="202">
        <v>0</v>
      </c>
      <c r="F10" s="202"/>
      <c r="G10" s="202">
        <f t="shared" si="0"/>
        <v>0</v>
      </c>
      <c r="H10" s="130">
        <f>'WORK MES OR'!H10</f>
        <v>35</v>
      </c>
      <c r="I10" s="130">
        <f t="shared" si="1"/>
        <v>7176.05</v>
      </c>
      <c r="J10" s="130">
        <f t="shared" si="2"/>
        <v>0</v>
      </c>
      <c r="K10" s="203">
        <f t="shared" si="3"/>
        <v>0</v>
      </c>
      <c r="L10" s="368">
        <f t="shared" si="4"/>
        <v>0</v>
      </c>
      <c r="M10" s="708"/>
    </row>
    <row r="11" spans="1:32" ht="18" x14ac:dyDescent="0.2">
      <c r="A11" s="369">
        <v>1.05</v>
      </c>
      <c r="B11" s="370" t="s">
        <v>101</v>
      </c>
      <c r="C11" s="202" t="s">
        <v>12</v>
      </c>
      <c r="D11" s="130">
        <v>794.5</v>
      </c>
      <c r="E11" s="202">
        <f>191.62+51.75</f>
        <v>243.37</v>
      </c>
      <c r="F11" s="202"/>
      <c r="G11" s="202">
        <f t="shared" si="0"/>
        <v>243.37</v>
      </c>
      <c r="H11" s="130">
        <f>'WORK MES OR'!H11</f>
        <v>40</v>
      </c>
      <c r="I11" s="130">
        <f t="shared" si="1"/>
        <v>31780</v>
      </c>
      <c r="J11" s="130">
        <f t="shared" si="2"/>
        <v>9734.7999999999993</v>
      </c>
      <c r="K11" s="203">
        <f t="shared" si="3"/>
        <v>0</v>
      </c>
      <c r="L11" s="368">
        <f t="shared" si="4"/>
        <v>9734.7999999999993</v>
      </c>
      <c r="M11" s="708"/>
    </row>
    <row r="12" spans="1:32" ht="18" x14ac:dyDescent="0.2">
      <c r="A12" s="369">
        <v>1.06</v>
      </c>
      <c r="B12" s="369" t="s">
        <v>87</v>
      </c>
      <c r="C12" s="202" t="s">
        <v>12</v>
      </c>
      <c r="D12" s="204">
        <v>902.07</v>
      </c>
      <c r="E12" s="202">
        <v>257.45999999999998</v>
      </c>
      <c r="F12" s="202"/>
      <c r="G12" s="202">
        <f t="shared" si="0"/>
        <v>257.45999999999998</v>
      </c>
      <c r="H12" s="130">
        <f>'WORK MES OR'!H12</f>
        <v>25</v>
      </c>
      <c r="I12" s="130">
        <f t="shared" si="1"/>
        <v>22551.75</v>
      </c>
      <c r="J12" s="130">
        <f t="shared" si="2"/>
        <v>6436.4999999999991</v>
      </c>
      <c r="K12" s="203">
        <f t="shared" si="3"/>
        <v>0</v>
      </c>
      <c r="L12" s="368">
        <f t="shared" si="4"/>
        <v>6436.4999999999991</v>
      </c>
      <c r="M12" s="708"/>
    </row>
    <row r="13" spans="1:32" ht="18" x14ac:dyDescent="0.2">
      <c r="A13" s="436">
        <v>1.7</v>
      </c>
      <c r="B13" s="372" t="s">
        <v>94</v>
      </c>
      <c r="C13" s="205" t="s">
        <v>12</v>
      </c>
      <c r="D13" s="140">
        <v>278.68</v>
      </c>
      <c r="E13" s="205">
        <v>225.33</v>
      </c>
      <c r="F13" s="202"/>
      <c r="G13" s="202">
        <f t="shared" si="0"/>
        <v>225.33</v>
      </c>
      <c r="H13" s="130">
        <f>'WORK MES OR'!H13</f>
        <v>105</v>
      </c>
      <c r="I13" s="130">
        <f t="shared" si="1"/>
        <v>29261.4</v>
      </c>
      <c r="J13" s="130">
        <f t="shared" si="2"/>
        <v>23659.65</v>
      </c>
      <c r="K13" s="203">
        <f t="shared" si="3"/>
        <v>0</v>
      </c>
      <c r="L13" s="368">
        <f t="shared" si="4"/>
        <v>23659.65</v>
      </c>
      <c r="M13" s="709"/>
    </row>
    <row r="14" spans="1:32" s="569" customFormat="1" ht="24.95" customHeight="1" thickBot="1" x14ac:dyDescent="0.25">
      <c r="A14" s="583"/>
      <c r="B14" s="1166" t="s">
        <v>64</v>
      </c>
      <c r="C14" s="1167"/>
      <c r="D14" s="1167"/>
      <c r="E14" s="1167"/>
      <c r="F14" s="1167"/>
      <c r="G14" s="1167"/>
      <c r="H14" s="1168"/>
      <c r="I14" s="584">
        <f>SUM(I8:I13)</f>
        <v>107444.9</v>
      </c>
      <c r="J14" s="584">
        <f>SUM(J8:J13)</f>
        <v>47146.76</v>
      </c>
      <c r="K14" s="584">
        <f>SUM(K8:K13)</f>
        <v>0</v>
      </c>
      <c r="L14" s="584">
        <f>SUM(L8:L13)</f>
        <v>47146.76</v>
      </c>
      <c r="M14" s="616"/>
      <c r="N14" s="616"/>
      <c r="O14" s="616"/>
      <c r="P14" s="616"/>
      <c r="Q14" s="616"/>
      <c r="R14" s="616"/>
      <c r="S14" s="616"/>
      <c r="T14" s="616"/>
      <c r="U14" s="616"/>
      <c r="V14" s="616"/>
      <c r="W14" s="616"/>
      <c r="X14" s="616"/>
      <c r="Y14" s="616"/>
      <c r="Z14" s="616"/>
      <c r="AA14" s="616"/>
      <c r="AB14" s="616"/>
      <c r="AC14" s="616"/>
      <c r="AD14" s="616"/>
      <c r="AE14" s="616"/>
      <c r="AF14" s="616"/>
    </row>
    <row r="15" spans="1:32" ht="18" x14ac:dyDescent="0.2">
      <c r="A15" s="376"/>
      <c r="B15" s="377" t="s">
        <v>19</v>
      </c>
      <c r="C15" s="165"/>
      <c r="D15" s="166"/>
      <c r="E15" s="165"/>
      <c r="F15" s="165"/>
      <c r="G15" s="165"/>
      <c r="H15" s="166"/>
      <c r="I15" s="166"/>
      <c r="J15" s="166"/>
      <c r="K15" s="206"/>
      <c r="L15" s="379"/>
      <c r="M15" s="622"/>
    </row>
    <row r="16" spans="1:32" ht="18" x14ac:dyDescent="0.2">
      <c r="A16" s="369">
        <v>2.1</v>
      </c>
      <c r="B16" s="370" t="s">
        <v>20</v>
      </c>
      <c r="C16" s="202"/>
      <c r="D16" s="207"/>
      <c r="E16" s="208"/>
      <c r="F16" s="208"/>
      <c r="G16" s="208"/>
      <c r="H16" s="130"/>
      <c r="I16" s="207"/>
      <c r="J16" s="207"/>
      <c r="K16" s="209"/>
      <c r="L16" s="368"/>
      <c r="M16" s="622"/>
    </row>
    <row r="17" spans="1:13" ht="18" x14ac:dyDescent="0.2">
      <c r="A17" s="457"/>
      <c r="B17" s="370" t="s">
        <v>21</v>
      </c>
      <c r="C17" s="202" t="s">
        <v>11</v>
      </c>
      <c r="D17" s="130">
        <v>83</v>
      </c>
      <c r="E17" s="202">
        <f>60.85+16.3</f>
        <v>77.150000000000006</v>
      </c>
      <c r="F17" s="202"/>
      <c r="G17" s="202">
        <f>F17+E17</f>
        <v>77.150000000000006</v>
      </c>
      <c r="H17" s="130">
        <f>'WORK MES OR'!H18</f>
        <v>65</v>
      </c>
      <c r="I17" s="130">
        <f>D17*H17</f>
        <v>5395</v>
      </c>
      <c r="J17" s="130">
        <f>H17*E17</f>
        <v>5014.75</v>
      </c>
      <c r="K17" s="203"/>
      <c r="L17" s="368">
        <f>K17+J17</f>
        <v>5014.75</v>
      </c>
      <c r="M17" s="708"/>
    </row>
    <row r="18" spans="1:13" ht="18" x14ac:dyDescent="0.2">
      <c r="A18" s="369"/>
      <c r="B18" s="370" t="s">
        <v>22</v>
      </c>
      <c r="C18" s="202" t="s">
        <v>11</v>
      </c>
      <c r="D18" s="130">
        <v>36</v>
      </c>
      <c r="E18" s="202">
        <v>28</v>
      </c>
      <c r="F18" s="202"/>
      <c r="G18" s="202">
        <f t="shared" ref="G18:G32" si="5">F18+E18</f>
        <v>28</v>
      </c>
      <c r="H18" s="130">
        <f>'WORK MES OR'!H19</f>
        <v>65</v>
      </c>
      <c r="I18" s="130">
        <f t="shared" ref="I18:I32" si="6">D18*H18</f>
        <v>2340</v>
      </c>
      <c r="J18" s="130">
        <f t="shared" ref="J18:J32" si="7">H18*E18</f>
        <v>1820</v>
      </c>
      <c r="K18" s="203">
        <f>H18*F18</f>
        <v>0</v>
      </c>
      <c r="L18" s="368">
        <f t="shared" ref="L18:L32" si="8">K18+J18</f>
        <v>1820</v>
      </c>
      <c r="M18" s="708"/>
    </row>
    <row r="19" spans="1:13" ht="18" x14ac:dyDescent="0.2">
      <c r="A19" s="383">
        <v>2.2000000000000002</v>
      </c>
      <c r="B19" s="370" t="s">
        <v>165</v>
      </c>
      <c r="C19" s="202" t="s">
        <v>11</v>
      </c>
      <c r="D19" s="130">
        <v>278.68</v>
      </c>
      <c r="E19" s="202">
        <v>223.53</v>
      </c>
      <c r="F19" s="202"/>
      <c r="G19" s="202">
        <f t="shared" si="5"/>
        <v>223.53</v>
      </c>
      <c r="H19" s="130">
        <v>260</v>
      </c>
      <c r="I19" s="130">
        <f t="shared" si="6"/>
        <v>72456.800000000003</v>
      </c>
      <c r="J19" s="130">
        <f t="shared" si="7"/>
        <v>58117.8</v>
      </c>
      <c r="K19" s="203">
        <f>H19*F19</f>
        <v>0</v>
      </c>
      <c r="L19" s="368">
        <f t="shared" si="8"/>
        <v>58117.8</v>
      </c>
      <c r="M19" s="708"/>
    </row>
    <row r="20" spans="1:13" ht="18" x14ac:dyDescent="0.2">
      <c r="A20" s="369">
        <v>2.2999999999999998</v>
      </c>
      <c r="B20" s="366" t="s">
        <v>110</v>
      </c>
      <c r="C20" s="202"/>
      <c r="D20" s="130"/>
      <c r="E20" s="202"/>
      <c r="F20" s="202"/>
      <c r="G20" s="202">
        <f t="shared" si="5"/>
        <v>0</v>
      </c>
      <c r="H20" s="130"/>
      <c r="I20" s="130"/>
      <c r="J20" s="130"/>
      <c r="K20" s="203"/>
      <c r="L20" s="368"/>
      <c r="M20" s="708"/>
    </row>
    <row r="21" spans="1:13" ht="18" x14ac:dyDescent="0.2">
      <c r="A21" s="369"/>
      <c r="B21" s="370" t="s">
        <v>84</v>
      </c>
      <c r="C21" s="202" t="s">
        <v>12</v>
      </c>
      <c r="D21" s="130">
        <v>28</v>
      </c>
      <c r="E21" s="202">
        <v>16.170000000000002</v>
      </c>
      <c r="F21" s="202"/>
      <c r="G21" s="202">
        <f t="shared" si="5"/>
        <v>16.170000000000002</v>
      </c>
      <c r="H21" s="130">
        <v>2600</v>
      </c>
      <c r="I21" s="130">
        <f t="shared" si="6"/>
        <v>72800</v>
      </c>
      <c r="J21" s="130">
        <f t="shared" si="7"/>
        <v>42042.000000000007</v>
      </c>
      <c r="K21" s="203">
        <f t="shared" ref="K21:K32" si="9">H21*F21</f>
        <v>0</v>
      </c>
      <c r="L21" s="368">
        <f t="shared" si="8"/>
        <v>42042.000000000007</v>
      </c>
      <c r="M21" s="708"/>
    </row>
    <row r="22" spans="1:13" ht="18" x14ac:dyDescent="0.2">
      <c r="A22" s="369"/>
      <c r="B22" s="370" t="s">
        <v>23</v>
      </c>
      <c r="C22" s="202" t="s">
        <v>12</v>
      </c>
      <c r="D22" s="130">
        <v>7.2</v>
      </c>
      <c r="E22" s="202">
        <v>5.6</v>
      </c>
      <c r="F22" s="202"/>
      <c r="G22" s="202">
        <f t="shared" si="5"/>
        <v>5.6</v>
      </c>
      <c r="H22" s="130">
        <v>2600</v>
      </c>
      <c r="I22" s="130">
        <f t="shared" si="6"/>
        <v>18720</v>
      </c>
      <c r="J22" s="130">
        <f t="shared" si="7"/>
        <v>14559.999999999998</v>
      </c>
      <c r="K22" s="203">
        <f t="shared" si="9"/>
        <v>0</v>
      </c>
      <c r="L22" s="368">
        <f t="shared" si="8"/>
        <v>14559.999999999998</v>
      </c>
      <c r="M22" s="708"/>
    </row>
    <row r="23" spans="1:13" ht="18" x14ac:dyDescent="0.2">
      <c r="A23" s="369"/>
      <c r="B23" s="370" t="s">
        <v>24</v>
      </c>
      <c r="C23" s="202" t="s">
        <v>12</v>
      </c>
      <c r="D23" s="130">
        <v>18</v>
      </c>
      <c r="E23" s="202">
        <v>2.92</v>
      </c>
      <c r="F23" s="202"/>
      <c r="G23" s="202">
        <f t="shared" si="5"/>
        <v>2.92</v>
      </c>
      <c r="H23" s="130">
        <v>2600</v>
      </c>
      <c r="I23" s="130">
        <f t="shared" si="6"/>
        <v>46800</v>
      </c>
      <c r="J23" s="130">
        <f t="shared" si="7"/>
        <v>7592</v>
      </c>
      <c r="K23" s="203">
        <f t="shared" si="9"/>
        <v>0</v>
      </c>
      <c r="L23" s="368">
        <f t="shared" si="8"/>
        <v>7592</v>
      </c>
      <c r="M23" s="708"/>
    </row>
    <row r="24" spans="1:13" ht="18" x14ac:dyDescent="0.2">
      <c r="A24" s="369">
        <v>2.4</v>
      </c>
      <c r="B24" s="366" t="s">
        <v>121</v>
      </c>
      <c r="C24" s="202"/>
      <c r="D24" s="130"/>
      <c r="E24" s="202"/>
      <c r="F24" s="202"/>
      <c r="G24" s="202">
        <f t="shared" si="5"/>
        <v>0</v>
      </c>
      <c r="H24" s="130"/>
      <c r="I24" s="130"/>
      <c r="J24" s="130">
        <f t="shared" si="7"/>
        <v>0</v>
      </c>
      <c r="K24" s="203">
        <f t="shared" si="9"/>
        <v>0</v>
      </c>
      <c r="L24" s="368">
        <f t="shared" si="8"/>
        <v>0</v>
      </c>
      <c r="M24" s="708"/>
    </row>
    <row r="25" spans="1:13" ht="18" x14ac:dyDescent="0.2">
      <c r="A25" s="369"/>
      <c r="B25" s="370" t="s">
        <v>84</v>
      </c>
      <c r="C25" s="202" t="s">
        <v>11</v>
      </c>
      <c r="D25" s="130">
        <v>168.8</v>
      </c>
      <c r="E25" s="202">
        <f>129.36-3.48</f>
        <v>125.88000000000001</v>
      </c>
      <c r="F25" s="202"/>
      <c r="G25" s="202">
        <f t="shared" si="5"/>
        <v>125.88000000000001</v>
      </c>
      <c r="H25" s="130">
        <v>85</v>
      </c>
      <c r="I25" s="130">
        <f t="shared" si="6"/>
        <v>14348.000000000002</v>
      </c>
      <c r="J25" s="130">
        <f t="shared" si="7"/>
        <v>10699.800000000001</v>
      </c>
      <c r="K25" s="203">
        <f t="shared" si="9"/>
        <v>0</v>
      </c>
      <c r="L25" s="368">
        <f t="shared" si="8"/>
        <v>10699.800000000001</v>
      </c>
      <c r="M25" s="708"/>
    </row>
    <row r="26" spans="1:13" ht="18" x14ac:dyDescent="0.2">
      <c r="A26" s="369"/>
      <c r="B26" s="370" t="s">
        <v>23</v>
      </c>
      <c r="C26" s="202" t="s">
        <v>11</v>
      </c>
      <c r="D26" s="130">
        <v>36</v>
      </c>
      <c r="E26" s="202">
        <v>22.4</v>
      </c>
      <c r="F26" s="202"/>
      <c r="G26" s="202">
        <f t="shared" si="5"/>
        <v>22.4</v>
      </c>
      <c r="H26" s="130">
        <v>85</v>
      </c>
      <c r="I26" s="130">
        <f t="shared" si="6"/>
        <v>3060</v>
      </c>
      <c r="J26" s="130">
        <f t="shared" si="7"/>
        <v>1903.9999999999998</v>
      </c>
      <c r="K26" s="203">
        <f t="shared" si="9"/>
        <v>0</v>
      </c>
      <c r="L26" s="368">
        <f t="shared" si="8"/>
        <v>1903.9999999999998</v>
      </c>
      <c r="M26" s="708"/>
    </row>
    <row r="27" spans="1:13" ht="18" x14ac:dyDescent="0.2">
      <c r="A27" s="369"/>
      <c r="B27" s="370" t="s">
        <v>24</v>
      </c>
      <c r="C27" s="202" t="s">
        <v>11</v>
      </c>
      <c r="D27" s="130">
        <v>90</v>
      </c>
      <c r="E27" s="202">
        <v>58.46</v>
      </c>
      <c r="F27" s="202"/>
      <c r="G27" s="202">
        <f t="shared" si="5"/>
        <v>58.46</v>
      </c>
      <c r="H27" s="130">
        <v>85</v>
      </c>
      <c r="I27" s="130">
        <f t="shared" si="6"/>
        <v>7650</v>
      </c>
      <c r="J27" s="130">
        <f t="shared" si="7"/>
        <v>4969.1000000000004</v>
      </c>
      <c r="K27" s="203">
        <f t="shared" si="9"/>
        <v>0</v>
      </c>
      <c r="L27" s="368">
        <f t="shared" si="8"/>
        <v>4969.1000000000004</v>
      </c>
      <c r="M27" s="708"/>
    </row>
    <row r="28" spans="1:13" ht="18" x14ac:dyDescent="0.2">
      <c r="A28" s="369">
        <v>2.5</v>
      </c>
      <c r="B28" s="366" t="s">
        <v>15</v>
      </c>
      <c r="C28" s="202"/>
      <c r="D28" s="130"/>
      <c r="E28" s="202"/>
      <c r="F28" s="202"/>
      <c r="G28" s="202">
        <f t="shared" si="5"/>
        <v>0</v>
      </c>
      <c r="H28" s="130"/>
      <c r="I28" s="130"/>
      <c r="J28" s="130">
        <f t="shared" si="7"/>
        <v>0</v>
      </c>
      <c r="K28" s="203">
        <f t="shared" si="9"/>
        <v>0</v>
      </c>
      <c r="L28" s="368">
        <f t="shared" si="8"/>
        <v>0</v>
      </c>
      <c r="M28" s="708"/>
    </row>
    <row r="29" spans="1:13" ht="18" x14ac:dyDescent="0.2">
      <c r="A29" s="369"/>
      <c r="B29" s="370" t="s">
        <v>92</v>
      </c>
      <c r="C29" s="202" t="s">
        <v>16</v>
      </c>
      <c r="D29" s="130">
        <v>2234</v>
      </c>
      <c r="E29" s="202">
        <v>1277.72</v>
      </c>
      <c r="F29" s="202"/>
      <c r="G29" s="202">
        <f t="shared" si="5"/>
        <v>1277.72</v>
      </c>
      <c r="H29" s="130">
        <v>34</v>
      </c>
      <c r="I29" s="130">
        <f t="shared" si="6"/>
        <v>75956</v>
      </c>
      <c r="J29" s="130">
        <f t="shared" si="7"/>
        <v>43442.48</v>
      </c>
      <c r="K29" s="203">
        <f t="shared" si="9"/>
        <v>0</v>
      </c>
      <c r="L29" s="368">
        <f t="shared" si="8"/>
        <v>43442.48</v>
      </c>
      <c r="M29" s="708"/>
    </row>
    <row r="30" spans="1:13" ht="18" x14ac:dyDescent="0.2">
      <c r="A30" s="369"/>
      <c r="B30" s="370" t="s">
        <v>43</v>
      </c>
      <c r="C30" s="202" t="s">
        <v>16</v>
      </c>
      <c r="D30" s="130">
        <v>2542</v>
      </c>
      <c r="E30" s="202">
        <f>748.93+650.55</f>
        <v>1399.48</v>
      </c>
      <c r="F30" s="202"/>
      <c r="G30" s="202">
        <f t="shared" si="5"/>
        <v>1399.48</v>
      </c>
      <c r="H30" s="130">
        <v>35</v>
      </c>
      <c r="I30" s="130">
        <f t="shared" si="6"/>
        <v>88970</v>
      </c>
      <c r="J30" s="130">
        <f t="shared" si="7"/>
        <v>48981.8</v>
      </c>
      <c r="K30" s="203">
        <f t="shared" si="9"/>
        <v>0</v>
      </c>
      <c r="L30" s="368">
        <f t="shared" si="8"/>
        <v>48981.8</v>
      </c>
      <c r="M30" s="708"/>
    </row>
    <row r="31" spans="1:13" ht="18" x14ac:dyDescent="0.2">
      <c r="A31" s="369"/>
      <c r="B31" s="370" t="s">
        <v>42</v>
      </c>
      <c r="C31" s="202" t="s">
        <v>16</v>
      </c>
      <c r="D31" s="130">
        <v>842</v>
      </c>
      <c r="E31" s="202">
        <f>1262.99-754.39+240.87</f>
        <v>749.47</v>
      </c>
      <c r="F31" s="202"/>
      <c r="G31" s="202">
        <f t="shared" si="5"/>
        <v>749.47</v>
      </c>
      <c r="H31" s="130">
        <v>34</v>
      </c>
      <c r="I31" s="130">
        <f t="shared" si="6"/>
        <v>28628</v>
      </c>
      <c r="J31" s="130">
        <f t="shared" si="7"/>
        <v>25481.98</v>
      </c>
      <c r="K31" s="203">
        <f t="shared" si="9"/>
        <v>0</v>
      </c>
      <c r="L31" s="368">
        <f t="shared" si="8"/>
        <v>25481.98</v>
      </c>
      <c r="M31" s="708"/>
    </row>
    <row r="32" spans="1:13" ht="18" x14ac:dyDescent="0.2">
      <c r="A32" s="436">
        <v>2.6</v>
      </c>
      <c r="B32" s="371" t="s">
        <v>199</v>
      </c>
      <c r="C32" s="205" t="s">
        <v>174</v>
      </c>
      <c r="D32" s="140">
        <v>380</v>
      </c>
      <c r="E32" s="205">
        <v>263</v>
      </c>
      <c r="F32" s="202"/>
      <c r="G32" s="202">
        <f t="shared" si="5"/>
        <v>263</v>
      </c>
      <c r="H32" s="140">
        <v>35</v>
      </c>
      <c r="I32" s="130">
        <f t="shared" si="6"/>
        <v>13300</v>
      </c>
      <c r="J32" s="130">
        <f t="shared" si="7"/>
        <v>9205</v>
      </c>
      <c r="K32" s="203">
        <f t="shared" si="9"/>
        <v>0</v>
      </c>
      <c r="L32" s="368">
        <f t="shared" si="8"/>
        <v>9205</v>
      </c>
      <c r="M32" s="709"/>
    </row>
    <row r="33" spans="1:32" s="569" customFormat="1" ht="24.95" customHeight="1" thickBot="1" x14ac:dyDescent="0.25">
      <c r="A33" s="583"/>
      <c r="B33" s="1166" t="s">
        <v>64</v>
      </c>
      <c r="C33" s="1167"/>
      <c r="D33" s="1167"/>
      <c r="E33" s="1167"/>
      <c r="F33" s="1167"/>
      <c r="G33" s="1167"/>
      <c r="H33" s="1168"/>
      <c r="I33" s="584">
        <f>SUM(I17:I32)</f>
        <v>450423.8</v>
      </c>
      <c r="J33" s="584">
        <f>SUM(J17:J32)</f>
        <v>273830.71000000002</v>
      </c>
      <c r="K33" s="584">
        <f>SUM(K17:K32)</f>
        <v>0</v>
      </c>
      <c r="L33" s="584">
        <f>SUM(L17:L32)</f>
        <v>273830.71000000002</v>
      </c>
      <c r="M33" s="616"/>
      <c r="N33" s="616"/>
      <c r="O33" s="616"/>
      <c r="P33" s="616"/>
      <c r="Q33" s="616"/>
      <c r="R33" s="616"/>
      <c r="S33" s="616"/>
      <c r="T33" s="616"/>
      <c r="U33" s="616"/>
      <c r="V33" s="616"/>
      <c r="W33" s="616"/>
      <c r="X33" s="616"/>
      <c r="Y33" s="616"/>
      <c r="Z33" s="616"/>
      <c r="AA33" s="616"/>
      <c r="AB33" s="616"/>
      <c r="AC33" s="616"/>
      <c r="AD33" s="616"/>
      <c r="AE33" s="616"/>
      <c r="AF33" s="616"/>
    </row>
    <row r="34" spans="1:32" ht="18" x14ac:dyDescent="0.2">
      <c r="A34" s="376">
        <v>3</v>
      </c>
      <c r="B34" s="377" t="s">
        <v>17</v>
      </c>
      <c r="C34" s="165"/>
      <c r="D34" s="166"/>
      <c r="E34" s="165"/>
      <c r="F34" s="165"/>
      <c r="G34" s="165"/>
      <c r="H34" s="166"/>
      <c r="I34" s="166"/>
      <c r="J34" s="166"/>
      <c r="K34" s="206"/>
      <c r="L34" s="379"/>
    </row>
    <row r="35" spans="1:32" ht="18" x14ac:dyDescent="0.2">
      <c r="A35" s="369">
        <v>3.1</v>
      </c>
      <c r="B35" s="370" t="s">
        <v>124</v>
      </c>
      <c r="C35" s="202" t="s">
        <v>12</v>
      </c>
      <c r="D35" s="130">
        <v>64</v>
      </c>
      <c r="E35" s="202">
        <f>32.65+11.63</f>
        <v>44.28</v>
      </c>
      <c r="F35" s="202"/>
      <c r="G35" s="202">
        <f>F35+E35</f>
        <v>44.28</v>
      </c>
      <c r="H35" s="130">
        <v>800</v>
      </c>
      <c r="I35" s="130">
        <f>D35*H35</f>
        <v>51200</v>
      </c>
      <c r="J35" s="130">
        <f>H35*E35</f>
        <v>35424</v>
      </c>
      <c r="K35" s="203">
        <f>H35*F35</f>
        <v>0</v>
      </c>
      <c r="L35" s="368">
        <f>K35+J35</f>
        <v>35424</v>
      </c>
      <c r="M35" s="620"/>
    </row>
    <row r="36" spans="1:32" ht="18" x14ac:dyDescent="0.2">
      <c r="A36" s="371">
        <v>3.2</v>
      </c>
      <c r="B36" s="372" t="s">
        <v>119</v>
      </c>
      <c r="C36" s="205" t="s">
        <v>12</v>
      </c>
      <c r="D36" s="140">
        <v>87</v>
      </c>
      <c r="E36" s="205">
        <f>56.39-17.62</f>
        <v>38.769999999999996</v>
      </c>
      <c r="F36" s="202"/>
      <c r="G36" s="202">
        <f>F36+E36</f>
        <v>38.769999999999996</v>
      </c>
      <c r="H36" s="140">
        <v>880</v>
      </c>
      <c r="I36" s="130">
        <f>D36*H36</f>
        <v>76560</v>
      </c>
      <c r="J36" s="130">
        <f>H36*E36</f>
        <v>34117.599999999999</v>
      </c>
      <c r="K36" s="203">
        <f>H36*F36</f>
        <v>0</v>
      </c>
      <c r="L36" s="368">
        <f>K36+J36</f>
        <v>34117.599999999999</v>
      </c>
      <c r="M36" s="621"/>
    </row>
    <row r="37" spans="1:32" s="569" customFormat="1" ht="24.95" customHeight="1" thickBot="1" x14ac:dyDescent="0.25">
      <c r="A37" s="583"/>
      <c r="B37" s="1166" t="s">
        <v>64</v>
      </c>
      <c r="C37" s="1167"/>
      <c r="D37" s="1167"/>
      <c r="E37" s="1167"/>
      <c r="F37" s="1167"/>
      <c r="G37" s="1167"/>
      <c r="H37" s="1168"/>
      <c r="I37" s="584">
        <f>SUM(I35:I36)</f>
        <v>127760</v>
      </c>
      <c r="J37" s="584">
        <f>SUM(J35:J36)</f>
        <v>69541.600000000006</v>
      </c>
      <c r="K37" s="584">
        <f>SUM(K35:K36)</f>
        <v>0</v>
      </c>
      <c r="L37" s="584">
        <f>SUM(L35:L36)</f>
        <v>69541.600000000006</v>
      </c>
      <c r="M37" s="616"/>
      <c r="N37" s="616"/>
      <c r="O37" s="616"/>
      <c r="P37" s="616"/>
      <c r="Q37" s="616"/>
      <c r="R37" s="616"/>
      <c r="S37" s="616"/>
      <c r="T37" s="616"/>
      <c r="U37" s="616"/>
      <c r="V37" s="616"/>
      <c r="W37" s="616"/>
      <c r="X37" s="616"/>
      <c r="Y37" s="616"/>
      <c r="Z37" s="616"/>
      <c r="AA37" s="616"/>
      <c r="AB37" s="616"/>
      <c r="AC37" s="616"/>
      <c r="AD37" s="616"/>
      <c r="AE37" s="616"/>
      <c r="AF37" s="616"/>
    </row>
    <row r="38" spans="1:32" ht="18" x14ac:dyDescent="0.2">
      <c r="A38" s="432"/>
      <c r="B38" s="432"/>
      <c r="C38" s="488"/>
      <c r="D38" s="432"/>
      <c r="E38" s="432"/>
      <c r="F38" s="432"/>
      <c r="G38" s="432"/>
      <c r="H38" s="432"/>
      <c r="I38" s="432"/>
      <c r="J38" s="432"/>
      <c r="K38" s="432"/>
      <c r="L38" s="432"/>
    </row>
    <row r="39" spans="1:32" ht="18.75" thickBot="1" x14ac:dyDescent="0.25">
      <c r="A39" s="489"/>
      <c r="B39" s="1149" t="s">
        <v>91</v>
      </c>
      <c r="C39" s="1149"/>
      <c r="D39" s="1149"/>
      <c r="E39" s="1149"/>
      <c r="F39" s="1149"/>
      <c r="G39" s="1149"/>
      <c r="H39" s="1149"/>
      <c r="I39" s="1149"/>
      <c r="J39" s="1149"/>
      <c r="K39" s="1149"/>
      <c r="L39" s="490"/>
    </row>
    <row r="40" spans="1:32" s="254" customFormat="1" ht="21.75" customHeight="1" x14ac:dyDescent="0.15">
      <c r="A40" s="1150" t="s">
        <v>61</v>
      </c>
      <c r="B40" s="1153" t="s">
        <v>54</v>
      </c>
      <c r="C40" s="1153" t="s">
        <v>5</v>
      </c>
      <c r="D40" s="1155" t="s">
        <v>4</v>
      </c>
      <c r="E40" s="1156"/>
      <c r="F40" s="1157"/>
      <c r="G40" s="1128" t="s">
        <v>334</v>
      </c>
      <c r="H40" s="1158" t="s">
        <v>8</v>
      </c>
      <c r="I40" s="1161" t="s">
        <v>50</v>
      </c>
      <c r="J40" s="1156"/>
      <c r="K40" s="1157"/>
      <c r="L40" s="505"/>
      <c r="M40" s="616"/>
      <c r="N40" s="616"/>
      <c r="O40" s="616"/>
      <c r="P40" s="616"/>
      <c r="Q40" s="616"/>
      <c r="R40" s="616"/>
      <c r="S40" s="616"/>
      <c r="T40" s="616"/>
      <c r="U40" s="616"/>
      <c r="V40" s="616"/>
      <c r="W40" s="616"/>
      <c r="X40" s="616"/>
      <c r="Y40" s="616"/>
      <c r="Z40" s="616"/>
      <c r="AA40" s="616"/>
      <c r="AB40" s="616"/>
      <c r="AC40" s="616"/>
      <c r="AD40" s="616"/>
      <c r="AE40" s="616"/>
      <c r="AF40" s="616"/>
    </row>
    <row r="41" spans="1:32" s="254" customFormat="1" ht="19.5" customHeight="1" x14ac:dyDescent="0.15">
      <c r="A41" s="1151"/>
      <c r="B41" s="1154"/>
      <c r="C41" s="1154"/>
      <c r="D41" s="1162" t="s">
        <v>62</v>
      </c>
      <c r="E41" s="1164" t="s">
        <v>63</v>
      </c>
      <c r="F41" s="1165"/>
      <c r="G41" s="1129"/>
      <c r="H41" s="1159"/>
      <c r="I41" s="1143" t="s">
        <v>6</v>
      </c>
      <c r="J41" s="1145" t="s">
        <v>7</v>
      </c>
      <c r="K41" s="1146"/>
      <c r="L41" s="1147" t="s">
        <v>7</v>
      </c>
      <c r="M41" s="616"/>
      <c r="N41" s="616"/>
      <c r="O41" s="616"/>
      <c r="P41" s="616"/>
      <c r="Q41" s="616"/>
      <c r="R41" s="616"/>
      <c r="S41" s="616"/>
      <c r="T41" s="616"/>
      <c r="U41" s="616"/>
      <c r="V41" s="616"/>
      <c r="W41" s="616"/>
      <c r="X41" s="616"/>
      <c r="Y41" s="616"/>
      <c r="Z41" s="616"/>
      <c r="AA41" s="616"/>
      <c r="AB41" s="616"/>
      <c r="AC41" s="616"/>
      <c r="AD41" s="616"/>
      <c r="AE41" s="616"/>
      <c r="AF41" s="616"/>
    </row>
    <row r="42" spans="1:32" s="254" customFormat="1" ht="21" customHeight="1" thickBot="1" x14ac:dyDescent="0.2">
      <c r="A42" s="1152"/>
      <c r="B42" s="1144"/>
      <c r="C42" s="1144"/>
      <c r="D42" s="1163"/>
      <c r="E42" s="458" t="s">
        <v>98</v>
      </c>
      <c r="F42" s="458" t="s">
        <v>99</v>
      </c>
      <c r="G42" s="1129"/>
      <c r="H42" s="1160"/>
      <c r="I42" s="1144"/>
      <c r="J42" s="458" t="s">
        <v>98</v>
      </c>
      <c r="K42" s="458" t="s">
        <v>99</v>
      </c>
      <c r="L42" s="1148"/>
      <c r="M42" s="616"/>
      <c r="N42" s="616"/>
      <c r="O42" s="616"/>
      <c r="P42" s="616"/>
      <c r="Q42" s="616"/>
      <c r="R42" s="616"/>
      <c r="S42" s="616"/>
      <c r="T42" s="616"/>
      <c r="U42" s="616"/>
      <c r="V42" s="616"/>
      <c r="W42" s="616"/>
      <c r="X42" s="616"/>
      <c r="Y42" s="616"/>
      <c r="Z42" s="616"/>
      <c r="AA42" s="616"/>
      <c r="AB42" s="616"/>
      <c r="AC42" s="616"/>
      <c r="AD42" s="616"/>
      <c r="AE42" s="616"/>
      <c r="AF42" s="616"/>
    </row>
    <row r="43" spans="1:32" s="254" customFormat="1" ht="21" customHeight="1" thickBot="1" x14ac:dyDescent="0.2">
      <c r="A43" s="459" t="s">
        <v>102</v>
      </c>
      <c r="B43" s="460" t="s">
        <v>103</v>
      </c>
      <c r="C43" s="460" t="s">
        <v>104</v>
      </c>
      <c r="D43" s="461" t="s">
        <v>105</v>
      </c>
      <c r="E43" s="461" t="s">
        <v>106</v>
      </c>
      <c r="F43" s="461" t="s">
        <v>107</v>
      </c>
      <c r="G43" s="461"/>
      <c r="H43" s="462" t="s">
        <v>108</v>
      </c>
      <c r="I43" s="460" t="s">
        <v>116</v>
      </c>
      <c r="J43" s="461" t="s">
        <v>115</v>
      </c>
      <c r="K43" s="461" t="s">
        <v>114</v>
      </c>
      <c r="L43" s="463" t="s">
        <v>113</v>
      </c>
      <c r="M43" s="616"/>
      <c r="N43" s="616"/>
      <c r="O43" s="616"/>
      <c r="P43" s="616"/>
      <c r="Q43" s="616"/>
      <c r="R43" s="616"/>
      <c r="S43" s="616"/>
      <c r="T43" s="616"/>
      <c r="U43" s="616"/>
      <c r="V43" s="616"/>
      <c r="W43" s="616"/>
      <c r="X43" s="616"/>
      <c r="Y43" s="616"/>
      <c r="Z43" s="616"/>
      <c r="AA43" s="616"/>
      <c r="AB43" s="616"/>
      <c r="AC43" s="616"/>
      <c r="AD43" s="616"/>
      <c r="AE43" s="616"/>
      <c r="AF43" s="616"/>
    </row>
    <row r="44" spans="1:32" ht="18" x14ac:dyDescent="0.2">
      <c r="A44" s="464"/>
      <c r="B44" s="359" t="s">
        <v>75</v>
      </c>
      <c r="C44" s="360"/>
      <c r="D44" s="361"/>
      <c r="E44" s="360"/>
      <c r="F44" s="360"/>
      <c r="G44" s="360"/>
      <c r="H44" s="361"/>
      <c r="I44" s="361"/>
      <c r="J44" s="362"/>
      <c r="K44" s="362"/>
      <c r="L44" s="364"/>
    </row>
    <row r="45" spans="1:32" ht="18" x14ac:dyDescent="0.2">
      <c r="A45" s="465"/>
      <c r="B45" s="366" t="s">
        <v>76</v>
      </c>
      <c r="C45" s="208"/>
      <c r="D45" s="207"/>
      <c r="E45" s="208"/>
      <c r="F45" s="208"/>
      <c r="G45" s="208"/>
      <c r="H45" s="207"/>
      <c r="I45" s="207"/>
      <c r="J45" s="244"/>
      <c r="K45" s="244"/>
      <c r="L45" s="368"/>
    </row>
    <row r="46" spans="1:32" ht="18" x14ac:dyDescent="0.2">
      <c r="A46" s="434">
        <v>1.01</v>
      </c>
      <c r="B46" s="366" t="s">
        <v>110</v>
      </c>
      <c r="C46" s="202"/>
      <c r="D46" s="130"/>
      <c r="E46" s="202"/>
      <c r="F46" s="202"/>
      <c r="G46" s="202"/>
      <c r="H46" s="130"/>
      <c r="I46" s="130"/>
      <c r="J46" s="130"/>
      <c r="K46" s="130"/>
      <c r="L46" s="368"/>
    </row>
    <row r="47" spans="1:32" ht="18" x14ac:dyDescent="0.2">
      <c r="A47" s="434"/>
      <c r="B47" s="370" t="s">
        <v>77</v>
      </c>
      <c r="C47" s="202" t="s">
        <v>12</v>
      </c>
      <c r="D47" s="130">
        <v>4.32</v>
      </c>
      <c r="E47" s="202">
        <v>3.36</v>
      </c>
      <c r="F47" s="202"/>
      <c r="G47" s="202">
        <f>F47+E47</f>
        <v>3.36</v>
      </c>
      <c r="H47" s="130">
        <v>2600</v>
      </c>
      <c r="I47" s="130">
        <f t="shared" ref="I47:I57" si="10">D47*H47</f>
        <v>11232</v>
      </c>
      <c r="J47" s="130">
        <f t="shared" ref="J47:J57" si="11">E47*H47</f>
        <v>8736</v>
      </c>
      <c r="K47" s="130">
        <f>H47*F47</f>
        <v>0</v>
      </c>
      <c r="L47" s="368">
        <f>K47+J47</f>
        <v>8736</v>
      </c>
    </row>
    <row r="48" spans="1:32" ht="18" x14ac:dyDescent="0.2">
      <c r="A48" s="434"/>
      <c r="B48" s="370" t="s">
        <v>74</v>
      </c>
      <c r="C48" s="202" t="s">
        <v>12</v>
      </c>
      <c r="D48" s="130">
        <v>12</v>
      </c>
      <c r="E48" s="202">
        <v>9.6999999999999993</v>
      </c>
      <c r="F48" s="202"/>
      <c r="G48" s="202">
        <f t="shared" ref="G48:G57" si="12">F48+E48</f>
        <v>9.6999999999999993</v>
      </c>
      <c r="H48" s="130">
        <v>2600</v>
      </c>
      <c r="I48" s="130">
        <f t="shared" si="10"/>
        <v>31200</v>
      </c>
      <c r="J48" s="130">
        <f t="shared" si="11"/>
        <v>25219.999999999996</v>
      </c>
      <c r="K48" s="130">
        <f t="shared" ref="K48:K57" si="13">H48*F48</f>
        <v>0</v>
      </c>
      <c r="L48" s="368">
        <f t="shared" ref="L48:L57" si="14">K48+J48</f>
        <v>25219.999999999996</v>
      </c>
    </row>
    <row r="49" spans="1:32" ht="18" x14ac:dyDescent="0.2">
      <c r="A49" s="434"/>
      <c r="B49" s="370" t="s">
        <v>78</v>
      </c>
      <c r="C49" s="202" t="s">
        <v>12</v>
      </c>
      <c r="D49" s="130">
        <v>1.29</v>
      </c>
      <c r="E49" s="202"/>
      <c r="F49" s="202"/>
      <c r="G49" s="202">
        <f t="shared" si="12"/>
        <v>0</v>
      </c>
      <c r="H49" s="130">
        <v>2600</v>
      </c>
      <c r="I49" s="130">
        <f t="shared" si="10"/>
        <v>3354</v>
      </c>
      <c r="J49" s="130">
        <f t="shared" si="11"/>
        <v>0</v>
      </c>
      <c r="K49" s="130">
        <f t="shared" si="13"/>
        <v>0</v>
      </c>
      <c r="L49" s="368">
        <f t="shared" si="14"/>
        <v>0</v>
      </c>
    </row>
    <row r="50" spans="1:32" ht="18" x14ac:dyDescent="0.2">
      <c r="A50" s="465">
        <v>1.2</v>
      </c>
      <c r="B50" s="366" t="s">
        <v>121</v>
      </c>
      <c r="C50" s="208"/>
      <c r="D50" s="207"/>
      <c r="E50" s="208"/>
      <c r="F50" s="208"/>
      <c r="G50" s="202">
        <f t="shared" si="12"/>
        <v>0</v>
      </c>
      <c r="H50" s="207"/>
      <c r="I50" s="130">
        <f t="shared" si="10"/>
        <v>0</v>
      </c>
      <c r="J50" s="130">
        <f t="shared" si="11"/>
        <v>0</v>
      </c>
      <c r="K50" s="130">
        <f t="shared" si="13"/>
        <v>0</v>
      </c>
      <c r="L50" s="368">
        <f t="shared" si="14"/>
        <v>0</v>
      </c>
    </row>
    <row r="51" spans="1:32" ht="18" x14ac:dyDescent="0.2">
      <c r="A51" s="434"/>
      <c r="B51" s="370" t="s">
        <v>77</v>
      </c>
      <c r="C51" s="202" t="s">
        <v>11</v>
      </c>
      <c r="D51" s="130">
        <v>96</v>
      </c>
      <c r="E51" s="202">
        <v>67.2</v>
      </c>
      <c r="F51" s="202"/>
      <c r="G51" s="202">
        <f t="shared" si="12"/>
        <v>67.2</v>
      </c>
      <c r="H51" s="130">
        <v>85</v>
      </c>
      <c r="I51" s="130">
        <f t="shared" si="10"/>
        <v>8160</v>
      </c>
      <c r="J51" s="130">
        <f t="shared" si="11"/>
        <v>5712</v>
      </c>
      <c r="K51" s="130">
        <f t="shared" si="13"/>
        <v>0</v>
      </c>
      <c r="L51" s="368">
        <f t="shared" si="14"/>
        <v>5712</v>
      </c>
    </row>
    <row r="52" spans="1:32" ht="18" x14ac:dyDescent="0.2">
      <c r="A52" s="435"/>
      <c r="B52" s="370" t="s">
        <v>74</v>
      </c>
      <c r="C52" s="202" t="s">
        <v>11</v>
      </c>
      <c r="D52" s="130">
        <v>194</v>
      </c>
      <c r="E52" s="202">
        <v>129.36000000000001</v>
      </c>
      <c r="F52" s="202"/>
      <c r="G52" s="202">
        <f t="shared" si="12"/>
        <v>129.36000000000001</v>
      </c>
      <c r="H52" s="130">
        <v>85</v>
      </c>
      <c r="I52" s="130">
        <f t="shared" si="10"/>
        <v>16490</v>
      </c>
      <c r="J52" s="130">
        <f t="shared" si="11"/>
        <v>10995.6</v>
      </c>
      <c r="K52" s="130">
        <f t="shared" si="13"/>
        <v>0</v>
      </c>
      <c r="L52" s="368">
        <f t="shared" si="14"/>
        <v>10995.6</v>
      </c>
    </row>
    <row r="53" spans="1:32" ht="18" x14ac:dyDescent="0.2">
      <c r="A53" s="434"/>
      <c r="B53" s="370" t="s">
        <v>78</v>
      </c>
      <c r="C53" s="202" t="s">
        <v>11</v>
      </c>
      <c r="D53" s="130">
        <v>18</v>
      </c>
      <c r="E53" s="202"/>
      <c r="F53" s="202"/>
      <c r="G53" s="202">
        <f t="shared" si="12"/>
        <v>0</v>
      </c>
      <c r="H53" s="130">
        <v>85</v>
      </c>
      <c r="I53" s="130">
        <f t="shared" si="10"/>
        <v>1530</v>
      </c>
      <c r="J53" s="130">
        <f t="shared" si="11"/>
        <v>0</v>
      </c>
      <c r="K53" s="130">
        <f t="shared" si="13"/>
        <v>0</v>
      </c>
      <c r="L53" s="368">
        <f t="shared" si="14"/>
        <v>0</v>
      </c>
    </row>
    <row r="54" spans="1:32" ht="18" x14ac:dyDescent="0.2">
      <c r="A54" s="434">
        <v>1.3</v>
      </c>
      <c r="B54" s="366" t="s">
        <v>15</v>
      </c>
      <c r="C54" s="202"/>
      <c r="D54" s="130"/>
      <c r="E54" s="202"/>
      <c r="F54" s="202"/>
      <c r="G54" s="202">
        <f t="shared" si="12"/>
        <v>0</v>
      </c>
      <c r="H54" s="130"/>
      <c r="I54" s="130">
        <f t="shared" si="10"/>
        <v>0</v>
      </c>
      <c r="J54" s="130">
        <f t="shared" si="11"/>
        <v>0</v>
      </c>
      <c r="K54" s="130">
        <f t="shared" si="13"/>
        <v>0</v>
      </c>
      <c r="L54" s="368">
        <f t="shared" si="14"/>
        <v>0</v>
      </c>
    </row>
    <row r="55" spans="1:32" ht="18" x14ac:dyDescent="0.2">
      <c r="A55" s="434"/>
      <c r="B55" s="370" t="s">
        <v>85</v>
      </c>
      <c r="C55" s="202" t="s">
        <v>16</v>
      </c>
      <c r="D55" s="130"/>
      <c r="E55" s="202"/>
      <c r="F55" s="202"/>
      <c r="G55" s="202">
        <f t="shared" si="12"/>
        <v>0</v>
      </c>
      <c r="H55" s="130"/>
      <c r="I55" s="130">
        <f t="shared" si="10"/>
        <v>0</v>
      </c>
      <c r="J55" s="130">
        <f t="shared" si="11"/>
        <v>0</v>
      </c>
      <c r="K55" s="130">
        <f t="shared" si="13"/>
        <v>0</v>
      </c>
      <c r="L55" s="368">
        <f t="shared" si="14"/>
        <v>0</v>
      </c>
    </row>
    <row r="56" spans="1:32" ht="18" x14ac:dyDescent="0.2">
      <c r="A56" s="434"/>
      <c r="B56" s="370" t="s">
        <v>25</v>
      </c>
      <c r="C56" s="202" t="s">
        <v>16</v>
      </c>
      <c r="D56" s="130">
        <v>1420</v>
      </c>
      <c r="E56" s="202">
        <f>342.13+579.72</f>
        <v>921.85</v>
      </c>
      <c r="F56" s="202"/>
      <c r="G56" s="202">
        <f>F56+E56</f>
        <v>921.85</v>
      </c>
      <c r="H56" s="130">
        <v>34</v>
      </c>
      <c r="I56" s="130">
        <f t="shared" si="10"/>
        <v>48280</v>
      </c>
      <c r="J56" s="130">
        <f t="shared" si="11"/>
        <v>31342.9</v>
      </c>
      <c r="K56" s="130">
        <f t="shared" si="13"/>
        <v>0</v>
      </c>
      <c r="L56" s="368">
        <f t="shared" si="14"/>
        <v>31342.9</v>
      </c>
    </row>
    <row r="57" spans="1:32" ht="18" x14ac:dyDescent="0.2">
      <c r="A57" s="436"/>
      <c r="B57" s="372" t="s">
        <v>26</v>
      </c>
      <c r="C57" s="205" t="s">
        <v>16</v>
      </c>
      <c r="D57" s="140">
        <v>1290</v>
      </c>
      <c r="E57" s="205">
        <f>123.87+175.46</f>
        <v>299.33000000000004</v>
      </c>
      <c r="F57" s="205">
        <v>129.52000000000001</v>
      </c>
      <c r="G57" s="202">
        <f t="shared" si="12"/>
        <v>428.85</v>
      </c>
      <c r="H57" s="140">
        <v>35</v>
      </c>
      <c r="I57" s="130">
        <f t="shared" si="10"/>
        <v>45150</v>
      </c>
      <c r="J57" s="130">
        <f t="shared" si="11"/>
        <v>10476.550000000001</v>
      </c>
      <c r="K57" s="130">
        <f t="shared" si="13"/>
        <v>4533.2000000000007</v>
      </c>
      <c r="L57" s="368">
        <f t="shared" si="14"/>
        <v>15009.750000000002</v>
      </c>
    </row>
    <row r="58" spans="1:32" s="570" customFormat="1" ht="27" customHeight="1" thickBot="1" x14ac:dyDescent="0.25">
      <c r="A58" s="583"/>
      <c r="B58" s="1166" t="s">
        <v>64</v>
      </c>
      <c r="C58" s="1167"/>
      <c r="D58" s="1167"/>
      <c r="E58" s="1167"/>
      <c r="F58" s="1167"/>
      <c r="G58" s="1167"/>
      <c r="H58" s="1168"/>
      <c r="I58" s="584">
        <f>SUM(I45:I57)</f>
        <v>165396</v>
      </c>
      <c r="J58" s="584">
        <f>SUM(J45:J57)</f>
        <v>92483.05</v>
      </c>
      <c r="K58" s="584">
        <f>SUM(K45:K57)</f>
        <v>4533.2000000000007</v>
      </c>
      <c r="L58" s="584">
        <f>SUM(L45:L57)</f>
        <v>97016.25</v>
      </c>
      <c r="M58" s="617"/>
      <c r="N58" s="617"/>
      <c r="O58" s="617"/>
      <c r="P58" s="617"/>
      <c r="Q58" s="617"/>
      <c r="R58" s="617"/>
      <c r="S58" s="617"/>
      <c r="T58" s="617"/>
      <c r="U58" s="617"/>
      <c r="V58" s="617"/>
      <c r="W58" s="617"/>
      <c r="X58" s="617"/>
      <c r="Y58" s="617"/>
      <c r="Z58" s="617"/>
      <c r="AA58" s="617"/>
      <c r="AB58" s="617"/>
      <c r="AC58" s="617"/>
      <c r="AD58" s="617"/>
      <c r="AE58" s="617"/>
      <c r="AF58" s="617"/>
    </row>
    <row r="59" spans="1:32" s="332" customFormat="1" ht="26.25" customHeight="1" x14ac:dyDescent="0.2">
      <c r="A59" s="710"/>
      <c r="B59" s="711" t="s">
        <v>292</v>
      </c>
      <c r="C59" s="712"/>
      <c r="D59" s="712"/>
      <c r="E59" s="712"/>
      <c r="F59" s="712"/>
      <c r="G59" s="712"/>
      <c r="H59" s="713"/>
      <c r="I59" s="713"/>
      <c r="J59" s="713"/>
      <c r="K59" s="713"/>
      <c r="L59" s="713"/>
      <c r="M59" s="629"/>
      <c r="N59" s="629"/>
      <c r="O59" s="629"/>
      <c r="P59" s="629"/>
      <c r="Q59" s="629"/>
      <c r="R59" s="629"/>
      <c r="S59" s="629"/>
      <c r="T59" s="629"/>
      <c r="U59" s="629"/>
      <c r="V59" s="629"/>
      <c r="W59" s="629"/>
      <c r="X59" s="629"/>
    </row>
    <row r="60" spans="1:32" s="332" customFormat="1" ht="21" customHeight="1" x14ac:dyDescent="0.2">
      <c r="A60" s="714"/>
      <c r="B60" s="715" t="s">
        <v>293</v>
      </c>
      <c r="C60" s="716"/>
      <c r="D60" s="716"/>
      <c r="E60" s="716"/>
      <c r="F60" s="716"/>
      <c r="G60" s="716"/>
      <c r="H60" s="422"/>
      <c r="I60" s="422"/>
      <c r="J60" s="422"/>
      <c r="K60" s="422"/>
      <c r="L60" s="717"/>
      <c r="M60" s="629"/>
      <c r="N60" s="629"/>
      <c r="O60" s="629"/>
      <c r="P60" s="629"/>
      <c r="Q60" s="629"/>
      <c r="R60" s="629"/>
      <c r="S60" s="629"/>
      <c r="T60" s="629"/>
      <c r="U60" s="629"/>
      <c r="V60" s="629"/>
      <c r="W60" s="629"/>
      <c r="X60" s="629"/>
    </row>
    <row r="61" spans="1:32" s="332" customFormat="1" ht="21" customHeight="1" x14ac:dyDescent="0.2">
      <c r="A61" s="714"/>
      <c r="B61" s="715" t="s">
        <v>294</v>
      </c>
      <c r="C61" s="716" t="s">
        <v>11</v>
      </c>
      <c r="D61" s="716">
        <v>420</v>
      </c>
      <c r="E61" s="422">
        <v>290.62</v>
      </c>
      <c r="F61" s="874"/>
      <c r="G61" s="202">
        <f>F61+E61</f>
        <v>290.62</v>
      </c>
      <c r="H61" s="716">
        <v>310</v>
      </c>
      <c r="I61" s="130">
        <f>D61*H61</f>
        <v>130200</v>
      </c>
      <c r="J61" s="422">
        <f>H61*E61</f>
        <v>90092.2</v>
      </c>
      <c r="K61" s="422">
        <f>H61*F61</f>
        <v>0</v>
      </c>
      <c r="L61" s="717">
        <f>K61+J61</f>
        <v>90092.2</v>
      </c>
      <c r="M61" s="629"/>
      <c r="N61" s="629"/>
      <c r="O61" s="629"/>
      <c r="P61" s="629"/>
      <c r="Q61" s="629"/>
      <c r="R61" s="629"/>
      <c r="S61" s="629"/>
      <c r="T61" s="629"/>
      <c r="U61" s="629"/>
      <c r="V61" s="629"/>
      <c r="W61" s="629"/>
      <c r="X61" s="629"/>
    </row>
    <row r="62" spans="1:32" s="332" customFormat="1" ht="21" customHeight="1" x14ac:dyDescent="0.2">
      <c r="A62" s="714"/>
      <c r="B62" s="718" t="s">
        <v>295</v>
      </c>
      <c r="C62" s="716" t="s">
        <v>11</v>
      </c>
      <c r="D62" s="716">
        <v>105</v>
      </c>
      <c r="E62" s="422">
        <v>91.61</v>
      </c>
      <c r="F62" s="719"/>
      <c r="G62" s="202">
        <f>F62+E62</f>
        <v>91.61</v>
      </c>
      <c r="H62" s="716">
        <v>295</v>
      </c>
      <c r="I62" s="130">
        <f>D62*H62</f>
        <v>30975</v>
      </c>
      <c r="J62" s="422">
        <f>H62*E62</f>
        <v>27024.95</v>
      </c>
      <c r="K62" s="422">
        <f>H62*F62</f>
        <v>0</v>
      </c>
      <c r="L62" s="717">
        <f>K62+J62</f>
        <v>27024.95</v>
      </c>
      <c r="M62" s="629"/>
      <c r="N62" s="629"/>
      <c r="O62" s="629"/>
      <c r="P62" s="629"/>
      <c r="Q62" s="629"/>
      <c r="R62" s="629"/>
      <c r="S62" s="629"/>
      <c r="T62" s="629"/>
      <c r="U62" s="629"/>
      <c r="V62" s="629"/>
      <c r="W62" s="629"/>
      <c r="X62" s="629"/>
    </row>
    <row r="63" spans="1:32" s="581" customFormat="1" ht="26.25" customHeight="1" thickBot="1" x14ac:dyDescent="0.2">
      <c r="A63" s="579"/>
      <c r="B63" s="1101" t="s">
        <v>64</v>
      </c>
      <c r="C63" s="1102"/>
      <c r="D63" s="1102"/>
      <c r="E63" s="1102"/>
      <c r="F63" s="1102"/>
      <c r="G63" s="1102"/>
      <c r="H63" s="1103"/>
      <c r="I63" s="568">
        <f>SUM(I61:I62)</f>
        <v>161175</v>
      </c>
      <c r="J63" s="568">
        <f>SUM(J61:J62)</f>
        <v>117117.15</v>
      </c>
      <c r="K63" s="568">
        <f>SUM(K61:K62)</f>
        <v>0</v>
      </c>
      <c r="L63" s="568">
        <f>SUM(L61:L62)</f>
        <v>117117.15</v>
      </c>
      <c r="M63" s="626"/>
      <c r="N63" s="626"/>
      <c r="O63" s="626"/>
      <c r="P63" s="626"/>
      <c r="Q63" s="626"/>
      <c r="R63" s="626"/>
      <c r="S63" s="626"/>
      <c r="T63" s="626"/>
      <c r="U63" s="626"/>
      <c r="V63" s="626"/>
      <c r="W63" s="626"/>
      <c r="X63" s="626"/>
    </row>
    <row r="64" spans="1:32" s="278" customFormat="1" ht="18" x14ac:dyDescent="0.2">
      <c r="A64" s="491"/>
      <c r="B64" s="492" t="s">
        <v>167</v>
      </c>
      <c r="C64" s="234"/>
      <c r="D64" s="233"/>
      <c r="E64" s="234"/>
      <c r="F64" s="234"/>
      <c r="G64" s="234"/>
      <c r="H64" s="233"/>
      <c r="I64" s="233"/>
      <c r="J64" s="233"/>
      <c r="K64" s="233"/>
      <c r="L64" s="493"/>
      <c r="M64" s="622"/>
      <c r="N64" s="622"/>
      <c r="O64" s="622"/>
      <c r="P64" s="622"/>
      <c r="Q64" s="622"/>
      <c r="R64" s="622"/>
      <c r="S64" s="622"/>
      <c r="T64" s="622"/>
      <c r="U64" s="622"/>
      <c r="V64" s="622"/>
      <c r="W64" s="622"/>
      <c r="X64" s="622"/>
      <c r="Y64" s="622"/>
      <c r="Z64" s="622"/>
      <c r="AA64" s="622"/>
      <c r="AB64" s="622"/>
      <c r="AC64" s="622"/>
      <c r="AD64" s="622"/>
      <c r="AE64" s="622"/>
      <c r="AF64" s="622"/>
    </row>
    <row r="65" spans="1:32" s="278" customFormat="1" ht="18" x14ac:dyDescent="0.2">
      <c r="A65" s="494">
        <v>3.1</v>
      </c>
      <c r="B65" s="495" t="s">
        <v>166</v>
      </c>
      <c r="C65" s="236" t="s">
        <v>11</v>
      </c>
      <c r="D65" s="235">
        <v>366</v>
      </c>
      <c r="E65" s="236">
        <v>366.33</v>
      </c>
      <c r="F65" s="407"/>
      <c r="G65" s="236">
        <f>F65+E65</f>
        <v>366.33</v>
      </c>
      <c r="H65" s="235">
        <v>245</v>
      </c>
      <c r="I65" s="235">
        <f>D65*H65</f>
        <v>89670</v>
      </c>
      <c r="J65" s="233">
        <f>E65*H65</f>
        <v>89750.849999999991</v>
      </c>
      <c r="K65" s="235">
        <f>H65*F65</f>
        <v>0</v>
      </c>
      <c r="L65" s="496">
        <f>K65+J65</f>
        <v>89750.849999999991</v>
      </c>
      <c r="M65" s="622"/>
      <c r="N65" s="622"/>
      <c r="O65" s="622"/>
      <c r="P65" s="622"/>
      <c r="Q65" s="622"/>
      <c r="R65" s="622"/>
      <c r="S65" s="622"/>
      <c r="T65" s="622"/>
      <c r="U65" s="622"/>
      <c r="V65" s="622"/>
      <c r="W65" s="622"/>
      <c r="X65" s="622"/>
      <c r="Y65" s="622"/>
      <c r="Z65" s="622"/>
      <c r="AA65" s="622"/>
      <c r="AB65" s="622"/>
      <c r="AC65" s="622"/>
      <c r="AD65" s="622"/>
      <c r="AE65" s="622"/>
      <c r="AF65" s="622"/>
    </row>
    <row r="66" spans="1:32" s="278" customFormat="1" ht="18" x14ac:dyDescent="0.2">
      <c r="A66" s="494">
        <v>3.2</v>
      </c>
      <c r="B66" s="495" t="s">
        <v>469</v>
      </c>
      <c r="C66" s="236" t="s">
        <v>11</v>
      </c>
      <c r="D66" s="235">
        <v>77</v>
      </c>
      <c r="E66" s="236"/>
      <c r="F66" s="407">
        <v>48.17</v>
      </c>
      <c r="G66" s="236"/>
      <c r="H66" s="235">
        <v>220</v>
      </c>
      <c r="I66" s="235">
        <f>D66*H66</f>
        <v>16940</v>
      </c>
      <c r="J66" s="233">
        <f>E66*H66</f>
        <v>0</v>
      </c>
      <c r="K66" s="235">
        <f>H66*F66</f>
        <v>10597.4</v>
      </c>
      <c r="L66" s="496">
        <f>K66+J66</f>
        <v>10597.4</v>
      </c>
      <c r="M66" s="622"/>
      <c r="N66" s="622"/>
      <c r="O66" s="622"/>
      <c r="P66" s="622"/>
      <c r="Q66" s="622"/>
      <c r="R66" s="622"/>
      <c r="S66" s="622"/>
      <c r="T66" s="622"/>
      <c r="U66" s="622"/>
      <c r="V66" s="622"/>
      <c r="W66" s="622"/>
      <c r="X66" s="622"/>
      <c r="Y66" s="622"/>
      <c r="Z66" s="622"/>
      <c r="AA66" s="622"/>
      <c r="AB66" s="622"/>
      <c r="AC66" s="622"/>
      <c r="AD66" s="622"/>
      <c r="AE66" s="622"/>
      <c r="AF66" s="622"/>
    </row>
    <row r="67" spans="1:32" s="574" customFormat="1" ht="21.75" customHeight="1" thickBot="1" x14ac:dyDescent="0.25">
      <c r="A67" s="585"/>
      <c r="B67" s="1174" t="s">
        <v>64</v>
      </c>
      <c r="C67" s="1175"/>
      <c r="D67" s="1175"/>
      <c r="E67" s="1175"/>
      <c r="F67" s="1175"/>
      <c r="G67" s="1175"/>
      <c r="H67" s="1176"/>
      <c r="I67" s="586">
        <f>SUM(I65:I66)</f>
        <v>106610</v>
      </c>
      <c r="J67" s="586">
        <f>SUM(J65:J66)</f>
        <v>89750.849999999991</v>
      </c>
      <c r="K67" s="586">
        <f>SUM(K65:K66)</f>
        <v>10597.4</v>
      </c>
      <c r="L67" s="586">
        <f>SUM(L65:L66)</f>
        <v>100348.24999999999</v>
      </c>
      <c r="M67" s="622"/>
      <c r="N67" s="622"/>
      <c r="O67" s="622"/>
      <c r="P67" s="622"/>
      <c r="Q67" s="622"/>
      <c r="R67" s="622"/>
      <c r="S67" s="622"/>
      <c r="T67" s="622"/>
      <c r="U67" s="622"/>
      <c r="V67" s="622"/>
      <c r="W67" s="622"/>
      <c r="X67" s="622"/>
      <c r="Y67" s="622"/>
      <c r="Z67" s="622"/>
      <c r="AA67" s="622"/>
      <c r="AB67" s="622"/>
      <c r="AC67" s="622"/>
      <c r="AD67" s="622"/>
      <c r="AE67" s="622"/>
      <c r="AF67" s="622"/>
    </row>
    <row r="68" spans="1:32" s="278" customFormat="1" ht="18" x14ac:dyDescent="0.2">
      <c r="A68" s="491"/>
      <c r="B68" s="492" t="s">
        <v>168</v>
      </c>
      <c r="C68" s="234"/>
      <c r="D68" s="233"/>
      <c r="E68" s="234"/>
      <c r="F68" s="234"/>
      <c r="G68" s="234"/>
      <c r="H68" s="233"/>
      <c r="I68" s="233"/>
      <c r="J68" s="233"/>
      <c r="K68" s="233"/>
      <c r="L68" s="493"/>
      <c r="M68" s="622"/>
      <c r="N68" s="622"/>
      <c r="O68" s="622"/>
      <c r="P68" s="622"/>
      <c r="Q68" s="622"/>
      <c r="R68" s="622"/>
      <c r="S68" s="622"/>
      <c r="T68" s="622"/>
      <c r="U68" s="622"/>
      <c r="V68" s="622"/>
      <c r="W68" s="622"/>
      <c r="X68" s="622"/>
      <c r="Y68" s="622"/>
      <c r="Z68" s="622"/>
      <c r="AA68" s="622"/>
      <c r="AB68" s="622"/>
      <c r="AC68" s="622"/>
      <c r="AD68" s="622"/>
      <c r="AE68" s="622"/>
      <c r="AF68" s="622"/>
    </row>
    <row r="69" spans="1:32" s="278" customFormat="1" ht="18" x14ac:dyDescent="0.2">
      <c r="A69" s="497">
        <v>4.0999999999999996</v>
      </c>
      <c r="B69" s="498" t="s">
        <v>169</v>
      </c>
      <c r="C69" s="218"/>
      <c r="D69" s="232"/>
      <c r="E69" s="218"/>
      <c r="F69" s="218"/>
      <c r="G69" s="218"/>
      <c r="H69" s="232"/>
      <c r="I69" s="232"/>
      <c r="J69" s="232"/>
      <c r="K69" s="232"/>
      <c r="L69" s="499"/>
      <c r="M69" s="622"/>
      <c r="N69" s="622"/>
      <c r="O69" s="622"/>
      <c r="P69" s="622"/>
      <c r="Q69" s="622"/>
      <c r="R69" s="622"/>
      <c r="S69" s="622"/>
      <c r="T69" s="622"/>
      <c r="U69" s="622"/>
      <c r="V69" s="622"/>
      <c r="W69" s="622"/>
      <c r="X69" s="622"/>
      <c r="Y69" s="622"/>
      <c r="Z69" s="622"/>
      <c r="AA69" s="622"/>
      <c r="AB69" s="622"/>
      <c r="AC69" s="622"/>
      <c r="AD69" s="622"/>
      <c r="AE69" s="622"/>
      <c r="AF69" s="622"/>
    </row>
    <row r="70" spans="1:32" s="278" customFormat="1" ht="18" x14ac:dyDescent="0.2">
      <c r="A70" s="497"/>
      <c r="B70" s="498" t="s">
        <v>170</v>
      </c>
      <c r="C70" s="218"/>
      <c r="D70" s="232"/>
      <c r="E70" s="218"/>
      <c r="F70" s="218"/>
      <c r="G70" s="218"/>
      <c r="H70" s="232"/>
      <c r="I70" s="232"/>
      <c r="J70" s="232"/>
      <c r="K70" s="232"/>
      <c r="L70" s="499"/>
      <c r="M70" s="622"/>
      <c r="N70" s="622"/>
      <c r="O70" s="622"/>
      <c r="P70" s="622"/>
      <c r="Q70" s="622"/>
      <c r="R70" s="622"/>
      <c r="S70" s="622"/>
      <c r="T70" s="622"/>
      <c r="U70" s="622"/>
      <c r="V70" s="622"/>
      <c r="W70" s="622"/>
      <c r="X70" s="622"/>
      <c r="Y70" s="622"/>
      <c r="Z70" s="622"/>
      <c r="AA70" s="622"/>
      <c r="AB70" s="622"/>
      <c r="AC70" s="622"/>
      <c r="AD70" s="622"/>
      <c r="AE70" s="622"/>
      <c r="AF70" s="622"/>
    </row>
    <row r="71" spans="1:32" s="278" customFormat="1" ht="18" x14ac:dyDescent="0.2">
      <c r="A71" s="497"/>
      <c r="B71" s="498" t="s">
        <v>172</v>
      </c>
      <c r="C71" s="218" t="s">
        <v>174</v>
      </c>
      <c r="D71" s="232">
        <v>681</v>
      </c>
      <c r="E71" s="218">
        <v>600.78</v>
      </c>
      <c r="F71" s="218"/>
      <c r="G71" s="237">
        <f>F71+E71</f>
        <v>600.78</v>
      </c>
      <c r="H71" s="232">
        <v>18</v>
      </c>
      <c r="I71" s="232">
        <f>H71*D71</f>
        <v>12258</v>
      </c>
      <c r="J71" s="232">
        <f>H71*E71</f>
        <v>10814.039999999999</v>
      </c>
      <c r="K71" s="422">
        <f>H71*F71</f>
        <v>0</v>
      </c>
      <c r="L71" s="499">
        <f>K71+J71</f>
        <v>10814.039999999999</v>
      </c>
      <c r="M71" s="622"/>
      <c r="N71" s="622"/>
      <c r="O71" s="622"/>
      <c r="P71" s="622"/>
      <c r="Q71" s="622"/>
      <c r="R71" s="622"/>
      <c r="S71" s="622"/>
      <c r="T71" s="622"/>
      <c r="U71" s="622"/>
      <c r="V71" s="622"/>
      <c r="W71" s="622"/>
      <c r="X71" s="622"/>
      <c r="Y71" s="622"/>
      <c r="Z71" s="622"/>
      <c r="AA71" s="622"/>
      <c r="AB71" s="622"/>
      <c r="AC71" s="622"/>
      <c r="AD71" s="622"/>
      <c r="AE71" s="622"/>
      <c r="AF71" s="622"/>
    </row>
    <row r="72" spans="1:32" s="278" customFormat="1" ht="18" x14ac:dyDescent="0.2">
      <c r="A72" s="497"/>
      <c r="B72" s="498" t="s">
        <v>173</v>
      </c>
      <c r="C72" s="218" t="s">
        <v>174</v>
      </c>
      <c r="D72" s="232">
        <v>574.5</v>
      </c>
      <c r="E72" s="218">
        <v>633.75</v>
      </c>
      <c r="F72" s="218"/>
      <c r="G72" s="237">
        <f>F72+E72</f>
        <v>633.75</v>
      </c>
      <c r="H72" s="232">
        <v>16</v>
      </c>
      <c r="I72" s="232">
        <f>H72*D72</f>
        <v>9192</v>
      </c>
      <c r="J72" s="232">
        <f>H72*E72</f>
        <v>10140</v>
      </c>
      <c r="K72" s="422">
        <f>H72*F72</f>
        <v>0</v>
      </c>
      <c r="L72" s="499">
        <f>K72+J72</f>
        <v>10140</v>
      </c>
      <c r="M72" s="622"/>
      <c r="N72" s="622"/>
      <c r="O72" s="622"/>
      <c r="P72" s="622"/>
      <c r="Q72" s="622"/>
      <c r="R72" s="622"/>
      <c r="S72" s="622"/>
      <c r="T72" s="622"/>
      <c r="U72" s="622"/>
      <c r="V72" s="622"/>
      <c r="W72" s="622"/>
      <c r="X72" s="622"/>
      <c r="Y72" s="622"/>
      <c r="Z72" s="622"/>
      <c r="AA72" s="622"/>
      <c r="AB72" s="622"/>
      <c r="AC72" s="622"/>
      <c r="AD72" s="622"/>
      <c r="AE72" s="622"/>
      <c r="AF72" s="622"/>
    </row>
    <row r="73" spans="1:32" s="278" customFormat="1" ht="24.75" customHeight="1" x14ac:dyDescent="0.2">
      <c r="A73" s="494"/>
      <c r="B73" s="495" t="s">
        <v>171</v>
      </c>
      <c r="C73" s="236" t="s">
        <v>174</v>
      </c>
      <c r="D73" s="235">
        <v>612</v>
      </c>
      <c r="E73" s="236">
        <v>467.04</v>
      </c>
      <c r="F73" s="218"/>
      <c r="G73" s="237">
        <f>F73+E73</f>
        <v>467.04</v>
      </c>
      <c r="H73" s="235">
        <v>48</v>
      </c>
      <c r="I73" s="232">
        <f>H73*D73</f>
        <v>29376</v>
      </c>
      <c r="J73" s="232">
        <f>H73*E73</f>
        <v>22417.920000000002</v>
      </c>
      <c r="K73" s="422">
        <f>H73*F73</f>
        <v>0</v>
      </c>
      <c r="L73" s="499">
        <f>K73+J73</f>
        <v>22417.920000000002</v>
      </c>
      <c r="M73" s="622"/>
      <c r="N73" s="622"/>
      <c r="O73" s="622"/>
      <c r="P73" s="622"/>
      <c r="Q73" s="622"/>
      <c r="R73" s="622"/>
      <c r="S73" s="622"/>
      <c r="T73" s="622"/>
      <c r="U73" s="622"/>
      <c r="V73" s="622"/>
      <c r="W73" s="622"/>
      <c r="X73" s="622"/>
      <c r="Y73" s="622"/>
      <c r="Z73" s="622"/>
      <c r="AA73" s="622"/>
      <c r="AB73" s="622"/>
      <c r="AC73" s="622"/>
      <c r="AD73" s="622"/>
      <c r="AE73" s="622"/>
      <c r="AF73" s="622"/>
    </row>
    <row r="74" spans="1:32" s="312" customFormat="1" ht="23.25" customHeight="1" x14ac:dyDescent="0.2">
      <c r="A74" s="789">
        <v>4.2</v>
      </c>
      <c r="B74" s="788" t="s">
        <v>238</v>
      </c>
      <c r="C74" s="788" t="s">
        <v>174</v>
      </c>
      <c r="D74" s="788">
        <v>74</v>
      </c>
      <c r="E74" s="788"/>
      <c r="F74" s="935">
        <v>75.900000000000006</v>
      </c>
      <c r="G74" s="788">
        <f>F74+E74</f>
        <v>75.900000000000006</v>
      </c>
      <c r="H74" s="788">
        <v>92</v>
      </c>
      <c r="I74" s="788">
        <f>H74*E74</f>
        <v>0</v>
      </c>
      <c r="J74" s="232">
        <f>H74*E74</f>
        <v>0</v>
      </c>
      <c r="K74" s="422">
        <f>H74*F74</f>
        <v>6982.8</v>
      </c>
      <c r="L74" s="499">
        <f>K74+J74</f>
        <v>6982.8</v>
      </c>
    </row>
    <row r="75" spans="1:32" s="574" customFormat="1" ht="21.75" customHeight="1" thickBot="1" x14ac:dyDescent="0.25">
      <c r="A75" s="585"/>
      <c r="B75" s="1174" t="s">
        <v>64</v>
      </c>
      <c r="C75" s="1175"/>
      <c r="D75" s="1175"/>
      <c r="E75" s="1175"/>
      <c r="F75" s="1175"/>
      <c r="G75" s="1175"/>
      <c r="H75" s="1176"/>
      <c r="I75" s="586">
        <f>SUM(I71:I74)</f>
        <v>50826</v>
      </c>
      <c r="J75" s="586">
        <f>SUM(J71:J74)</f>
        <v>43371.960000000006</v>
      </c>
      <c r="K75" s="586">
        <f>SUM(K71:K74)</f>
        <v>6982.8</v>
      </c>
      <c r="L75" s="586">
        <f>SUM(L71:L74)</f>
        <v>50354.760000000009</v>
      </c>
      <c r="M75" s="622"/>
      <c r="N75" s="622"/>
      <c r="O75" s="622"/>
      <c r="P75" s="622"/>
      <c r="Q75" s="622"/>
      <c r="R75" s="622"/>
      <c r="S75" s="622"/>
      <c r="T75" s="622"/>
      <c r="U75" s="622"/>
      <c r="V75" s="622"/>
      <c r="W75" s="622"/>
      <c r="X75" s="622"/>
      <c r="Y75" s="622"/>
      <c r="Z75" s="622"/>
      <c r="AA75" s="622"/>
      <c r="AB75" s="622"/>
      <c r="AC75" s="622"/>
      <c r="AD75" s="622"/>
      <c r="AE75" s="622"/>
      <c r="AF75" s="622"/>
    </row>
    <row r="76" spans="1:32" ht="18.75" thickBot="1" x14ac:dyDescent="0.25">
      <c r="A76" s="489"/>
      <c r="B76" s="1149" t="s">
        <v>91</v>
      </c>
      <c r="C76" s="1149"/>
      <c r="D76" s="1149"/>
      <c r="E76" s="1149"/>
      <c r="F76" s="1149"/>
      <c r="G76" s="1149"/>
      <c r="H76" s="1149"/>
      <c r="I76" s="1149"/>
      <c r="J76" s="1149"/>
      <c r="K76" s="1149"/>
      <c r="L76" s="490"/>
    </row>
    <row r="77" spans="1:32" s="254" customFormat="1" ht="21.75" customHeight="1" x14ac:dyDescent="0.15">
      <c r="A77" s="1150" t="s">
        <v>61</v>
      </c>
      <c r="B77" s="1153" t="s">
        <v>54</v>
      </c>
      <c r="C77" s="1153" t="s">
        <v>5</v>
      </c>
      <c r="D77" s="1155" t="s">
        <v>4</v>
      </c>
      <c r="E77" s="1156"/>
      <c r="F77" s="1157"/>
      <c r="G77" s="1128" t="s">
        <v>334</v>
      </c>
      <c r="H77" s="1158" t="s">
        <v>8</v>
      </c>
      <c r="I77" s="1161" t="s">
        <v>50</v>
      </c>
      <c r="J77" s="1156"/>
      <c r="K77" s="1157"/>
      <c r="L77" s="505"/>
      <c r="M77" s="616"/>
      <c r="N77" s="616"/>
      <c r="O77" s="616"/>
      <c r="P77" s="616"/>
      <c r="Q77" s="616"/>
      <c r="R77" s="616"/>
      <c r="S77" s="616"/>
      <c r="T77" s="616"/>
      <c r="U77" s="616"/>
      <c r="V77" s="616"/>
      <c r="W77" s="616"/>
      <c r="X77" s="616"/>
      <c r="Y77" s="616"/>
      <c r="Z77" s="616"/>
      <c r="AA77" s="616"/>
      <c r="AB77" s="616"/>
      <c r="AC77" s="616"/>
      <c r="AD77" s="616"/>
      <c r="AE77" s="616"/>
      <c r="AF77" s="616"/>
    </row>
    <row r="78" spans="1:32" s="254" customFormat="1" ht="19.5" customHeight="1" x14ac:dyDescent="0.15">
      <c r="A78" s="1151"/>
      <c r="B78" s="1154"/>
      <c r="C78" s="1154"/>
      <c r="D78" s="1162" t="s">
        <v>62</v>
      </c>
      <c r="E78" s="1164" t="s">
        <v>63</v>
      </c>
      <c r="F78" s="1165"/>
      <c r="G78" s="1129"/>
      <c r="H78" s="1159"/>
      <c r="I78" s="1143" t="s">
        <v>6</v>
      </c>
      <c r="J78" s="1145" t="s">
        <v>7</v>
      </c>
      <c r="K78" s="1146"/>
      <c r="L78" s="1147" t="s">
        <v>7</v>
      </c>
      <c r="M78" s="616"/>
      <c r="N78" s="616"/>
      <c r="O78" s="616"/>
      <c r="P78" s="616"/>
      <c r="Q78" s="616"/>
      <c r="R78" s="616"/>
      <c r="S78" s="616"/>
      <c r="T78" s="616"/>
      <c r="U78" s="616"/>
      <c r="V78" s="616"/>
      <c r="W78" s="616"/>
      <c r="X78" s="616"/>
      <c r="Y78" s="616"/>
      <c r="Z78" s="616"/>
      <c r="AA78" s="616"/>
      <c r="AB78" s="616"/>
      <c r="AC78" s="616"/>
      <c r="AD78" s="616"/>
      <c r="AE78" s="616"/>
      <c r="AF78" s="616"/>
    </row>
    <row r="79" spans="1:32" s="254" customFormat="1" ht="21" customHeight="1" thickBot="1" x14ac:dyDescent="0.2">
      <c r="A79" s="1152"/>
      <c r="B79" s="1144"/>
      <c r="C79" s="1144"/>
      <c r="D79" s="1163"/>
      <c r="E79" s="881" t="s">
        <v>98</v>
      </c>
      <c r="F79" s="881" t="s">
        <v>99</v>
      </c>
      <c r="G79" s="1129"/>
      <c r="H79" s="1160"/>
      <c r="I79" s="1144"/>
      <c r="J79" s="881" t="s">
        <v>98</v>
      </c>
      <c r="K79" s="881" t="s">
        <v>99</v>
      </c>
      <c r="L79" s="1148"/>
      <c r="M79" s="616"/>
      <c r="N79" s="616"/>
      <c r="O79" s="616"/>
      <c r="P79" s="616"/>
      <c r="Q79" s="616"/>
      <c r="R79" s="616"/>
      <c r="S79" s="616"/>
      <c r="T79" s="616"/>
      <c r="U79" s="616"/>
      <c r="V79" s="616"/>
      <c r="W79" s="616"/>
      <c r="X79" s="616"/>
      <c r="Y79" s="616"/>
      <c r="Z79" s="616"/>
      <c r="AA79" s="616"/>
      <c r="AB79" s="616"/>
      <c r="AC79" s="616"/>
      <c r="AD79" s="616"/>
      <c r="AE79" s="616"/>
      <c r="AF79" s="616"/>
    </row>
    <row r="80" spans="1:32" s="254" customFormat="1" ht="21" customHeight="1" thickBot="1" x14ac:dyDescent="0.2">
      <c r="A80" s="459" t="s">
        <v>102</v>
      </c>
      <c r="B80" s="460" t="s">
        <v>103</v>
      </c>
      <c r="C80" s="460" t="s">
        <v>104</v>
      </c>
      <c r="D80" s="461" t="s">
        <v>105</v>
      </c>
      <c r="E80" s="461" t="s">
        <v>106</v>
      </c>
      <c r="F80" s="461" t="s">
        <v>107</v>
      </c>
      <c r="G80" s="461"/>
      <c r="H80" s="462" t="s">
        <v>108</v>
      </c>
      <c r="I80" s="460" t="s">
        <v>116</v>
      </c>
      <c r="J80" s="461" t="s">
        <v>115</v>
      </c>
      <c r="K80" s="461" t="s">
        <v>114</v>
      </c>
      <c r="L80" s="463" t="s">
        <v>113</v>
      </c>
      <c r="M80" s="616"/>
      <c r="N80" s="616"/>
      <c r="O80" s="616"/>
      <c r="P80" s="616"/>
      <c r="Q80" s="616"/>
      <c r="R80" s="616"/>
      <c r="S80" s="616"/>
      <c r="T80" s="616"/>
      <c r="U80" s="616"/>
      <c r="V80" s="616"/>
      <c r="W80" s="616"/>
      <c r="X80" s="616"/>
      <c r="Y80" s="616"/>
      <c r="Z80" s="616"/>
      <c r="AA80" s="616"/>
      <c r="AB80" s="616"/>
      <c r="AC80" s="616"/>
      <c r="AD80" s="616"/>
      <c r="AE80" s="616"/>
      <c r="AF80" s="616"/>
    </row>
    <row r="81" spans="1:32" s="278" customFormat="1" ht="29.25" customHeight="1" x14ac:dyDescent="0.15">
      <c r="A81" s="337"/>
      <c r="B81" s="338" t="s">
        <v>345</v>
      </c>
      <c r="C81" s="49"/>
      <c r="D81" s="32"/>
      <c r="E81" s="347"/>
      <c r="F81" s="49"/>
      <c r="G81" s="49"/>
      <c r="H81" s="32"/>
      <c r="I81" s="32"/>
      <c r="J81" s="32"/>
      <c r="K81" s="790"/>
      <c r="L81" s="339"/>
    </row>
    <row r="82" spans="1:32" s="278" customFormat="1" ht="29.25" customHeight="1" x14ac:dyDescent="0.2">
      <c r="A82" s="436">
        <v>5.0999999999999996</v>
      </c>
      <c r="B82" s="371" t="s">
        <v>346</v>
      </c>
      <c r="C82" s="51"/>
      <c r="D82" s="50"/>
      <c r="E82" s="35"/>
      <c r="F82" s="51"/>
      <c r="G82" s="51"/>
      <c r="H82" s="50"/>
      <c r="I82" s="50"/>
      <c r="J82" s="50"/>
      <c r="K82" s="707"/>
      <c r="L82" s="306"/>
    </row>
    <row r="83" spans="1:32" s="278" customFormat="1" ht="29.25" customHeight="1" x14ac:dyDescent="0.2">
      <c r="A83" s="436"/>
      <c r="B83" s="371" t="s">
        <v>356</v>
      </c>
      <c r="C83" s="205" t="s">
        <v>348</v>
      </c>
      <c r="D83" s="140">
        <v>3</v>
      </c>
      <c r="E83" s="244">
        <v>2</v>
      </c>
      <c r="F83" s="202"/>
      <c r="G83" s="924">
        <f t="shared" ref="G83:G88" si="15">F83+E83</f>
        <v>2</v>
      </c>
      <c r="H83" s="205">
        <v>2400</v>
      </c>
      <c r="I83" s="140">
        <f>H83*D83</f>
        <v>7200</v>
      </c>
      <c r="J83" s="140">
        <f>H83*E83</f>
        <v>4800</v>
      </c>
      <c r="K83" s="925">
        <f>H83*F83</f>
        <v>0</v>
      </c>
      <c r="L83" s="373">
        <f>K83+J83</f>
        <v>4800</v>
      </c>
    </row>
    <row r="84" spans="1:32" s="278" customFormat="1" ht="29.25" customHeight="1" x14ac:dyDescent="0.2">
      <c r="A84" s="791"/>
      <c r="B84" s="788" t="s">
        <v>357</v>
      </c>
      <c r="C84" s="788" t="s">
        <v>348</v>
      </c>
      <c r="D84" s="788">
        <v>9</v>
      </c>
      <c r="E84" s="788">
        <v>9</v>
      </c>
      <c r="F84" s="788"/>
      <c r="G84" s="788">
        <f t="shared" si="15"/>
        <v>9</v>
      </c>
      <c r="H84" s="788">
        <v>3000</v>
      </c>
      <c r="I84" s="140">
        <f t="shared" ref="I84:I91" si="16">H84*D84</f>
        <v>27000</v>
      </c>
      <c r="J84" s="140">
        <f t="shared" ref="J84:J91" si="17">H84*E84</f>
        <v>27000</v>
      </c>
      <c r="K84" s="925">
        <f t="shared" ref="K84:K91" si="18">H84*F84</f>
        <v>0</v>
      </c>
      <c r="L84" s="373">
        <f t="shared" ref="L84:L91" si="19">K84+J84</f>
        <v>27000</v>
      </c>
    </row>
    <row r="85" spans="1:32" s="278" customFormat="1" ht="29.25" customHeight="1" x14ac:dyDescent="0.2">
      <c r="A85" s="792"/>
      <c r="B85" s="788" t="s">
        <v>401</v>
      </c>
      <c r="C85" s="788" t="s">
        <v>348</v>
      </c>
      <c r="D85" s="788">
        <v>1</v>
      </c>
      <c r="E85" s="788">
        <v>1</v>
      </c>
      <c r="F85" s="788"/>
      <c r="G85" s="788">
        <f t="shared" si="15"/>
        <v>1</v>
      </c>
      <c r="H85" s="788">
        <v>937</v>
      </c>
      <c r="I85" s="140">
        <f t="shared" si="16"/>
        <v>937</v>
      </c>
      <c r="J85" s="140">
        <f t="shared" si="17"/>
        <v>937</v>
      </c>
      <c r="K85" s="925">
        <f t="shared" si="18"/>
        <v>0</v>
      </c>
      <c r="L85" s="373">
        <f t="shared" si="19"/>
        <v>937</v>
      </c>
    </row>
    <row r="86" spans="1:32" s="278" customFormat="1" ht="29.25" customHeight="1" x14ac:dyDescent="0.2">
      <c r="A86" s="793"/>
      <c r="B86" s="788" t="s">
        <v>459</v>
      </c>
      <c r="C86" s="788" t="s">
        <v>348</v>
      </c>
      <c r="D86" s="788">
        <v>1</v>
      </c>
      <c r="E86" s="788">
        <v>1</v>
      </c>
      <c r="F86" s="788"/>
      <c r="G86" s="788">
        <f t="shared" si="15"/>
        <v>1</v>
      </c>
      <c r="H86" s="788">
        <v>3000</v>
      </c>
      <c r="I86" s="140">
        <f t="shared" si="16"/>
        <v>3000</v>
      </c>
      <c r="J86" s="140">
        <f t="shared" si="17"/>
        <v>3000</v>
      </c>
      <c r="K86" s="925">
        <f t="shared" si="18"/>
        <v>0</v>
      </c>
      <c r="L86" s="373">
        <f t="shared" si="19"/>
        <v>3000</v>
      </c>
    </row>
    <row r="87" spans="1:32" s="704" customFormat="1" ht="35.25" customHeight="1" x14ac:dyDescent="0.2">
      <c r="A87" s="793"/>
      <c r="B87" s="788" t="s">
        <v>460</v>
      </c>
      <c r="C87" s="788" t="s">
        <v>348</v>
      </c>
      <c r="D87" s="788">
        <v>2</v>
      </c>
      <c r="E87" s="788">
        <v>2</v>
      </c>
      <c r="F87" s="788"/>
      <c r="G87" s="788">
        <f t="shared" si="15"/>
        <v>2</v>
      </c>
      <c r="H87" s="788">
        <v>2000</v>
      </c>
      <c r="I87" s="140">
        <f t="shared" si="16"/>
        <v>4000</v>
      </c>
      <c r="J87" s="140">
        <f t="shared" si="17"/>
        <v>4000</v>
      </c>
      <c r="K87" s="925">
        <f t="shared" si="18"/>
        <v>0</v>
      </c>
      <c r="L87" s="373">
        <f t="shared" si="19"/>
        <v>4000</v>
      </c>
    </row>
    <row r="88" spans="1:32" ht="29.25" customHeight="1" x14ac:dyDescent="0.2">
      <c r="A88" s="787"/>
      <c r="B88" s="788" t="s">
        <v>461</v>
      </c>
      <c r="C88" s="788" t="s">
        <v>348</v>
      </c>
      <c r="D88" s="788">
        <v>1</v>
      </c>
      <c r="E88" s="788">
        <v>1</v>
      </c>
      <c r="F88" s="788"/>
      <c r="G88" s="788">
        <f t="shared" si="15"/>
        <v>1</v>
      </c>
      <c r="H88" s="788">
        <v>1275</v>
      </c>
      <c r="I88" s="140">
        <f t="shared" si="16"/>
        <v>1275</v>
      </c>
      <c r="J88" s="140">
        <f t="shared" si="17"/>
        <v>1275</v>
      </c>
      <c r="K88" s="925">
        <f t="shared" si="18"/>
        <v>0</v>
      </c>
      <c r="L88" s="373">
        <f t="shared" si="19"/>
        <v>1275</v>
      </c>
      <c r="M88" s="265"/>
      <c r="N88" s="265"/>
      <c r="O88" s="265"/>
      <c r="P88" s="265"/>
      <c r="Q88" s="265"/>
      <c r="R88" s="265"/>
      <c r="S88" s="265"/>
      <c r="T88" s="265"/>
      <c r="U88" s="265"/>
      <c r="V88" s="265"/>
      <c r="W88" s="265"/>
      <c r="X88" s="265"/>
      <c r="Y88" s="265"/>
      <c r="Z88" s="265"/>
      <c r="AA88" s="265"/>
      <c r="AB88" s="265"/>
      <c r="AC88" s="265"/>
      <c r="AD88" s="265"/>
      <c r="AE88" s="265"/>
      <c r="AF88" s="265"/>
    </row>
    <row r="89" spans="1:32" s="312" customFormat="1" ht="29.25" customHeight="1" x14ac:dyDescent="0.2">
      <c r="A89" s="789">
        <v>5.2</v>
      </c>
      <c r="B89" s="788" t="s">
        <v>395</v>
      </c>
      <c r="C89" s="788"/>
      <c r="D89" s="788"/>
      <c r="E89" s="788"/>
      <c r="F89" s="788"/>
      <c r="G89" s="788"/>
      <c r="H89" s="788"/>
      <c r="I89" s="140">
        <f t="shared" si="16"/>
        <v>0</v>
      </c>
      <c r="J89" s="140">
        <f t="shared" si="17"/>
        <v>0</v>
      </c>
      <c r="K89" s="925">
        <f t="shared" si="18"/>
        <v>0</v>
      </c>
      <c r="L89" s="373">
        <f t="shared" si="19"/>
        <v>0</v>
      </c>
    </row>
    <row r="90" spans="1:32" ht="29.25" customHeight="1" x14ac:dyDescent="0.2">
      <c r="A90" s="791"/>
      <c r="B90" s="788" t="s">
        <v>402</v>
      </c>
      <c r="C90" s="788" t="s">
        <v>142</v>
      </c>
      <c r="D90" s="788">
        <v>2</v>
      </c>
      <c r="E90" s="788"/>
      <c r="F90" s="788">
        <v>2</v>
      </c>
      <c r="G90" s="788"/>
      <c r="H90" s="788">
        <v>5062</v>
      </c>
      <c r="I90" s="140">
        <f t="shared" si="16"/>
        <v>10124</v>
      </c>
      <c r="J90" s="140">
        <f t="shared" si="17"/>
        <v>0</v>
      </c>
      <c r="K90" s="925">
        <f t="shared" si="18"/>
        <v>10124</v>
      </c>
      <c r="L90" s="373">
        <f t="shared" si="19"/>
        <v>10124</v>
      </c>
      <c r="M90" s="265"/>
      <c r="N90" s="265"/>
      <c r="O90" s="265"/>
      <c r="P90" s="265"/>
      <c r="Q90" s="265"/>
      <c r="R90" s="265"/>
      <c r="S90" s="265"/>
      <c r="T90" s="265"/>
      <c r="U90" s="265"/>
      <c r="V90" s="265"/>
      <c r="W90" s="265"/>
      <c r="X90" s="265"/>
      <c r="Y90" s="265"/>
      <c r="Z90" s="265"/>
      <c r="AA90" s="265"/>
      <c r="AB90" s="265"/>
      <c r="AC90" s="265"/>
      <c r="AD90" s="265"/>
      <c r="AE90" s="265"/>
      <c r="AF90" s="265"/>
    </row>
    <row r="91" spans="1:32" s="278" customFormat="1" ht="29.25" customHeight="1" x14ac:dyDescent="0.2">
      <c r="A91" s="792"/>
      <c r="B91" s="788" t="s">
        <v>403</v>
      </c>
      <c r="C91" s="788" t="s">
        <v>142</v>
      </c>
      <c r="D91" s="788">
        <v>1</v>
      </c>
      <c r="E91" s="788"/>
      <c r="F91" s="788">
        <v>1</v>
      </c>
      <c r="G91" s="788"/>
      <c r="H91" s="788">
        <v>4050</v>
      </c>
      <c r="I91" s="140">
        <f t="shared" si="16"/>
        <v>4050</v>
      </c>
      <c r="J91" s="140">
        <f t="shared" si="17"/>
        <v>0</v>
      </c>
      <c r="K91" s="925">
        <f t="shared" si="18"/>
        <v>4050</v>
      </c>
      <c r="L91" s="373">
        <f t="shared" si="19"/>
        <v>4050</v>
      </c>
    </row>
    <row r="92" spans="1:32" s="278" customFormat="1" ht="29.25" customHeight="1" thickBot="1" x14ac:dyDescent="0.25">
      <c r="A92" s="794"/>
      <c r="B92" s="1177" t="s">
        <v>64</v>
      </c>
      <c r="C92" s="1178"/>
      <c r="D92" s="1178"/>
      <c r="E92" s="1178"/>
      <c r="F92" s="1178"/>
      <c r="G92" s="1178"/>
      <c r="H92" s="1179"/>
      <c r="I92" s="926">
        <f>SUM(I83:I91)</f>
        <v>57586</v>
      </c>
      <c r="J92" s="926">
        <f>SUM(J83:J91)</f>
        <v>41012</v>
      </c>
      <c r="K92" s="926">
        <f>SUM(K83:K91)</f>
        <v>14174</v>
      </c>
      <c r="L92" s="926">
        <f>SUM(L83:L91)</f>
        <v>55186</v>
      </c>
    </row>
    <row r="93" spans="1:32" s="312" customFormat="1" ht="18" x14ac:dyDescent="0.2">
      <c r="A93" s="474"/>
      <c r="B93" s="475" t="s">
        <v>297</v>
      </c>
      <c r="C93" s="476"/>
      <c r="D93" s="476"/>
      <c r="E93" s="720"/>
      <c r="F93" s="720"/>
      <c r="G93" s="720"/>
      <c r="H93" s="721"/>
      <c r="I93" s="721"/>
      <c r="J93" s="362"/>
      <c r="K93" s="362"/>
      <c r="L93" s="362"/>
      <c r="M93" s="628"/>
      <c r="N93" s="628"/>
      <c r="O93" s="628"/>
      <c r="P93" s="628"/>
      <c r="Q93" s="628"/>
      <c r="R93" s="628"/>
      <c r="S93" s="628"/>
      <c r="T93" s="628"/>
      <c r="U93" s="628"/>
      <c r="V93" s="628"/>
    </row>
    <row r="94" spans="1:32" s="312" customFormat="1" ht="24.75" customHeight="1" x14ac:dyDescent="0.2">
      <c r="A94" s="451">
        <v>6.1</v>
      </c>
      <c r="B94" s="452" t="s">
        <v>298</v>
      </c>
      <c r="C94" s="476"/>
      <c r="D94" s="476"/>
      <c r="E94" s="244"/>
      <c r="F94" s="244"/>
      <c r="G94" s="244">
        <f>F94+E94</f>
        <v>0</v>
      </c>
      <c r="H94" s="477"/>
      <c r="I94" s="477"/>
      <c r="J94" s="244"/>
      <c r="K94" s="244"/>
      <c r="L94" s="244"/>
      <c r="M94" s="628"/>
      <c r="N94" s="628"/>
      <c r="O94" s="628"/>
      <c r="P94" s="628"/>
      <c r="Q94" s="628"/>
      <c r="R94" s="628"/>
      <c r="S94" s="628"/>
      <c r="T94" s="628"/>
      <c r="U94" s="628"/>
      <c r="V94" s="628"/>
    </row>
    <row r="95" spans="1:32" s="312" customFormat="1" ht="24.75" customHeight="1" x14ac:dyDescent="0.2">
      <c r="A95" s="451"/>
      <c r="B95" s="452" t="s">
        <v>299</v>
      </c>
      <c r="C95" s="218" t="s">
        <v>303</v>
      </c>
      <c r="D95" s="218">
        <v>241</v>
      </c>
      <c r="E95" s="244">
        <v>135.58000000000001</v>
      </c>
      <c r="F95" s="244"/>
      <c r="G95" s="244">
        <f>F95+E95</f>
        <v>135.58000000000001</v>
      </c>
      <c r="H95" s="232">
        <v>115</v>
      </c>
      <c r="I95" s="232">
        <f>H95*D95</f>
        <v>27715</v>
      </c>
      <c r="J95" s="130">
        <f t="shared" ref="J95:J101" si="20">H95*E95</f>
        <v>15591.7</v>
      </c>
      <c r="K95" s="130">
        <f t="shared" ref="K95:K101" si="21">H95*F95</f>
        <v>0</v>
      </c>
      <c r="L95" s="244">
        <f t="shared" ref="L95:L101" si="22">K95+J95</f>
        <v>15591.7</v>
      </c>
      <c r="M95" s="628"/>
      <c r="N95" s="628"/>
      <c r="O95" s="628"/>
      <c r="P95" s="628"/>
      <c r="Q95" s="628"/>
      <c r="R95" s="628"/>
      <c r="S95" s="628"/>
      <c r="T95" s="628"/>
      <c r="U95" s="628"/>
      <c r="V95" s="628"/>
    </row>
    <row r="96" spans="1:32" s="312" customFormat="1" ht="24.75" customHeight="1" x14ac:dyDescent="0.2">
      <c r="A96" s="451">
        <v>6.2</v>
      </c>
      <c r="B96" s="452" t="s">
        <v>301</v>
      </c>
      <c r="C96" s="218"/>
      <c r="D96" s="218"/>
      <c r="E96" s="381"/>
      <c r="F96" s="381"/>
      <c r="G96" s="244"/>
      <c r="H96" s="232"/>
      <c r="I96" s="232"/>
      <c r="J96" s="130">
        <f t="shared" si="20"/>
        <v>0</v>
      </c>
      <c r="K96" s="130">
        <f t="shared" si="21"/>
        <v>0</v>
      </c>
      <c r="L96" s="244">
        <f t="shared" si="22"/>
        <v>0</v>
      </c>
      <c r="M96" s="628"/>
      <c r="N96" s="628"/>
      <c r="O96" s="628"/>
      <c r="P96" s="628"/>
      <c r="Q96" s="628"/>
      <c r="R96" s="628"/>
      <c r="S96" s="628"/>
      <c r="T96" s="628"/>
      <c r="U96" s="628"/>
      <c r="V96" s="628"/>
    </row>
    <row r="97" spans="1:22" s="312" customFormat="1" ht="24.75" customHeight="1" x14ac:dyDescent="0.2">
      <c r="A97" s="451"/>
      <c r="B97" s="453" t="s">
        <v>302</v>
      </c>
      <c r="C97" s="218" t="s">
        <v>303</v>
      </c>
      <c r="D97" s="218">
        <v>852</v>
      </c>
      <c r="E97" s="244">
        <v>410.65</v>
      </c>
      <c r="F97" s="875"/>
      <c r="G97" s="244">
        <f>F97+E97</f>
        <v>410.65</v>
      </c>
      <c r="H97" s="232">
        <v>140</v>
      </c>
      <c r="I97" s="232">
        <f>H97*D97</f>
        <v>119280</v>
      </c>
      <c r="J97" s="130">
        <f t="shared" si="20"/>
        <v>57491</v>
      </c>
      <c r="K97" s="130">
        <f t="shared" si="21"/>
        <v>0</v>
      </c>
      <c r="L97" s="244">
        <f t="shared" si="22"/>
        <v>57491</v>
      </c>
      <c r="M97" s="628"/>
      <c r="N97" s="628"/>
      <c r="O97" s="628"/>
      <c r="P97" s="628"/>
      <c r="Q97" s="628"/>
      <c r="R97" s="628"/>
      <c r="S97" s="628"/>
      <c r="T97" s="628"/>
      <c r="U97" s="628"/>
      <c r="V97" s="628"/>
    </row>
    <row r="98" spans="1:22" s="312" customFormat="1" ht="24.75" customHeight="1" x14ac:dyDescent="0.2">
      <c r="A98" s="451">
        <v>6.3</v>
      </c>
      <c r="B98" s="453" t="s">
        <v>485</v>
      </c>
      <c r="C98" s="218" t="s">
        <v>11</v>
      </c>
      <c r="D98" s="218">
        <v>292.31</v>
      </c>
      <c r="E98" s="244"/>
      <c r="F98" s="875">
        <v>229.21</v>
      </c>
      <c r="G98" s="244">
        <f>F98+E98</f>
        <v>229.21</v>
      </c>
      <c r="H98" s="232">
        <v>340</v>
      </c>
      <c r="I98" s="232">
        <f>H98*D98</f>
        <v>99385.4</v>
      </c>
      <c r="J98" s="130">
        <f t="shared" si="20"/>
        <v>0</v>
      </c>
      <c r="K98" s="130">
        <f t="shared" si="21"/>
        <v>77931.400000000009</v>
      </c>
      <c r="L98" s="244">
        <f t="shared" si="22"/>
        <v>77931.400000000009</v>
      </c>
      <c r="M98" s="628"/>
      <c r="N98" s="628"/>
      <c r="O98" s="628"/>
      <c r="P98" s="628"/>
      <c r="Q98" s="628"/>
      <c r="R98" s="628"/>
      <c r="S98" s="628"/>
      <c r="T98" s="628"/>
      <c r="U98" s="628"/>
      <c r="V98" s="628"/>
    </row>
    <row r="99" spans="1:22" s="312" customFormat="1" ht="25.5" customHeight="1" x14ac:dyDescent="0.2">
      <c r="A99" s="936">
        <v>6.6</v>
      </c>
      <c r="B99" s="887" t="s">
        <v>533</v>
      </c>
      <c r="C99" s="218" t="s">
        <v>11</v>
      </c>
      <c r="D99" s="236">
        <v>347</v>
      </c>
      <c r="E99" s="925"/>
      <c r="F99" s="937">
        <v>229.21</v>
      </c>
      <c r="G99" s="244">
        <f>F99+E99</f>
        <v>229.21</v>
      </c>
      <c r="H99" s="235">
        <v>380</v>
      </c>
      <c r="I99" s="232">
        <f>H99*D99</f>
        <v>131860</v>
      </c>
      <c r="J99" s="140">
        <f t="shared" si="20"/>
        <v>0</v>
      </c>
      <c r="K99" s="130">
        <f t="shared" si="21"/>
        <v>87099.8</v>
      </c>
      <c r="L99" s="244">
        <f t="shared" si="22"/>
        <v>87099.8</v>
      </c>
      <c r="M99" s="628"/>
      <c r="N99" s="628"/>
      <c r="O99" s="628"/>
      <c r="P99" s="628"/>
      <c r="Q99" s="628"/>
      <c r="R99" s="628"/>
      <c r="S99" s="628"/>
      <c r="T99" s="628"/>
      <c r="U99" s="628"/>
      <c r="V99" s="628"/>
    </row>
    <row r="100" spans="1:22" s="312" customFormat="1" ht="22.5" customHeight="1" x14ac:dyDescent="0.2">
      <c r="A100" s="936">
        <v>6.7</v>
      </c>
      <c r="B100" s="939" t="s">
        <v>515</v>
      </c>
      <c r="C100" s="218" t="s">
        <v>174</v>
      </c>
      <c r="D100" s="218">
        <v>378</v>
      </c>
      <c r="E100" s="244"/>
      <c r="F100" s="875">
        <v>200.3</v>
      </c>
      <c r="G100" s="244">
        <f>F100+E100</f>
        <v>200.3</v>
      </c>
      <c r="H100" s="232">
        <v>50</v>
      </c>
      <c r="I100" s="232">
        <f>H100*D100</f>
        <v>18900</v>
      </c>
      <c r="J100" s="130">
        <f t="shared" si="20"/>
        <v>0</v>
      </c>
      <c r="K100" s="130">
        <f t="shared" si="21"/>
        <v>10015</v>
      </c>
      <c r="L100" s="244">
        <f t="shared" si="22"/>
        <v>10015</v>
      </c>
      <c r="M100" s="628"/>
      <c r="N100" s="628"/>
      <c r="O100" s="628"/>
      <c r="P100" s="628"/>
      <c r="Q100" s="628"/>
      <c r="R100" s="628"/>
      <c r="S100" s="628"/>
      <c r="T100" s="628"/>
      <c r="U100" s="628"/>
      <c r="V100" s="628"/>
    </row>
    <row r="101" spans="1:22" s="312" customFormat="1" ht="33.75" customHeight="1" x14ac:dyDescent="0.2">
      <c r="A101" s="447">
        <v>6.8</v>
      </c>
      <c r="B101" s="940" t="s">
        <v>501</v>
      </c>
      <c r="C101" s="218" t="s">
        <v>11</v>
      </c>
      <c r="D101" s="218">
        <v>80</v>
      </c>
      <c r="E101" s="244"/>
      <c r="F101" s="875">
        <v>88.92</v>
      </c>
      <c r="G101" s="244"/>
      <c r="H101" s="232">
        <v>450</v>
      </c>
      <c r="I101" s="232">
        <f>H101*D101</f>
        <v>36000</v>
      </c>
      <c r="J101" s="130">
        <f t="shared" si="20"/>
        <v>0</v>
      </c>
      <c r="K101" s="130">
        <f t="shared" si="21"/>
        <v>40014</v>
      </c>
      <c r="L101" s="244">
        <f t="shared" si="22"/>
        <v>40014</v>
      </c>
      <c r="M101" s="628"/>
      <c r="N101" s="628"/>
      <c r="O101" s="628"/>
      <c r="P101" s="628"/>
      <c r="Q101" s="628"/>
      <c r="R101" s="628"/>
      <c r="S101" s="628"/>
      <c r="T101" s="628"/>
      <c r="U101" s="628"/>
      <c r="V101" s="628"/>
    </row>
    <row r="102" spans="1:22" s="582" customFormat="1" ht="34.5" customHeight="1" thickBot="1" x14ac:dyDescent="0.25">
      <c r="A102" s="599"/>
      <c r="B102" s="1171" t="s">
        <v>64</v>
      </c>
      <c r="C102" s="1172"/>
      <c r="D102" s="1172"/>
      <c r="E102" s="1172"/>
      <c r="F102" s="1172"/>
      <c r="G102" s="1172"/>
      <c r="H102" s="1173"/>
      <c r="I102" s="600">
        <f>SUM(I95:I101)</f>
        <v>433140.4</v>
      </c>
      <c r="J102" s="600">
        <f>SUM(J95:J101)</f>
        <v>73082.7</v>
      </c>
      <c r="K102" s="600">
        <f>SUM(K95:K101)</f>
        <v>215060.2</v>
      </c>
      <c r="L102" s="600">
        <f>SUM(L95:L101)</f>
        <v>288142.90000000002</v>
      </c>
      <c r="M102" s="628"/>
      <c r="N102" s="628"/>
      <c r="O102" s="628"/>
      <c r="P102" s="628"/>
      <c r="Q102" s="628"/>
      <c r="R102" s="628"/>
      <c r="S102" s="628"/>
      <c r="T102" s="628"/>
      <c r="U102" s="628"/>
      <c r="V102" s="628"/>
    </row>
    <row r="103" spans="1:22" x14ac:dyDescent="0.15">
      <c r="A103" s="500"/>
      <c r="B103" s="500"/>
      <c r="C103" s="501"/>
      <c r="D103" s="500"/>
      <c r="E103" s="500"/>
      <c r="F103" s="500"/>
      <c r="G103" s="500"/>
      <c r="H103" s="500"/>
      <c r="I103" s="500"/>
      <c r="J103" s="500"/>
      <c r="K103" s="500"/>
      <c r="L103" s="500"/>
    </row>
    <row r="104" spans="1:22" x14ac:dyDescent="0.15">
      <c r="A104" s="500"/>
      <c r="B104" s="500"/>
      <c r="C104" s="501"/>
      <c r="D104" s="500"/>
      <c r="E104" s="500"/>
      <c r="F104" s="500"/>
      <c r="G104" s="500"/>
      <c r="H104" s="500"/>
      <c r="I104" s="500"/>
      <c r="J104" s="500"/>
      <c r="K104" s="500"/>
      <c r="L104" s="500"/>
    </row>
    <row r="105" spans="1:22" x14ac:dyDescent="0.15">
      <c r="A105" s="500"/>
      <c r="B105" s="500"/>
      <c r="C105" s="501"/>
      <c r="D105" s="500"/>
      <c r="E105" s="500"/>
      <c r="F105" s="500"/>
      <c r="G105" s="500"/>
      <c r="H105" s="500"/>
      <c r="I105" s="500"/>
      <c r="J105" s="500"/>
      <c r="K105" s="500"/>
      <c r="L105" s="500"/>
    </row>
    <row r="106" spans="1:22" x14ac:dyDescent="0.15">
      <c r="A106" s="500"/>
      <c r="B106" s="500"/>
      <c r="C106" s="501"/>
      <c r="D106" s="500"/>
      <c r="E106" s="500"/>
      <c r="F106" s="500"/>
      <c r="G106" s="500"/>
      <c r="H106" s="500"/>
      <c r="I106" s="500"/>
      <c r="J106" s="500"/>
      <c r="K106" s="500"/>
      <c r="L106" s="500"/>
    </row>
    <row r="107" spans="1:22" x14ac:dyDescent="0.15">
      <c r="A107" s="500"/>
      <c r="B107" s="500"/>
      <c r="C107" s="501"/>
      <c r="D107" s="500"/>
      <c r="E107" s="500"/>
      <c r="F107" s="500"/>
      <c r="G107" s="500"/>
      <c r="H107" s="500"/>
      <c r="I107" s="500"/>
      <c r="J107" s="500"/>
      <c r="K107" s="500"/>
      <c r="L107" s="500"/>
    </row>
    <row r="108" spans="1:22" x14ac:dyDescent="0.15">
      <c r="A108" s="500"/>
      <c r="B108" s="500"/>
      <c r="C108" s="501"/>
      <c r="D108" s="500"/>
      <c r="E108" s="500"/>
      <c r="F108" s="500"/>
      <c r="G108" s="500"/>
      <c r="H108" s="500"/>
      <c r="I108" s="500"/>
      <c r="J108" s="500"/>
      <c r="K108" s="500"/>
      <c r="L108" s="500"/>
    </row>
    <row r="109" spans="1:22" x14ac:dyDescent="0.15">
      <c r="A109" s="500"/>
      <c r="B109" s="500"/>
      <c r="C109" s="501"/>
      <c r="D109" s="500"/>
      <c r="E109" s="500"/>
      <c r="F109" s="500"/>
      <c r="G109" s="500"/>
      <c r="H109" s="500"/>
      <c r="I109" s="500"/>
      <c r="J109" s="500"/>
      <c r="K109" s="500"/>
      <c r="L109" s="500"/>
    </row>
    <row r="110" spans="1:22" x14ac:dyDescent="0.15">
      <c r="A110" s="500"/>
      <c r="B110" s="500"/>
      <c r="C110" s="501"/>
      <c r="D110" s="500"/>
      <c r="E110" s="500"/>
      <c r="F110" s="500"/>
      <c r="G110" s="500"/>
      <c r="H110" s="500"/>
      <c r="I110" s="500"/>
      <c r="J110" s="500"/>
      <c r="K110" s="500"/>
      <c r="L110" s="500"/>
    </row>
    <row r="111" spans="1:22" x14ac:dyDescent="0.15">
      <c r="A111" s="500"/>
      <c r="B111" s="500"/>
      <c r="C111" s="501"/>
      <c r="D111" s="500"/>
      <c r="E111" s="500"/>
      <c r="F111" s="500"/>
      <c r="G111" s="500"/>
      <c r="H111" s="500"/>
      <c r="I111" s="500"/>
      <c r="J111" s="500"/>
      <c r="K111" s="500"/>
      <c r="L111" s="500"/>
    </row>
    <row r="112" spans="1:22" x14ac:dyDescent="0.15">
      <c r="A112" s="500"/>
      <c r="B112" s="500"/>
      <c r="C112" s="501"/>
      <c r="D112" s="500"/>
      <c r="E112" s="500"/>
      <c r="F112" s="500"/>
      <c r="G112" s="500"/>
      <c r="H112" s="500"/>
      <c r="I112" s="500"/>
      <c r="J112" s="500"/>
      <c r="K112" s="500"/>
      <c r="L112" s="500"/>
    </row>
    <row r="113" spans="1:12" x14ac:dyDescent="0.15">
      <c r="A113" s="500"/>
      <c r="B113" s="500"/>
      <c r="C113" s="501"/>
      <c r="D113" s="500"/>
      <c r="E113" s="500"/>
      <c r="F113" s="500"/>
      <c r="G113" s="500"/>
      <c r="H113" s="500"/>
      <c r="I113" s="500"/>
      <c r="J113" s="500"/>
      <c r="K113" s="500"/>
      <c r="L113" s="500"/>
    </row>
    <row r="114" spans="1:12" x14ac:dyDescent="0.15">
      <c r="A114" s="500"/>
      <c r="B114" s="500"/>
      <c r="C114" s="501"/>
      <c r="D114" s="500"/>
      <c r="E114" s="500"/>
      <c r="F114" s="500"/>
      <c r="G114" s="500"/>
      <c r="H114" s="500"/>
      <c r="I114" s="500"/>
      <c r="J114" s="500"/>
      <c r="K114" s="500"/>
      <c r="L114" s="500"/>
    </row>
    <row r="115" spans="1:12" x14ac:dyDescent="0.15">
      <c r="A115" s="500"/>
      <c r="B115" s="500"/>
      <c r="C115" s="501"/>
      <c r="D115" s="500"/>
      <c r="E115" s="500"/>
      <c r="F115" s="500"/>
      <c r="G115" s="500"/>
      <c r="H115" s="500"/>
      <c r="I115" s="500"/>
      <c r="J115" s="500"/>
      <c r="K115" s="500"/>
      <c r="L115" s="500"/>
    </row>
    <row r="116" spans="1:12" x14ac:dyDescent="0.15">
      <c r="A116" s="500"/>
      <c r="B116" s="500"/>
      <c r="C116" s="501"/>
      <c r="D116" s="500"/>
      <c r="E116" s="500"/>
      <c r="F116" s="500"/>
      <c r="G116" s="500"/>
      <c r="H116" s="500"/>
      <c r="I116" s="500"/>
      <c r="J116" s="500"/>
      <c r="K116" s="500"/>
      <c r="L116" s="500"/>
    </row>
    <row r="117" spans="1:12" x14ac:dyDescent="0.15">
      <c r="A117" s="500"/>
      <c r="B117" s="500"/>
      <c r="C117" s="501"/>
      <c r="D117" s="500"/>
      <c r="E117" s="500"/>
      <c r="F117" s="500"/>
      <c r="G117" s="500"/>
      <c r="H117" s="500"/>
      <c r="I117" s="500"/>
      <c r="J117" s="500"/>
      <c r="K117" s="500"/>
      <c r="L117" s="500"/>
    </row>
    <row r="118" spans="1:12" x14ac:dyDescent="0.15">
      <c r="A118" s="500"/>
      <c r="B118" s="500"/>
      <c r="C118" s="501"/>
      <c r="D118" s="500"/>
      <c r="E118" s="500"/>
      <c r="F118" s="500"/>
      <c r="G118" s="500"/>
      <c r="H118" s="500"/>
      <c r="I118" s="500"/>
      <c r="J118" s="500"/>
      <c r="K118" s="500"/>
      <c r="L118" s="500"/>
    </row>
    <row r="119" spans="1:12" x14ac:dyDescent="0.15">
      <c r="A119" s="500"/>
      <c r="B119" s="500"/>
      <c r="C119" s="501"/>
      <c r="D119" s="500"/>
      <c r="E119" s="500"/>
      <c r="F119" s="500"/>
      <c r="G119" s="500"/>
      <c r="H119" s="500"/>
      <c r="I119" s="500"/>
      <c r="J119" s="500"/>
      <c r="K119" s="500"/>
      <c r="L119" s="500"/>
    </row>
    <row r="120" spans="1:12" x14ac:dyDescent="0.15">
      <c r="A120" s="500"/>
      <c r="B120" s="500"/>
      <c r="C120" s="501"/>
      <c r="D120" s="500"/>
      <c r="E120" s="500"/>
      <c r="F120" s="500"/>
      <c r="G120" s="500"/>
      <c r="H120" s="500"/>
      <c r="I120" s="500"/>
      <c r="J120" s="500"/>
      <c r="K120" s="500"/>
      <c r="L120" s="500"/>
    </row>
    <row r="121" spans="1:12" x14ac:dyDescent="0.15">
      <c r="A121" s="500"/>
      <c r="B121" s="500"/>
      <c r="C121" s="501"/>
      <c r="D121" s="500"/>
      <c r="E121" s="500"/>
      <c r="F121" s="500"/>
      <c r="G121" s="500"/>
      <c r="H121" s="500"/>
      <c r="I121" s="500"/>
      <c r="J121" s="500"/>
      <c r="K121" s="500"/>
      <c r="L121" s="500"/>
    </row>
    <row r="122" spans="1:12" x14ac:dyDescent="0.15">
      <c r="A122" s="500"/>
      <c r="B122" s="500"/>
      <c r="C122" s="501"/>
      <c r="D122" s="500"/>
      <c r="E122" s="500"/>
      <c r="F122" s="500"/>
      <c r="G122" s="500"/>
      <c r="H122" s="500"/>
      <c r="I122" s="500"/>
      <c r="J122" s="500"/>
      <c r="K122" s="500"/>
      <c r="L122" s="500"/>
    </row>
    <row r="123" spans="1:12" x14ac:dyDescent="0.15">
      <c r="A123" s="500"/>
      <c r="B123" s="500"/>
      <c r="C123" s="501"/>
      <c r="D123" s="500"/>
      <c r="E123" s="500"/>
      <c r="F123" s="500"/>
      <c r="G123" s="500"/>
      <c r="H123" s="500"/>
      <c r="I123" s="500"/>
      <c r="J123" s="500"/>
      <c r="K123" s="500"/>
      <c r="L123" s="500"/>
    </row>
    <row r="124" spans="1:12" x14ac:dyDescent="0.15">
      <c r="A124" s="500"/>
      <c r="B124" s="500"/>
      <c r="C124" s="501"/>
      <c r="D124" s="500"/>
      <c r="E124" s="500"/>
      <c r="F124" s="500"/>
      <c r="G124" s="500"/>
      <c r="H124" s="500"/>
      <c r="I124" s="500"/>
      <c r="J124" s="500"/>
      <c r="K124" s="500"/>
      <c r="L124" s="500"/>
    </row>
    <row r="125" spans="1:12" x14ac:dyDescent="0.15">
      <c r="A125" s="500"/>
      <c r="B125" s="500"/>
      <c r="C125" s="501"/>
      <c r="D125" s="500"/>
      <c r="E125" s="500"/>
      <c r="F125" s="500"/>
      <c r="G125" s="500"/>
      <c r="H125" s="500"/>
      <c r="I125" s="500"/>
      <c r="J125" s="500"/>
      <c r="K125" s="500"/>
      <c r="L125" s="500"/>
    </row>
    <row r="126" spans="1:12" x14ac:dyDescent="0.15">
      <c r="A126" s="500"/>
      <c r="B126" s="500"/>
      <c r="C126" s="501"/>
      <c r="D126" s="500"/>
      <c r="E126" s="500"/>
      <c r="F126" s="500"/>
      <c r="G126" s="500"/>
      <c r="H126" s="500"/>
      <c r="I126" s="500"/>
      <c r="J126" s="500"/>
      <c r="K126" s="500"/>
      <c r="L126" s="500"/>
    </row>
    <row r="127" spans="1:12" x14ac:dyDescent="0.15">
      <c r="A127" s="500"/>
      <c r="B127" s="500"/>
      <c r="C127" s="501"/>
      <c r="D127" s="500"/>
      <c r="E127" s="500"/>
      <c r="F127" s="500"/>
      <c r="G127" s="500"/>
      <c r="H127" s="500"/>
      <c r="I127" s="500"/>
      <c r="J127" s="500"/>
      <c r="K127" s="500"/>
      <c r="L127" s="500"/>
    </row>
    <row r="128" spans="1:12" x14ac:dyDescent="0.15">
      <c r="A128" s="500"/>
      <c r="B128" s="500"/>
      <c r="C128" s="501"/>
      <c r="D128" s="500"/>
      <c r="E128" s="500"/>
      <c r="F128" s="500"/>
      <c r="G128" s="500"/>
      <c r="H128" s="500"/>
      <c r="I128" s="500"/>
      <c r="J128" s="500"/>
      <c r="K128" s="500"/>
      <c r="L128" s="500"/>
    </row>
    <row r="129" spans="1:12" x14ac:dyDescent="0.15">
      <c r="A129" s="500"/>
      <c r="B129" s="500"/>
      <c r="C129" s="501"/>
      <c r="D129" s="500"/>
      <c r="E129" s="500"/>
      <c r="F129" s="500"/>
      <c r="G129" s="500"/>
      <c r="H129" s="500"/>
      <c r="I129" s="500"/>
      <c r="J129" s="500"/>
      <c r="K129" s="500"/>
      <c r="L129" s="500"/>
    </row>
    <row r="130" spans="1:12" x14ac:dyDescent="0.15">
      <c r="A130" s="500"/>
      <c r="B130" s="500"/>
      <c r="C130" s="501"/>
      <c r="D130" s="500"/>
      <c r="E130" s="500"/>
      <c r="F130" s="500"/>
      <c r="G130" s="500"/>
      <c r="H130" s="500"/>
      <c r="I130" s="500"/>
      <c r="J130" s="500"/>
      <c r="K130" s="500"/>
      <c r="L130" s="500"/>
    </row>
    <row r="131" spans="1:12" x14ac:dyDescent="0.15">
      <c r="A131" s="500"/>
      <c r="B131" s="500"/>
      <c r="C131" s="501"/>
      <c r="D131" s="500"/>
      <c r="E131" s="500"/>
      <c r="F131" s="500"/>
      <c r="G131" s="500"/>
      <c r="H131" s="500"/>
      <c r="I131" s="500"/>
      <c r="J131" s="500"/>
      <c r="K131" s="500"/>
      <c r="L131" s="500"/>
    </row>
    <row r="132" spans="1:12" x14ac:dyDescent="0.15">
      <c r="A132" s="500"/>
      <c r="B132" s="500"/>
      <c r="C132" s="501"/>
      <c r="D132" s="500"/>
      <c r="E132" s="500"/>
      <c r="F132" s="500"/>
      <c r="G132" s="500"/>
      <c r="H132" s="500"/>
      <c r="I132" s="500"/>
      <c r="J132" s="500"/>
      <c r="K132" s="500"/>
      <c r="L132" s="500"/>
    </row>
    <row r="133" spans="1:12" x14ac:dyDescent="0.15">
      <c r="A133" s="500"/>
      <c r="B133" s="500"/>
      <c r="C133" s="501"/>
      <c r="D133" s="500"/>
      <c r="E133" s="500"/>
      <c r="F133" s="500"/>
      <c r="G133" s="500"/>
      <c r="H133" s="500"/>
      <c r="I133" s="500"/>
      <c r="J133" s="500"/>
      <c r="K133" s="500"/>
      <c r="L133" s="500"/>
    </row>
    <row r="134" spans="1:12" x14ac:dyDescent="0.15">
      <c r="A134" s="500"/>
      <c r="B134" s="500"/>
      <c r="C134" s="501"/>
      <c r="D134" s="500"/>
      <c r="E134" s="500"/>
      <c r="F134" s="500"/>
      <c r="G134" s="500"/>
      <c r="H134" s="500"/>
      <c r="I134" s="500"/>
      <c r="J134" s="500"/>
      <c r="K134" s="500"/>
      <c r="L134" s="500"/>
    </row>
    <row r="135" spans="1:12" x14ac:dyDescent="0.15">
      <c r="A135" s="500"/>
      <c r="B135" s="500"/>
      <c r="C135" s="501"/>
      <c r="D135" s="500"/>
      <c r="E135" s="500"/>
      <c r="F135" s="500"/>
      <c r="G135" s="500"/>
      <c r="H135" s="500"/>
      <c r="I135" s="500"/>
      <c r="J135" s="500"/>
      <c r="K135" s="500"/>
      <c r="L135" s="500"/>
    </row>
    <row r="136" spans="1:12" x14ac:dyDescent="0.15">
      <c r="A136" s="500"/>
      <c r="B136" s="500"/>
      <c r="C136" s="501"/>
      <c r="D136" s="500"/>
      <c r="E136" s="500"/>
      <c r="F136" s="500"/>
      <c r="G136" s="500"/>
      <c r="H136" s="500"/>
      <c r="I136" s="500"/>
      <c r="J136" s="500"/>
      <c r="K136" s="500"/>
      <c r="L136" s="500"/>
    </row>
    <row r="137" spans="1:12" x14ac:dyDescent="0.15">
      <c r="A137" s="500"/>
      <c r="B137" s="500"/>
      <c r="C137" s="501"/>
      <c r="D137" s="500"/>
      <c r="E137" s="500"/>
      <c r="F137" s="500"/>
      <c r="G137" s="500"/>
      <c r="H137" s="500"/>
      <c r="I137" s="500"/>
      <c r="J137" s="500"/>
      <c r="K137" s="500"/>
      <c r="L137" s="500"/>
    </row>
    <row r="138" spans="1:12" x14ac:dyDescent="0.15">
      <c r="A138" s="500"/>
      <c r="B138" s="500"/>
      <c r="C138" s="501"/>
      <c r="D138" s="500"/>
      <c r="E138" s="500"/>
      <c r="F138" s="500"/>
      <c r="G138" s="500"/>
      <c r="H138" s="500"/>
      <c r="I138" s="500"/>
      <c r="J138" s="500"/>
      <c r="K138" s="500"/>
      <c r="L138" s="500"/>
    </row>
    <row r="139" spans="1:12" x14ac:dyDescent="0.15">
      <c r="A139" s="500"/>
      <c r="B139" s="500"/>
      <c r="C139" s="501"/>
      <c r="D139" s="500"/>
      <c r="E139" s="500"/>
      <c r="F139" s="500"/>
      <c r="G139" s="500"/>
      <c r="H139" s="500"/>
      <c r="I139" s="500"/>
      <c r="J139" s="500"/>
      <c r="K139" s="500"/>
      <c r="L139" s="500"/>
    </row>
    <row r="140" spans="1:12" x14ac:dyDescent="0.15">
      <c r="A140" s="500"/>
      <c r="B140" s="500"/>
      <c r="C140" s="501"/>
      <c r="D140" s="500"/>
      <c r="E140" s="500"/>
      <c r="F140" s="500"/>
      <c r="G140" s="500"/>
      <c r="H140" s="500"/>
      <c r="I140" s="500"/>
      <c r="J140" s="500"/>
      <c r="K140" s="500"/>
      <c r="L140" s="500"/>
    </row>
    <row r="141" spans="1:12" x14ac:dyDescent="0.15">
      <c r="A141" s="500"/>
      <c r="B141" s="500"/>
      <c r="C141" s="501"/>
      <c r="D141" s="500"/>
      <c r="E141" s="500"/>
      <c r="F141" s="500"/>
      <c r="G141" s="500"/>
      <c r="H141" s="500"/>
      <c r="I141" s="500"/>
      <c r="J141" s="500"/>
      <c r="K141" s="500"/>
      <c r="L141" s="500"/>
    </row>
    <row r="142" spans="1:12" x14ac:dyDescent="0.15">
      <c r="A142" s="500"/>
      <c r="B142" s="500"/>
      <c r="C142" s="501"/>
      <c r="D142" s="500"/>
      <c r="E142" s="500"/>
      <c r="F142" s="500"/>
      <c r="G142" s="500"/>
      <c r="H142" s="500"/>
      <c r="I142" s="500"/>
      <c r="J142" s="500"/>
      <c r="K142" s="500"/>
      <c r="L142" s="500"/>
    </row>
    <row r="143" spans="1:12" x14ac:dyDescent="0.15">
      <c r="A143" s="500"/>
      <c r="B143" s="500"/>
      <c r="C143" s="501"/>
      <c r="D143" s="500"/>
      <c r="E143" s="500"/>
      <c r="F143" s="500"/>
      <c r="G143" s="500"/>
      <c r="H143" s="500"/>
      <c r="I143" s="500"/>
      <c r="J143" s="500"/>
      <c r="K143" s="500"/>
      <c r="L143" s="500"/>
    </row>
  </sheetData>
  <mergeCells count="48">
    <mergeCell ref="A2:A4"/>
    <mergeCell ref="B2:B4"/>
    <mergeCell ref="B58:H58"/>
    <mergeCell ref="C40:C42"/>
    <mergeCell ref="C2:C4"/>
    <mergeCell ref="A40:A42"/>
    <mergeCell ref="D2:F2"/>
    <mergeCell ref="G2:G4"/>
    <mergeCell ref="B102:H102"/>
    <mergeCell ref="B67:H67"/>
    <mergeCell ref="B75:H75"/>
    <mergeCell ref="B92:H92"/>
    <mergeCell ref="H40:H42"/>
    <mergeCell ref="D41:D42"/>
    <mergeCell ref="B40:B42"/>
    <mergeCell ref="E41:F41"/>
    <mergeCell ref="B63:H63"/>
    <mergeCell ref="B1:K1"/>
    <mergeCell ref="I40:K40"/>
    <mergeCell ref="H2:H4"/>
    <mergeCell ref="E3:F3"/>
    <mergeCell ref="B37:H37"/>
    <mergeCell ref="D3:D4"/>
    <mergeCell ref="J3:K3"/>
    <mergeCell ref="I3:I4"/>
    <mergeCell ref="I2:K2"/>
    <mergeCell ref="G40:G42"/>
    <mergeCell ref="L3:L4"/>
    <mergeCell ref="B39:K39"/>
    <mergeCell ref="D40:F40"/>
    <mergeCell ref="I41:I42"/>
    <mergeCell ref="J41:K41"/>
    <mergeCell ref="B14:H14"/>
    <mergeCell ref="B33:H33"/>
    <mergeCell ref="L41:L42"/>
    <mergeCell ref="I78:I79"/>
    <mergeCell ref="J78:K78"/>
    <mergeCell ref="L78:L79"/>
    <mergeCell ref="B76:K76"/>
    <mergeCell ref="A77:A79"/>
    <mergeCell ref="B77:B79"/>
    <mergeCell ref="C77:C79"/>
    <mergeCell ref="D77:F77"/>
    <mergeCell ref="G77:G79"/>
    <mergeCell ref="H77:H79"/>
    <mergeCell ref="I77:K77"/>
    <mergeCell ref="D78:D79"/>
    <mergeCell ref="E78:F78"/>
  </mergeCells>
  <pageMargins left="0.26" right="0.17" top="0.47" bottom="0.48" header="0.3" footer="0.3"/>
  <pageSetup paperSize="9" scale="62" orientation="landscape" r:id="rId1"/>
  <headerFooter>
    <oddHeader>&amp;C&amp;18BRIGHT CONSTRUCTION PLC</oddHeader>
    <oddFooter>&amp;LContractor________________&amp;RSupervisor________________</oddFooter>
  </headerFooter>
  <rowBreaks count="2" manualBreakCount="2">
    <brk id="38" max="11" man="1"/>
    <brk id="75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Certificate</vt:lpstr>
      <vt:lpstr>summary</vt:lpstr>
      <vt:lpstr>Material on site</vt:lpstr>
      <vt:lpstr>SUMERY OF EACH</vt:lpstr>
      <vt:lpstr>WORK MESUREMENT OPD</vt:lpstr>
      <vt:lpstr>waiting</vt:lpstr>
      <vt:lpstr>WORK MES IPD</vt:lpstr>
      <vt:lpstr>WORK MES OR</vt:lpstr>
      <vt:lpstr>EMERGENCY</vt:lpstr>
      <vt:lpstr>Adminstration</vt:lpstr>
      <vt:lpstr>DIAGONSTIC</vt:lpstr>
      <vt:lpstr>Staff</vt:lpstr>
      <vt:lpstr>service q</vt:lpstr>
      <vt:lpstr>Gener</vt:lpstr>
      <vt:lpstr>Transformer</vt:lpstr>
      <vt:lpstr>Kitchen</vt:lpstr>
      <vt:lpstr>store</vt:lpstr>
      <vt:lpstr>Guard</vt:lpstr>
      <vt:lpstr>civil</vt:lpstr>
      <vt:lpstr>Sheet1</vt:lpstr>
      <vt:lpstr>Adminstration!Print_Area</vt:lpstr>
      <vt:lpstr>Certificate!Print_Area</vt:lpstr>
      <vt:lpstr>civil!Print_Area</vt:lpstr>
      <vt:lpstr>DIAGONSTIC!Print_Area</vt:lpstr>
      <vt:lpstr>EMERGENCY!Print_Area</vt:lpstr>
      <vt:lpstr>Gener!Print_Area</vt:lpstr>
      <vt:lpstr>Guard!Print_Area</vt:lpstr>
      <vt:lpstr>Kitchen!Print_Area</vt:lpstr>
      <vt:lpstr>service q!Print_Area</vt:lpstr>
      <vt:lpstr>Staff!Print_Area</vt:lpstr>
      <vt:lpstr>store!Print_Area</vt:lpstr>
      <vt:lpstr>SUMERY OF EACH!Print_Area</vt:lpstr>
      <vt:lpstr>summary!Print_Area</vt:lpstr>
      <vt:lpstr>Transformer!Print_Area</vt:lpstr>
      <vt:lpstr>waiting!Print_Area</vt:lpstr>
      <vt:lpstr>WORK MES IPD!Print_Area</vt:lpstr>
      <vt:lpstr>WORK MES OR!Print_Area</vt:lpstr>
      <vt:lpstr>WORK MESUREMENT OPD!Print_Area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X</cp:lastModifiedBy>
  <cp:lastPrinted>2015-06-30T06:17:11Z</cp:lastPrinted>
  <dcterms:created xsi:type="dcterms:W3CDTF">2012-02-24T11:42:09Z</dcterms:created>
  <dcterms:modified xsi:type="dcterms:W3CDTF">2023-03-01T17:47:34Z</dcterms:modified>
</cp:coreProperties>
</file>