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nss-capstone\data\"/>
    </mc:Choice>
  </mc:AlternateContent>
  <xr:revisionPtr revIDLastSave="0" documentId="13_ncr:1_{62B125C2-1C65-411B-A604-C7F7D605FD00}" xr6:coauthVersionLast="44" xr6:coauthVersionMax="44" xr10:uidLastSave="{00000000-0000-0000-0000-000000000000}"/>
  <bookViews>
    <workbookView xWindow="-96" yWindow="-96" windowWidth="23232" windowHeight="12552" activeTab="3" xr2:uid="{A0544397-134C-4C61-AE87-6E75F9DBCE4D}"/>
  </bookViews>
  <sheets>
    <sheet name="Comparison of AG% of BQs" sheetId="3" r:id="rId1"/>
    <sheet name="BQs_over_time_AG20" sheetId="2" r:id="rId2"/>
    <sheet name="Age Maxes" sheetId="4" r:id="rId3"/>
    <sheet name="2020_Road Weights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BQs_over_time_AG20!$A$5:$AG$73</definedName>
    <definedName name="bos_09_total" localSheetId="3">[1]basic_metrics_by_race!$B$4</definedName>
    <definedName name="bos_09_total" localSheetId="1">[1]basic_metrics_by_race!$B$4</definedName>
    <definedName name="bos_09_total">[2]basic_metrics_by_race!$B$4</definedName>
    <definedName name="bos_19_total" localSheetId="3">[1]basic_metrics_by_race!$J$4</definedName>
    <definedName name="bos_19_total" localSheetId="1">[1]basic_metrics_by_race!$J$4</definedName>
    <definedName name="bos_19_total">[2]basic_metrics_by_race!$J$4</definedName>
    <definedName name="bos_combo_total" localSheetId="3">[1]basic_metrics_by_race!$R$4</definedName>
    <definedName name="bos_combo_total" localSheetId="1">[1]basic_metrics_by_race!$R$4</definedName>
    <definedName name="bos_combo_total">[2]basic_metrics_by_race!$R$4</definedName>
    <definedName name="Events" localSheetId="3">'2020_Road Weights'!$C$2:$C$2</definedName>
    <definedName name="Events">#REF!</definedName>
    <definedName name="F_OS_15">[3]Age_Factors!$M$12</definedName>
    <definedName name="F_OS_20">[3]Age_Factors!$L$12</definedName>
    <definedName name="M_OS_15">[3]Age_Factors!$M$13</definedName>
    <definedName name="M_OS_20">[3]Age_Factors!$L$13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E3" i="1"/>
  <c r="E2" i="1"/>
  <c r="C13" i="4" l="1"/>
  <c r="C12" i="4"/>
  <c r="C11" i="4"/>
  <c r="C10" i="4"/>
  <c r="C9" i="4"/>
  <c r="C8" i="4"/>
  <c r="C7" i="4"/>
  <c r="C6" i="4"/>
  <c r="C5" i="4"/>
  <c r="C4" i="4"/>
  <c r="B13" i="4"/>
  <c r="B12" i="4"/>
  <c r="B11" i="4"/>
  <c r="B10" i="4"/>
  <c r="B9" i="4"/>
  <c r="B8" i="4"/>
  <c r="B7" i="4"/>
  <c r="B6" i="4"/>
  <c r="B5" i="4"/>
  <c r="B4" i="4"/>
  <c r="R67" i="2" l="1"/>
  <c r="S67" i="2" s="1"/>
  <c r="M63" i="2"/>
  <c r="N63" i="2" s="1"/>
  <c r="M62" i="2"/>
  <c r="N62" i="2" s="1"/>
  <c r="H58" i="2"/>
  <c r="I58" i="2" s="1"/>
  <c r="R57" i="2"/>
  <c r="S57" i="2" s="1"/>
  <c r="M53" i="2"/>
  <c r="N53" i="2" s="1"/>
  <c r="M52" i="2"/>
  <c r="N52" i="2" s="1"/>
  <c r="M48" i="2"/>
  <c r="N48" i="2" s="1"/>
  <c r="M47" i="2"/>
  <c r="N47" i="2" s="1"/>
  <c r="R44" i="2"/>
  <c r="S44" i="2" s="1"/>
  <c r="R43" i="2"/>
  <c r="S43" i="2" s="1"/>
  <c r="M38" i="2"/>
  <c r="N38" i="2" s="1"/>
  <c r="M37" i="2"/>
  <c r="N37" i="2" s="1"/>
  <c r="M33" i="2"/>
  <c r="N33" i="2" s="1"/>
  <c r="R32" i="2"/>
  <c r="S32" i="2" s="1"/>
  <c r="R27" i="2"/>
  <c r="S27" i="2" s="1"/>
  <c r="M22" i="2"/>
  <c r="N22" i="2" s="1"/>
  <c r="Z68" i="2"/>
  <c r="AA68" i="2" s="1"/>
  <c r="AE67" i="2"/>
  <c r="AF67" i="2" s="1"/>
  <c r="AE63" i="2"/>
  <c r="AF63" i="2" s="1"/>
  <c r="AJ62" i="2"/>
  <c r="AK62" i="2" s="1"/>
  <c r="AJ58" i="2"/>
  <c r="AK58" i="2" s="1"/>
  <c r="AJ57" i="2"/>
  <c r="AK57" i="2" s="1"/>
  <c r="AE53" i="2"/>
  <c r="AF53" i="2" s="1"/>
  <c r="Z52" i="2"/>
  <c r="AA52" i="2" s="1"/>
  <c r="AE48" i="2"/>
  <c r="AF48" i="2" s="1"/>
  <c r="AE47" i="2"/>
  <c r="AF47" i="2" s="1"/>
  <c r="AJ44" i="2"/>
  <c r="AK44" i="2" s="1"/>
  <c r="Z43" i="2"/>
  <c r="AA43" i="2" s="1"/>
  <c r="Z38" i="2"/>
  <c r="AA38" i="2" s="1"/>
  <c r="AJ37" i="2"/>
  <c r="AK37" i="2" s="1"/>
  <c r="Z33" i="2"/>
  <c r="AA33" i="2" s="1"/>
  <c r="AE32" i="2"/>
  <c r="AF32" i="2" s="1"/>
  <c r="AE28" i="2"/>
  <c r="AF28" i="2" s="1"/>
  <c r="AJ27" i="2"/>
  <c r="AK27" i="2" s="1"/>
  <c r="AJ22" i="2"/>
  <c r="AK22" i="2" s="1"/>
  <c r="U6" i="2"/>
  <c r="AJ6" i="2" s="1"/>
  <c r="AK6" i="2" s="1"/>
  <c r="T6" i="2"/>
  <c r="C6" i="2"/>
  <c r="M6" i="2" s="1"/>
  <c r="N6" i="2" s="1"/>
  <c r="B6" i="2"/>
  <c r="AP72" i="2"/>
  <c r="AO72" i="2"/>
  <c r="AN72" i="2"/>
  <c r="AM72" i="2"/>
  <c r="AL72" i="2"/>
  <c r="AH72" i="2"/>
  <c r="AC72" i="2"/>
  <c r="X72" i="2"/>
  <c r="AE72" i="2"/>
  <c r="AF72" i="2" s="1"/>
  <c r="P72" i="2"/>
  <c r="K72" i="2"/>
  <c r="F72" i="2"/>
  <c r="M72" i="2"/>
  <c r="N72" i="2" s="1"/>
  <c r="AP71" i="2"/>
  <c r="AO71" i="2"/>
  <c r="AN71" i="2"/>
  <c r="AM71" i="2"/>
  <c r="AL71" i="2"/>
  <c r="AH71" i="2"/>
  <c r="AC71" i="2"/>
  <c r="X71" i="2"/>
  <c r="AE71" i="2"/>
  <c r="AF71" i="2" s="1"/>
  <c r="P71" i="2"/>
  <c r="K71" i="2"/>
  <c r="F71" i="2"/>
  <c r="M71" i="2"/>
  <c r="N71" i="2" s="1"/>
  <c r="AP70" i="2"/>
  <c r="AO70" i="2"/>
  <c r="AN70" i="2"/>
  <c r="AM70" i="2"/>
  <c r="AL70" i="2"/>
  <c r="AH70" i="2"/>
  <c r="AC70" i="2"/>
  <c r="X70" i="2"/>
  <c r="AE70" i="2"/>
  <c r="AF70" i="2" s="1"/>
  <c r="P70" i="2"/>
  <c r="K70" i="2"/>
  <c r="F70" i="2"/>
  <c r="M70" i="2"/>
  <c r="N70" i="2" s="1"/>
  <c r="AP69" i="2"/>
  <c r="AO69" i="2"/>
  <c r="AN69" i="2"/>
  <c r="AM69" i="2"/>
  <c r="AL69" i="2"/>
  <c r="AH69" i="2"/>
  <c r="AC69" i="2"/>
  <c r="X69" i="2"/>
  <c r="AE69" i="2"/>
  <c r="AF69" i="2" s="1"/>
  <c r="P69" i="2"/>
  <c r="K69" i="2"/>
  <c r="F69" i="2"/>
  <c r="M69" i="2"/>
  <c r="N69" i="2" s="1"/>
  <c r="AP68" i="2"/>
  <c r="AO68" i="2"/>
  <c r="AN68" i="2"/>
  <c r="AM68" i="2"/>
  <c r="AL68" i="2"/>
  <c r="AJ68" i="2"/>
  <c r="AK68" i="2" s="1"/>
  <c r="AH68" i="2"/>
  <c r="AC68" i="2"/>
  <c r="X68" i="2"/>
  <c r="AE68" i="2"/>
  <c r="AF68" i="2" s="1"/>
  <c r="P68" i="2"/>
  <c r="K68" i="2"/>
  <c r="F68" i="2"/>
  <c r="AP67" i="2"/>
  <c r="AO67" i="2"/>
  <c r="AN67" i="2"/>
  <c r="AM67" i="2"/>
  <c r="AL67" i="2"/>
  <c r="AH67" i="2"/>
  <c r="AC67" i="2"/>
  <c r="X67" i="2"/>
  <c r="P67" i="2"/>
  <c r="K67" i="2"/>
  <c r="F67" i="2"/>
  <c r="AP66" i="2"/>
  <c r="AO66" i="2"/>
  <c r="AN66" i="2"/>
  <c r="AM66" i="2"/>
  <c r="AL66" i="2"/>
  <c r="AH66" i="2"/>
  <c r="AC66" i="2"/>
  <c r="X66" i="2"/>
  <c r="AJ66" i="2"/>
  <c r="AK66" i="2" s="1"/>
  <c r="P66" i="2"/>
  <c r="K66" i="2"/>
  <c r="F66" i="2"/>
  <c r="M66" i="2"/>
  <c r="N66" i="2" s="1"/>
  <c r="AP65" i="2"/>
  <c r="AO65" i="2"/>
  <c r="AN65" i="2"/>
  <c r="AM65" i="2"/>
  <c r="AL65" i="2"/>
  <c r="AH65" i="2"/>
  <c r="AC65" i="2"/>
  <c r="X65" i="2"/>
  <c r="AE65" i="2"/>
  <c r="AF65" i="2" s="1"/>
  <c r="P65" i="2"/>
  <c r="K65" i="2"/>
  <c r="F65" i="2"/>
  <c r="R65" i="2"/>
  <c r="S65" i="2" s="1"/>
  <c r="AP64" i="2"/>
  <c r="AO64" i="2"/>
  <c r="AN64" i="2"/>
  <c r="AM64" i="2"/>
  <c r="AL64" i="2"/>
  <c r="AH64" i="2"/>
  <c r="AC64" i="2"/>
  <c r="X64" i="2"/>
  <c r="AE64" i="2"/>
  <c r="AF64" i="2" s="1"/>
  <c r="R64" i="2"/>
  <c r="S64" i="2" s="1"/>
  <c r="P64" i="2"/>
  <c r="K64" i="2"/>
  <c r="F64" i="2"/>
  <c r="M64" i="2"/>
  <c r="N64" i="2" s="1"/>
  <c r="AP63" i="2"/>
  <c r="AO63" i="2"/>
  <c r="AN63" i="2"/>
  <c r="AM63" i="2"/>
  <c r="AL63" i="2"/>
  <c r="AH63" i="2"/>
  <c r="AC63" i="2"/>
  <c r="X63" i="2"/>
  <c r="P63" i="2"/>
  <c r="K63" i="2"/>
  <c r="F63" i="2"/>
  <c r="AP62" i="2"/>
  <c r="AO62" i="2"/>
  <c r="AN62" i="2"/>
  <c r="AM62" i="2"/>
  <c r="AL62" i="2"/>
  <c r="AH62" i="2"/>
  <c r="AC62" i="2"/>
  <c r="X62" i="2"/>
  <c r="AE62" i="2"/>
  <c r="AF62" i="2" s="1"/>
  <c r="P62" i="2"/>
  <c r="K62" i="2"/>
  <c r="F62" i="2"/>
  <c r="AP61" i="2"/>
  <c r="AO61" i="2"/>
  <c r="AN61" i="2"/>
  <c r="AM61" i="2"/>
  <c r="AL61" i="2"/>
  <c r="AH61" i="2"/>
  <c r="AC61" i="2"/>
  <c r="X61" i="2"/>
  <c r="AE61" i="2"/>
  <c r="AF61" i="2" s="1"/>
  <c r="P61" i="2"/>
  <c r="K61" i="2"/>
  <c r="F61" i="2"/>
  <c r="M61" i="2"/>
  <c r="N61" i="2" s="1"/>
  <c r="AP60" i="2"/>
  <c r="AO60" i="2"/>
  <c r="AN60" i="2"/>
  <c r="AM60" i="2"/>
  <c r="AL60" i="2"/>
  <c r="AH60" i="2"/>
  <c r="AC60" i="2"/>
  <c r="X60" i="2"/>
  <c r="AE60" i="2"/>
  <c r="AF60" i="2" s="1"/>
  <c r="P60" i="2"/>
  <c r="K60" i="2"/>
  <c r="F60" i="2"/>
  <c r="M60" i="2"/>
  <c r="N60" i="2" s="1"/>
  <c r="AP59" i="2"/>
  <c r="AO59" i="2"/>
  <c r="AN59" i="2"/>
  <c r="AM59" i="2"/>
  <c r="AL59" i="2"/>
  <c r="AH59" i="2"/>
  <c r="AC59" i="2"/>
  <c r="X59" i="2"/>
  <c r="AE59" i="2"/>
  <c r="AF59" i="2" s="1"/>
  <c r="P59" i="2"/>
  <c r="K59" i="2"/>
  <c r="F59" i="2"/>
  <c r="R59" i="2"/>
  <c r="S59" i="2" s="1"/>
  <c r="AP58" i="2"/>
  <c r="AO58" i="2"/>
  <c r="AN58" i="2"/>
  <c r="AM58" i="2"/>
  <c r="AL58" i="2"/>
  <c r="AH58" i="2"/>
  <c r="AC58" i="2"/>
  <c r="X58" i="2"/>
  <c r="P58" i="2"/>
  <c r="K58" i="2"/>
  <c r="F58" i="2"/>
  <c r="AP57" i="2"/>
  <c r="AO57" i="2"/>
  <c r="AN57" i="2"/>
  <c r="AM57" i="2"/>
  <c r="AL57" i="2"/>
  <c r="AH57" i="2"/>
  <c r="AC57" i="2"/>
  <c r="X57" i="2"/>
  <c r="P57" i="2"/>
  <c r="K57" i="2"/>
  <c r="F57" i="2"/>
  <c r="AP56" i="2"/>
  <c r="AO56" i="2"/>
  <c r="AN56" i="2"/>
  <c r="AM56" i="2"/>
  <c r="AL56" i="2"/>
  <c r="AH56" i="2"/>
  <c r="AC56" i="2"/>
  <c r="X56" i="2"/>
  <c r="AE56" i="2"/>
  <c r="AF56" i="2" s="1"/>
  <c r="P56" i="2"/>
  <c r="K56" i="2"/>
  <c r="F56" i="2"/>
  <c r="M56" i="2"/>
  <c r="N56" i="2" s="1"/>
  <c r="AP55" i="2"/>
  <c r="AO55" i="2"/>
  <c r="AN55" i="2"/>
  <c r="AM55" i="2"/>
  <c r="AL55" i="2"/>
  <c r="AH55" i="2"/>
  <c r="AC55" i="2"/>
  <c r="X55" i="2"/>
  <c r="AE55" i="2"/>
  <c r="AF55" i="2" s="1"/>
  <c r="P55" i="2"/>
  <c r="K55" i="2"/>
  <c r="F55" i="2"/>
  <c r="M55" i="2"/>
  <c r="N55" i="2" s="1"/>
  <c r="AP54" i="2"/>
  <c r="AO54" i="2"/>
  <c r="AN54" i="2"/>
  <c r="AM54" i="2"/>
  <c r="AL54" i="2"/>
  <c r="AH54" i="2"/>
  <c r="AC54" i="2"/>
  <c r="X54" i="2"/>
  <c r="AE54" i="2"/>
  <c r="AF54" i="2" s="1"/>
  <c r="P54" i="2"/>
  <c r="K54" i="2"/>
  <c r="F54" i="2"/>
  <c r="AP53" i="2"/>
  <c r="AO53" i="2"/>
  <c r="AN53" i="2"/>
  <c r="AM53" i="2"/>
  <c r="AL53" i="2"/>
  <c r="AH53" i="2"/>
  <c r="AC53" i="2"/>
  <c r="X53" i="2"/>
  <c r="P53" i="2"/>
  <c r="K53" i="2"/>
  <c r="F53" i="2"/>
  <c r="AP52" i="2"/>
  <c r="AO52" i="2"/>
  <c r="AN52" i="2"/>
  <c r="AM52" i="2"/>
  <c r="AL52" i="2"/>
  <c r="AH52" i="2"/>
  <c r="AC52" i="2"/>
  <c r="X52" i="2"/>
  <c r="P52" i="2"/>
  <c r="K52" i="2"/>
  <c r="F52" i="2"/>
  <c r="AP51" i="2"/>
  <c r="AO51" i="2"/>
  <c r="AN51" i="2"/>
  <c r="AM51" i="2"/>
  <c r="AL51" i="2"/>
  <c r="AH51" i="2"/>
  <c r="AC51" i="2"/>
  <c r="X51" i="2"/>
  <c r="AE51" i="2"/>
  <c r="AF51" i="2" s="1"/>
  <c r="P51" i="2"/>
  <c r="K51" i="2"/>
  <c r="F51" i="2"/>
  <c r="M51" i="2"/>
  <c r="N51" i="2" s="1"/>
  <c r="AP50" i="2"/>
  <c r="AO50" i="2"/>
  <c r="AN50" i="2"/>
  <c r="AM50" i="2"/>
  <c r="AL50" i="2"/>
  <c r="AH50" i="2"/>
  <c r="AC50" i="2"/>
  <c r="X50" i="2"/>
  <c r="AE50" i="2"/>
  <c r="AF50" i="2" s="1"/>
  <c r="P50" i="2"/>
  <c r="K50" i="2"/>
  <c r="F50" i="2"/>
  <c r="M50" i="2"/>
  <c r="N50" i="2" s="1"/>
  <c r="AP49" i="2"/>
  <c r="AO49" i="2"/>
  <c r="AN49" i="2"/>
  <c r="AM49" i="2"/>
  <c r="AL49" i="2"/>
  <c r="AH49" i="2"/>
  <c r="AC49" i="2"/>
  <c r="X49" i="2"/>
  <c r="AE49" i="2"/>
  <c r="AF49" i="2" s="1"/>
  <c r="P49" i="2"/>
  <c r="K49" i="2"/>
  <c r="F49" i="2"/>
  <c r="M49" i="2"/>
  <c r="N49" i="2" s="1"/>
  <c r="AP48" i="2"/>
  <c r="AO48" i="2"/>
  <c r="AN48" i="2"/>
  <c r="AM48" i="2"/>
  <c r="AL48" i="2"/>
  <c r="AH48" i="2"/>
  <c r="AC48" i="2"/>
  <c r="X48" i="2"/>
  <c r="P48" i="2"/>
  <c r="K48" i="2"/>
  <c r="F48" i="2"/>
  <c r="AP47" i="2"/>
  <c r="AO47" i="2"/>
  <c r="AN47" i="2"/>
  <c r="AM47" i="2"/>
  <c r="AL47" i="2"/>
  <c r="AH47" i="2"/>
  <c r="AC47" i="2"/>
  <c r="X47" i="2"/>
  <c r="P47" i="2"/>
  <c r="K47" i="2"/>
  <c r="F47" i="2"/>
  <c r="AP46" i="2"/>
  <c r="AO46" i="2"/>
  <c r="AN46" i="2"/>
  <c r="AM46" i="2"/>
  <c r="AL46" i="2"/>
  <c r="AH46" i="2"/>
  <c r="AC46" i="2"/>
  <c r="X46" i="2"/>
  <c r="AE46" i="2"/>
  <c r="AF46" i="2" s="1"/>
  <c r="P46" i="2"/>
  <c r="K46" i="2"/>
  <c r="F46" i="2"/>
  <c r="M46" i="2"/>
  <c r="N46" i="2" s="1"/>
  <c r="AP45" i="2"/>
  <c r="AO45" i="2"/>
  <c r="AN45" i="2"/>
  <c r="AM45" i="2"/>
  <c r="AL45" i="2"/>
  <c r="AH45" i="2"/>
  <c r="AC45" i="2"/>
  <c r="X45" i="2"/>
  <c r="AJ45" i="2"/>
  <c r="AK45" i="2" s="1"/>
  <c r="P45" i="2"/>
  <c r="K45" i="2"/>
  <c r="F45" i="2"/>
  <c r="M45" i="2"/>
  <c r="N45" i="2" s="1"/>
  <c r="AP44" i="2"/>
  <c r="AO44" i="2"/>
  <c r="AN44" i="2"/>
  <c r="AM44" i="2"/>
  <c r="AL44" i="2"/>
  <c r="AH44" i="2"/>
  <c r="AC44" i="2"/>
  <c r="X44" i="2"/>
  <c r="P44" i="2"/>
  <c r="K44" i="2"/>
  <c r="F44" i="2"/>
  <c r="AP43" i="2"/>
  <c r="AO43" i="2"/>
  <c r="AN43" i="2"/>
  <c r="AM43" i="2"/>
  <c r="AL43" i="2"/>
  <c r="AH43" i="2"/>
  <c r="AC43" i="2"/>
  <c r="X43" i="2"/>
  <c r="AE43" i="2"/>
  <c r="AF43" i="2" s="1"/>
  <c r="P43" i="2"/>
  <c r="K43" i="2"/>
  <c r="F43" i="2"/>
  <c r="AP42" i="2"/>
  <c r="AO42" i="2"/>
  <c r="AN42" i="2"/>
  <c r="AM42" i="2"/>
  <c r="AL42" i="2"/>
  <c r="AH42" i="2"/>
  <c r="AC42" i="2"/>
  <c r="X42" i="2"/>
  <c r="AE42" i="2"/>
  <c r="AF42" i="2" s="1"/>
  <c r="P42" i="2"/>
  <c r="K42" i="2"/>
  <c r="F42" i="2"/>
  <c r="M42" i="2"/>
  <c r="N42" i="2" s="1"/>
  <c r="AP41" i="2"/>
  <c r="AO41" i="2"/>
  <c r="AN41" i="2"/>
  <c r="AM41" i="2"/>
  <c r="AL41" i="2"/>
  <c r="AH41" i="2"/>
  <c r="AC41" i="2"/>
  <c r="X41" i="2"/>
  <c r="AE41" i="2"/>
  <c r="AF41" i="2" s="1"/>
  <c r="P41" i="2"/>
  <c r="K41" i="2"/>
  <c r="F41" i="2"/>
  <c r="M41" i="2"/>
  <c r="N41" i="2" s="1"/>
  <c r="Q41" i="2"/>
  <c r="AP40" i="2"/>
  <c r="AO40" i="2"/>
  <c r="AN40" i="2"/>
  <c r="AM40" i="2"/>
  <c r="AL40" i="2"/>
  <c r="AH40" i="2"/>
  <c r="AC40" i="2"/>
  <c r="X40" i="2"/>
  <c r="AJ40" i="2"/>
  <c r="AK40" i="2" s="1"/>
  <c r="P40" i="2"/>
  <c r="K40" i="2"/>
  <c r="F40" i="2"/>
  <c r="M40" i="2"/>
  <c r="N40" i="2" s="1"/>
  <c r="AP39" i="2"/>
  <c r="AO39" i="2"/>
  <c r="AN39" i="2"/>
  <c r="AM39" i="2"/>
  <c r="AL39" i="2"/>
  <c r="AH39" i="2"/>
  <c r="AC39" i="2"/>
  <c r="X39" i="2"/>
  <c r="AE39" i="2"/>
  <c r="AF39" i="2" s="1"/>
  <c r="P39" i="2"/>
  <c r="K39" i="2"/>
  <c r="F39" i="2"/>
  <c r="AP38" i="2"/>
  <c r="AO38" i="2"/>
  <c r="AN38" i="2"/>
  <c r="AM38" i="2"/>
  <c r="AL38" i="2"/>
  <c r="AH38" i="2"/>
  <c r="AC38" i="2"/>
  <c r="X38" i="2"/>
  <c r="P38" i="2"/>
  <c r="K38" i="2"/>
  <c r="F38" i="2"/>
  <c r="AP37" i="2"/>
  <c r="AO37" i="2"/>
  <c r="AN37" i="2"/>
  <c r="AM37" i="2"/>
  <c r="AL37" i="2"/>
  <c r="AH37" i="2"/>
  <c r="AC37" i="2"/>
  <c r="X37" i="2"/>
  <c r="P37" i="2"/>
  <c r="K37" i="2"/>
  <c r="F37" i="2"/>
  <c r="AP36" i="2"/>
  <c r="AO36" i="2"/>
  <c r="AN36" i="2"/>
  <c r="AM36" i="2"/>
  <c r="AL36" i="2"/>
  <c r="AH36" i="2"/>
  <c r="AC36" i="2"/>
  <c r="X36" i="2"/>
  <c r="AE36" i="2"/>
  <c r="AF36" i="2" s="1"/>
  <c r="P36" i="2"/>
  <c r="K36" i="2"/>
  <c r="F36" i="2"/>
  <c r="R36" i="2"/>
  <c r="S36" i="2" s="1"/>
  <c r="AP35" i="2"/>
  <c r="AO35" i="2"/>
  <c r="AN35" i="2"/>
  <c r="AM35" i="2"/>
  <c r="AL35" i="2"/>
  <c r="AH35" i="2"/>
  <c r="AC35" i="2"/>
  <c r="X35" i="2"/>
  <c r="AE35" i="2"/>
  <c r="AF35" i="2" s="1"/>
  <c r="P35" i="2"/>
  <c r="K35" i="2"/>
  <c r="F35" i="2"/>
  <c r="H35" i="2"/>
  <c r="I35" i="2" s="1"/>
  <c r="AP34" i="2"/>
  <c r="AO34" i="2"/>
  <c r="AN34" i="2"/>
  <c r="AM34" i="2"/>
  <c r="AL34" i="2"/>
  <c r="AH34" i="2"/>
  <c r="AC34" i="2"/>
  <c r="X34" i="2"/>
  <c r="AE34" i="2"/>
  <c r="AF34" i="2" s="1"/>
  <c r="P34" i="2"/>
  <c r="K34" i="2"/>
  <c r="F34" i="2"/>
  <c r="M34" i="2"/>
  <c r="N34" i="2" s="1"/>
  <c r="AP33" i="2"/>
  <c r="AO33" i="2"/>
  <c r="AN33" i="2"/>
  <c r="AM33" i="2"/>
  <c r="AL33" i="2"/>
  <c r="AH33" i="2"/>
  <c r="AC33" i="2"/>
  <c r="X33" i="2"/>
  <c r="P33" i="2"/>
  <c r="K33" i="2"/>
  <c r="F33" i="2"/>
  <c r="AP32" i="2"/>
  <c r="AO32" i="2"/>
  <c r="AN32" i="2"/>
  <c r="AM32" i="2"/>
  <c r="AL32" i="2"/>
  <c r="AH32" i="2"/>
  <c r="AC32" i="2"/>
  <c r="X32" i="2"/>
  <c r="P32" i="2"/>
  <c r="K32" i="2"/>
  <c r="F32" i="2"/>
  <c r="AP31" i="2"/>
  <c r="AO31" i="2"/>
  <c r="AN31" i="2"/>
  <c r="AM31" i="2"/>
  <c r="AL31" i="2"/>
  <c r="AH31" i="2"/>
  <c r="AC31" i="2"/>
  <c r="X31" i="2"/>
  <c r="AE31" i="2"/>
  <c r="AF31" i="2" s="1"/>
  <c r="P31" i="2"/>
  <c r="K31" i="2"/>
  <c r="F31" i="2"/>
  <c r="M31" i="2"/>
  <c r="N31" i="2" s="1"/>
  <c r="AP30" i="2"/>
  <c r="AO30" i="2"/>
  <c r="AN30" i="2"/>
  <c r="AM30" i="2"/>
  <c r="AL30" i="2"/>
  <c r="AH30" i="2"/>
  <c r="AC30" i="2"/>
  <c r="X30" i="2"/>
  <c r="AE30" i="2"/>
  <c r="AF30" i="2" s="1"/>
  <c r="P30" i="2"/>
  <c r="K30" i="2"/>
  <c r="F30" i="2"/>
  <c r="M30" i="2"/>
  <c r="N30" i="2" s="1"/>
  <c r="AP29" i="2"/>
  <c r="AO29" i="2"/>
  <c r="AN29" i="2"/>
  <c r="AM29" i="2"/>
  <c r="AL29" i="2"/>
  <c r="AH29" i="2"/>
  <c r="AC29" i="2"/>
  <c r="X29" i="2"/>
  <c r="AJ29" i="2"/>
  <c r="AK29" i="2" s="1"/>
  <c r="P29" i="2"/>
  <c r="K29" i="2"/>
  <c r="F29" i="2"/>
  <c r="M29" i="2"/>
  <c r="N29" i="2" s="1"/>
  <c r="AP28" i="2"/>
  <c r="AO28" i="2"/>
  <c r="AN28" i="2"/>
  <c r="AM28" i="2"/>
  <c r="AL28" i="2"/>
  <c r="AH28" i="2"/>
  <c r="AC28" i="2"/>
  <c r="Z28" i="2"/>
  <c r="AA28" i="2" s="1"/>
  <c r="X28" i="2"/>
  <c r="P28" i="2"/>
  <c r="K28" i="2"/>
  <c r="F28" i="2"/>
  <c r="AP27" i="2"/>
  <c r="AO27" i="2"/>
  <c r="AN27" i="2"/>
  <c r="AM27" i="2"/>
  <c r="AL27" i="2"/>
  <c r="AH27" i="2"/>
  <c r="AC27" i="2"/>
  <c r="X27" i="2"/>
  <c r="P27" i="2"/>
  <c r="K27" i="2"/>
  <c r="F27" i="2"/>
  <c r="AP26" i="2"/>
  <c r="AO26" i="2"/>
  <c r="AN26" i="2"/>
  <c r="AM26" i="2"/>
  <c r="AL26" i="2"/>
  <c r="AH26" i="2"/>
  <c r="AC26" i="2"/>
  <c r="X26" i="2"/>
  <c r="AE26" i="2"/>
  <c r="AF26" i="2" s="1"/>
  <c r="P26" i="2"/>
  <c r="K26" i="2"/>
  <c r="F26" i="2"/>
  <c r="R26" i="2"/>
  <c r="S26" i="2" s="1"/>
  <c r="AP25" i="2"/>
  <c r="AO25" i="2"/>
  <c r="AN25" i="2"/>
  <c r="AM25" i="2"/>
  <c r="AL25" i="2"/>
  <c r="AH25" i="2"/>
  <c r="AC25" i="2"/>
  <c r="X25" i="2"/>
  <c r="AE25" i="2"/>
  <c r="AF25" i="2" s="1"/>
  <c r="P25" i="2"/>
  <c r="K25" i="2"/>
  <c r="F25" i="2"/>
  <c r="AP24" i="2"/>
  <c r="AO24" i="2"/>
  <c r="AN24" i="2"/>
  <c r="AM24" i="2"/>
  <c r="AL24" i="2"/>
  <c r="AH24" i="2"/>
  <c r="AC24" i="2"/>
  <c r="X24" i="2"/>
  <c r="AE24" i="2"/>
  <c r="AF24" i="2" s="1"/>
  <c r="P24" i="2"/>
  <c r="K24" i="2"/>
  <c r="F24" i="2"/>
  <c r="M24" i="2"/>
  <c r="N24" i="2" s="1"/>
  <c r="AP23" i="2"/>
  <c r="AO23" i="2"/>
  <c r="AN23" i="2"/>
  <c r="AM23" i="2"/>
  <c r="AL23" i="2"/>
  <c r="AH23" i="2"/>
  <c r="AC23" i="2"/>
  <c r="X23" i="2"/>
  <c r="AE23" i="2"/>
  <c r="AF23" i="2" s="1"/>
  <c r="P23" i="2"/>
  <c r="K23" i="2"/>
  <c r="F23" i="2"/>
  <c r="M23" i="2"/>
  <c r="N23" i="2" s="1"/>
  <c r="AP22" i="2"/>
  <c r="AO22" i="2"/>
  <c r="AN22" i="2"/>
  <c r="AM22" i="2"/>
  <c r="AL22" i="2"/>
  <c r="AH22" i="2"/>
  <c r="AC22" i="2"/>
  <c r="X22" i="2"/>
  <c r="P22" i="2"/>
  <c r="K22" i="2"/>
  <c r="F22" i="2"/>
  <c r="AP21" i="2"/>
  <c r="AO21" i="2"/>
  <c r="AN21" i="2"/>
  <c r="AM21" i="2"/>
  <c r="AL21" i="2"/>
  <c r="AH21" i="2"/>
  <c r="AC21" i="2"/>
  <c r="X21" i="2"/>
  <c r="AJ21" i="2"/>
  <c r="AK21" i="2" s="1"/>
  <c r="P21" i="2"/>
  <c r="K21" i="2"/>
  <c r="F21" i="2"/>
  <c r="M21" i="2"/>
  <c r="N21" i="2" s="1"/>
  <c r="AP20" i="2"/>
  <c r="AO20" i="2"/>
  <c r="AN20" i="2"/>
  <c r="AM20" i="2"/>
  <c r="AL20" i="2"/>
  <c r="AH20" i="2"/>
  <c r="AC20" i="2"/>
  <c r="X20" i="2"/>
  <c r="AE20" i="2"/>
  <c r="AF20" i="2" s="1"/>
  <c r="P20" i="2"/>
  <c r="K20" i="2"/>
  <c r="F20" i="2"/>
  <c r="R20" i="2"/>
  <c r="S20" i="2" s="1"/>
  <c r="AP19" i="2"/>
  <c r="AO19" i="2"/>
  <c r="AN19" i="2"/>
  <c r="AM19" i="2"/>
  <c r="AL19" i="2"/>
  <c r="AH19" i="2"/>
  <c r="AC19" i="2"/>
  <c r="X19" i="2"/>
  <c r="AE19" i="2"/>
  <c r="AF19" i="2" s="1"/>
  <c r="P19" i="2"/>
  <c r="K19" i="2"/>
  <c r="F19" i="2"/>
  <c r="R19" i="2"/>
  <c r="S19" i="2" s="1"/>
  <c r="AP18" i="2"/>
  <c r="AO18" i="2"/>
  <c r="AN18" i="2"/>
  <c r="AM18" i="2"/>
  <c r="AL18" i="2"/>
  <c r="AH18" i="2"/>
  <c r="AC18" i="2"/>
  <c r="X18" i="2"/>
  <c r="AE18" i="2"/>
  <c r="AF18" i="2" s="1"/>
  <c r="P18" i="2"/>
  <c r="K18" i="2"/>
  <c r="F18" i="2"/>
  <c r="R18" i="2"/>
  <c r="S18" i="2" s="1"/>
  <c r="AP17" i="2"/>
  <c r="AO17" i="2"/>
  <c r="AN17" i="2"/>
  <c r="AM17" i="2"/>
  <c r="AL17" i="2"/>
  <c r="AH17" i="2"/>
  <c r="AC17" i="2"/>
  <c r="X17" i="2"/>
  <c r="AE17" i="2"/>
  <c r="AF17" i="2" s="1"/>
  <c r="P17" i="2"/>
  <c r="K17" i="2"/>
  <c r="F17" i="2"/>
  <c r="M17" i="2"/>
  <c r="N17" i="2" s="1"/>
  <c r="AP16" i="2"/>
  <c r="AO16" i="2"/>
  <c r="AN16" i="2"/>
  <c r="AM16" i="2"/>
  <c r="AL16" i="2"/>
  <c r="AH16" i="2"/>
  <c r="AC16" i="2"/>
  <c r="X16" i="2"/>
  <c r="Z16" i="2"/>
  <c r="AA16" i="2" s="1"/>
  <c r="P16" i="2"/>
  <c r="K16" i="2"/>
  <c r="F16" i="2"/>
  <c r="AP15" i="2"/>
  <c r="AO15" i="2"/>
  <c r="AN15" i="2"/>
  <c r="AM15" i="2"/>
  <c r="AL15" i="2"/>
  <c r="AH15" i="2"/>
  <c r="AC15" i="2"/>
  <c r="X15" i="2"/>
  <c r="AE15" i="2"/>
  <c r="AF15" i="2" s="1"/>
  <c r="P15" i="2"/>
  <c r="K15" i="2"/>
  <c r="F15" i="2"/>
  <c r="M15" i="2"/>
  <c r="N15" i="2" s="1"/>
  <c r="AP14" i="2"/>
  <c r="AO14" i="2"/>
  <c r="AN14" i="2"/>
  <c r="AM14" i="2"/>
  <c r="AL14" i="2"/>
  <c r="AH14" i="2"/>
  <c r="AC14" i="2"/>
  <c r="X14" i="2"/>
  <c r="AE14" i="2"/>
  <c r="AF14" i="2" s="1"/>
  <c r="P14" i="2"/>
  <c r="K14" i="2"/>
  <c r="F14" i="2"/>
  <c r="M14" i="2"/>
  <c r="N14" i="2" s="1"/>
  <c r="AP13" i="2"/>
  <c r="AO13" i="2"/>
  <c r="AN13" i="2"/>
  <c r="AM13" i="2"/>
  <c r="AL13" i="2"/>
  <c r="AH13" i="2"/>
  <c r="AC13" i="2"/>
  <c r="X13" i="2"/>
  <c r="AE13" i="2"/>
  <c r="AF13" i="2" s="1"/>
  <c r="P13" i="2"/>
  <c r="K13" i="2"/>
  <c r="F13" i="2"/>
  <c r="M13" i="2"/>
  <c r="N13" i="2" s="1"/>
  <c r="AP12" i="2"/>
  <c r="AO12" i="2"/>
  <c r="AN12" i="2"/>
  <c r="AM12" i="2"/>
  <c r="AL12" i="2"/>
  <c r="AH12" i="2"/>
  <c r="AC12" i="2"/>
  <c r="X12" i="2"/>
  <c r="AE12" i="2"/>
  <c r="AF12" i="2" s="1"/>
  <c r="P12" i="2"/>
  <c r="K12" i="2"/>
  <c r="F12" i="2"/>
  <c r="M12" i="2"/>
  <c r="N12" i="2" s="1"/>
  <c r="AP11" i="2"/>
  <c r="AO11" i="2"/>
  <c r="AN11" i="2"/>
  <c r="AM11" i="2"/>
  <c r="AL11" i="2"/>
  <c r="AH11" i="2"/>
  <c r="AC11" i="2"/>
  <c r="X11" i="2"/>
  <c r="AE11" i="2"/>
  <c r="AF11" i="2" s="1"/>
  <c r="P11" i="2"/>
  <c r="K11" i="2"/>
  <c r="F11" i="2"/>
  <c r="M11" i="2"/>
  <c r="N11" i="2" s="1"/>
  <c r="AP10" i="2"/>
  <c r="AO10" i="2"/>
  <c r="AN10" i="2"/>
  <c r="AM10" i="2"/>
  <c r="AL10" i="2"/>
  <c r="AH10" i="2"/>
  <c r="AC10" i="2"/>
  <c r="X10" i="2"/>
  <c r="AE10" i="2"/>
  <c r="AF10" i="2" s="1"/>
  <c r="P10" i="2"/>
  <c r="K10" i="2"/>
  <c r="F10" i="2"/>
  <c r="M10" i="2"/>
  <c r="N10" i="2" s="1"/>
  <c r="AP9" i="2"/>
  <c r="AO9" i="2"/>
  <c r="AN9" i="2"/>
  <c r="AM9" i="2"/>
  <c r="AL9" i="2"/>
  <c r="AH9" i="2"/>
  <c r="AC9" i="2"/>
  <c r="X9" i="2"/>
  <c r="AE9" i="2"/>
  <c r="AF9" i="2" s="1"/>
  <c r="P9" i="2"/>
  <c r="K9" i="2"/>
  <c r="F9" i="2"/>
  <c r="M9" i="2"/>
  <c r="N9" i="2" s="1"/>
  <c r="AP8" i="2"/>
  <c r="AO8" i="2"/>
  <c r="AN8" i="2"/>
  <c r="AM8" i="2"/>
  <c r="AL8" i="2"/>
  <c r="AH8" i="2"/>
  <c r="AC8" i="2"/>
  <c r="X8" i="2"/>
  <c r="AJ8" i="2"/>
  <c r="AK8" i="2" s="1"/>
  <c r="P8" i="2"/>
  <c r="K8" i="2"/>
  <c r="F8" i="2"/>
  <c r="M8" i="2"/>
  <c r="N8" i="2" s="1"/>
  <c r="AP7" i="2"/>
  <c r="AO7" i="2"/>
  <c r="AN7" i="2"/>
  <c r="AM7" i="2"/>
  <c r="AL7" i="2"/>
  <c r="AH7" i="2"/>
  <c r="AC7" i="2"/>
  <c r="X7" i="2"/>
  <c r="AE7" i="2"/>
  <c r="AF7" i="2" s="1"/>
  <c r="P7" i="2"/>
  <c r="K7" i="2"/>
  <c r="F7" i="2"/>
  <c r="R7" i="2"/>
  <c r="S7" i="2" s="1"/>
  <c r="AP6" i="2"/>
  <c r="AO6" i="2"/>
  <c r="AN6" i="2"/>
  <c r="AM6" i="2"/>
  <c r="AL6" i="2"/>
  <c r="AH6" i="2"/>
  <c r="AC6" i="2"/>
  <c r="Z6" i="2"/>
  <c r="AA6" i="2" s="1"/>
  <c r="X6" i="2"/>
  <c r="V6" i="2"/>
  <c r="AX6" i="2" s="1"/>
  <c r="P6" i="2"/>
  <c r="K6" i="2"/>
  <c r="F6" i="2"/>
  <c r="Q23" i="2" l="1"/>
  <c r="Z67" i="2"/>
  <c r="AA67" i="2" s="1"/>
  <c r="Q22" i="2"/>
  <c r="AE52" i="2"/>
  <c r="AF52" i="2" s="1"/>
  <c r="Q59" i="2"/>
  <c r="L30" i="2"/>
  <c r="Q49" i="2"/>
  <c r="L45" i="2"/>
  <c r="AI50" i="2"/>
  <c r="AJ35" i="2"/>
  <c r="AK35" i="2" s="1"/>
  <c r="AE57" i="2"/>
  <c r="AF57" i="2" s="1"/>
  <c r="Z57" i="2"/>
  <c r="AA57" i="2" s="1"/>
  <c r="AR9" i="2"/>
  <c r="AR64" i="2"/>
  <c r="L69" i="2"/>
  <c r="G29" i="2"/>
  <c r="AX57" i="2"/>
  <c r="AX63" i="2"/>
  <c r="AX10" i="2"/>
  <c r="L26" i="2"/>
  <c r="Q27" i="2"/>
  <c r="G47" i="2"/>
  <c r="G67" i="2"/>
  <c r="H6" i="2"/>
  <c r="I6" i="2" s="1"/>
  <c r="AJ48" i="2"/>
  <c r="AK48" i="2" s="1"/>
  <c r="AX16" i="2"/>
  <c r="AR19" i="2"/>
  <c r="AR20" i="2"/>
  <c r="AJ28" i="2"/>
  <c r="AK28" i="2" s="1"/>
  <c r="Z32" i="2"/>
  <c r="AA32" i="2" s="1"/>
  <c r="AR60" i="2"/>
  <c r="AX48" i="2"/>
  <c r="AI68" i="2"/>
  <c r="AJ41" i="2"/>
  <c r="AK41" i="2" s="1"/>
  <c r="AJ19" i="2"/>
  <c r="AK19" i="2" s="1"/>
  <c r="AJ52" i="2"/>
  <c r="AK52" i="2" s="1"/>
  <c r="AX62" i="2"/>
  <c r="AD52" i="2"/>
  <c r="AR54" i="2"/>
  <c r="Y12" i="2"/>
  <c r="AX45" i="2"/>
  <c r="AR50" i="2"/>
  <c r="Y61" i="2"/>
  <c r="AI65" i="2"/>
  <c r="AI69" i="2"/>
  <c r="M32" i="2"/>
  <c r="N32" i="2" s="1"/>
  <c r="AX58" i="2"/>
  <c r="Z7" i="2"/>
  <c r="AA7" i="2" s="1"/>
  <c r="AX67" i="2"/>
  <c r="H19" i="2"/>
  <c r="I19" i="2" s="1"/>
  <c r="H29" i="2"/>
  <c r="I29" i="2" s="1"/>
  <c r="H37" i="2"/>
  <c r="I37" i="2" s="1"/>
  <c r="H50" i="2"/>
  <c r="I50" i="2" s="1"/>
  <c r="AX66" i="2"/>
  <c r="AX27" i="2"/>
  <c r="AI33" i="2"/>
  <c r="AD47" i="2"/>
  <c r="AX53" i="2"/>
  <c r="M19" i="2"/>
  <c r="N19" i="2" s="1"/>
  <c r="AJ30" i="2"/>
  <c r="AK30" i="2" s="1"/>
  <c r="AJ33" i="2"/>
  <c r="AK33" i="2" s="1"/>
  <c r="Q37" i="2"/>
  <c r="AX7" i="2"/>
  <c r="R8" i="2"/>
  <c r="S8" i="2" s="1"/>
  <c r="AX18" i="2"/>
  <c r="AX29" i="2"/>
  <c r="AD30" i="2"/>
  <c r="M35" i="2"/>
  <c r="N35" i="2" s="1"/>
  <c r="AX40" i="2"/>
  <c r="AI41" i="2"/>
  <c r="AX46" i="2"/>
  <c r="R50" i="2"/>
  <c r="S50" i="2" s="1"/>
  <c r="AD55" i="2"/>
  <c r="AJ67" i="2"/>
  <c r="AK67" i="2" s="1"/>
  <c r="G72" i="2"/>
  <c r="AR12" i="2"/>
  <c r="Z30" i="2"/>
  <c r="AA30" i="2" s="1"/>
  <c r="AJ60" i="2"/>
  <c r="AK60" i="2" s="1"/>
  <c r="L59" i="2"/>
  <c r="AR8" i="2"/>
  <c r="G8" i="2"/>
  <c r="AD15" i="2"/>
  <c r="AR24" i="2"/>
  <c r="Z14" i="2"/>
  <c r="AA14" i="2" s="1"/>
  <c r="G15" i="2"/>
  <c r="G17" i="2"/>
  <c r="R34" i="2"/>
  <c r="S34" i="2" s="1"/>
  <c r="AR36" i="2"/>
  <c r="AJ7" i="2"/>
  <c r="AK7" i="2" s="1"/>
  <c r="L25" i="2"/>
  <c r="AI34" i="2"/>
  <c r="AI35" i="2"/>
  <c r="G51" i="2"/>
  <c r="AX59" i="2"/>
  <c r="AD60" i="2"/>
  <c r="G65" i="2"/>
  <c r="G71" i="2"/>
  <c r="R6" i="2"/>
  <c r="S6" i="2" s="1"/>
  <c r="AD17" i="2"/>
  <c r="AI70" i="2"/>
  <c r="Z17" i="2"/>
  <c r="AA17" i="2" s="1"/>
  <c r="H21" i="2"/>
  <c r="I21" i="2" s="1"/>
  <c r="H24" i="2"/>
  <c r="I24" i="2" s="1"/>
  <c r="AJ49" i="2"/>
  <c r="AK49" i="2" s="1"/>
  <c r="AX43" i="2"/>
  <c r="AD20" i="2"/>
  <c r="AD23" i="2"/>
  <c r="L34" i="2"/>
  <c r="AR35" i="2"/>
  <c r="L66" i="2"/>
  <c r="Q21" i="2"/>
  <c r="L7" i="2"/>
  <c r="H8" i="2"/>
  <c r="I8" i="2" s="1"/>
  <c r="G12" i="2"/>
  <c r="Z35" i="2"/>
  <c r="AA35" i="2" s="1"/>
  <c r="Q39" i="2"/>
  <c r="Q40" i="2"/>
  <c r="Z59" i="2"/>
  <c r="AA59" i="2" s="1"/>
  <c r="Q33" i="2"/>
  <c r="AX14" i="2"/>
  <c r="Z19" i="2"/>
  <c r="AA19" i="2" s="1"/>
  <c r="R21" i="2"/>
  <c r="S21" i="2" s="1"/>
  <c r="R24" i="2"/>
  <c r="S24" i="2" s="1"/>
  <c r="R29" i="2"/>
  <c r="S29" i="2" s="1"/>
  <c r="H34" i="2"/>
  <c r="I34" i="2" s="1"/>
  <c r="Z46" i="2"/>
  <c r="AA46" i="2" s="1"/>
  <c r="AD49" i="2"/>
  <c r="AJ65" i="2"/>
  <c r="AK65" i="2" s="1"/>
  <c r="Y72" i="2"/>
  <c r="AR68" i="2"/>
  <c r="D6" i="2"/>
  <c r="L6" i="2" s="1"/>
  <c r="G20" i="2"/>
  <c r="Q20" i="2"/>
  <c r="Q45" i="2"/>
  <c r="AX69" i="2"/>
  <c r="AX71" i="2"/>
  <c r="Y71" i="2"/>
  <c r="AI71" i="2"/>
  <c r="AD71" i="2"/>
  <c r="AD12" i="2"/>
  <c r="G26" i="2"/>
  <c r="Q26" i="2"/>
  <c r="AD50" i="2"/>
  <c r="AX64" i="2"/>
  <c r="AI64" i="2"/>
  <c r="AD64" i="2"/>
  <c r="Y64" i="2"/>
  <c r="AR70" i="2"/>
  <c r="G70" i="2"/>
  <c r="Q70" i="2"/>
  <c r="L70" i="2"/>
  <c r="G16" i="2"/>
  <c r="L16" i="2"/>
  <c r="Q16" i="2"/>
  <c r="G35" i="2"/>
  <c r="Y19" i="2"/>
  <c r="AI19" i="2"/>
  <c r="AD19" i="2"/>
  <c r="Q7" i="2"/>
  <c r="L39" i="2"/>
  <c r="L60" i="2"/>
  <c r="AJ9" i="2"/>
  <c r="AK9" i="2" s="1"/>
  <c r="R11" i="2"/>
  <c r="S11" i="2" s="1"/>
  <c r="R13" i="2"/>
  <c r="S13" i="2" s="1"/>
  <c r="R31" i="2"/>
  <c r="S31" i="2" s="1"/>
  <c r="AR41" i="2"/>
  <c r="H48" i="2"/>
  <c r="I48" i="2" s="1"/>
  <c r="R51" i="2"/>
  <c r="S51" i="2" s="1"/>
  <c r="AX54" i="2"/>
  <c r="AJ54" i="2"/>
  <c r="AK54" i="2" s="1"/>
  <c r="R56" i="2"/>
  <c r="S56" i="2" s="1"/>
  <c r="R61" i="2"/>
  <c r="S61" i="2" s="1"/>
  <c r="Z65" i="2"/>
  <c r="AA65" i="2" s="1"/>
  <c r="AX22" i="2"/>
  <c r="G9" i="2"/>
  <c r="Z12" i="2"/>
  <c r="AA12" i="2" s="1"/>
  <c r="AE16" i="2"/>
  <c r="AF16" i="2" s="1"/>
  <c r="AE22" i="2"/>
  <c r="AF22" i="2" s="1"/>
  <c r="AJ25" i="2"/>
  <c r="AK25" i="2" s="1"/>
  <c r="Z40" i="2"/>
  <c r="AA40" i="2" s="1"/>
  <c r="G41" i="2"/>
  <c r="R45" i="2"/>
  <c r="S45" i="2" s="1"/>
  <c r="AJ50" i="2"/>
  <c r="AK50" i="2" s="1"/>
  <c r="Z60" i="2"/>
  <c r="AA60" i="2" s="1"/>
  <c r="H66" i="2"/>
  <c r="I66" i="2" s="1"/>
  <c r="AJ36" i="2"/>
  <c r="AK36" i="2" s="1"/>
  <c r="AR28" i="2"/>
  <c r="L8" i="2"/>
  <c r="AJ13" i="2"/>
  <c r="AK13" i="2" s="1"/>
  <c r="AJ32" i="2"/>
  <c r="AK32" i="2" s="1"/>
  <c r="AX37" i="2"/>
  <c r="AJ38" i="2"/>
  <c r="AK38" i="2" s="1"/>
  <c r="AD28" i="2"/>
  <c r="Z9" i="2"/>
  <c r="AA9" i="2" s="1"/>
  <c r="H11" i="2"/>
  <c r="I11" i="2" s="1"/>
  <c r="Q12" i="2"/>
  <c r="H13" i="2"/>
  <c r="I13" i="2" s="1"/>
  <c r="M25" i="2"/>
  <c r="N25" i="2" s="1"/>
  <c r="Z25" i="2"/>
  <c r="AA25" i="2" s="1"/>
  <c r="H31" i="2"/>
  <c r="I31" i="2" s="1"/>
  <c r="L41" i="2"/>
  <c r="AR42" i="2"/>
  <c r="AJ51" i="2"/>
  <c r="AK51" i="2" s="1"/>
  <c r="Z54" i="2"/>
  <c r="AA54" i="2" s="1"/>
  <c r="H56" i="2"/>
  <c r="I56" i="2" s="1"/>
  <c r="H61" i="2"/>
  <c r="I61" i="2" s="1"/>
  <c r="R72" i="2"/>
  <c r="S72" i="2" s="1"/>
  <c r="AX44" i="2"/>
  <c r="G38" i="2"/>
  <c r="Q8" i="2"/>
  <c r="AJ11" i="2"/>
  <c r="AK11" i="2" s="1"/>
  <c r="AJ14" i="2"/>
  <c r="AK14" i="2" s="1"/>
  <c r="AJ16" i="2"/>
  <c r="AK16" i="2" s="1"/>
  <c r="L19" i="2"/>
  <c r="AE40" i="2"/>
  <c r="AF40" i="2" s="1"/>
  <c r="Z41" i="2"/>
  <c r="AA41" i="2" s="1"/>
  <c r="R42" i="2"/>
  <c r="S42" i="2" s="1"/>
  <c r="H45" i="2"/>
  <c r="I45" i="2" s="1"/>
  <c r="AJ46" i="2"/>
  <c r="AK46" i="2" s="1"/>
  <c r="Z49" i="2"/>
  <c r="AA49" i="2" s="1"/>
  <c r="Z50" i="2"/>
  <c r="AA50" i="2" s="1"/>
  <c r="AJ59" i="2"/>
  <c r="AK59" i="2" s="1"/>
  <c r="Q9" i="2"/>
  <c r="AJ20" i="2"/>
  <c r="AK20" i="2" s="1"/>
  <c r="AX32" i="2"/>
  <c r="Q36" i="2"/>
  <c r="AR44" i="2"/>
  <c r="Z11" i="2"/>
  <c r="AA11" i="2" s="1"/>
  <c r="AJ12" i="2"/>
  <c r="AK12" i="2" s="1"/>
  <c r="AJ17" i="2"/>
  <c r="AK17" i="2" s="1"/>
  <c r="AE38" i="2"/>
  <c r="AF38" i="2" s="1"/>
  <c r="H42" i="2"/>
  <c r="I42" i="2" s="1"/>
  <c r="R49" i="2"/>
  <c r="S49" i="2" s="1"/>
  <c r="Z51" i="2"/>
  <c r="AA51" i="2" s="1"/>
  <c r="H64" i="2"/>
  <c r="I64" i="2" s="1"/>
  <c r="R66" i="2"/>
  <c r="S66" i="2" s="1"/>
  <c r="H72" i="2"/>
  <c r="I72" i="2" s="1"/>
  <c r="AX38" i="2"/>
  <c r="L63" i="2"/>
  <c r="M58" i="2"/>
  <c r="N58" i="2" s="1"/>
  <c r="AR57" i="2"/>
  <c r="L53" i="2"/>
  <c r="H53" i="2"/>
  <c r="I53" i="2" s="1"/>
  <c r="AR52" i="2"/>
  <c r="G32" i="2"/>
  <c r="R28" i="2"/>
  <c r="S28" i="2" s="1"/>
  <c r="Z22" i="2"/>
  <c r="AA22" i="2" s="1"/>
  <c r="R58" i="2"/>
  <c r="S58" i="2" s="1"/>
  <c r="Z62" i="2"/>
  <c r="AA62" i="2" s="1"/>
  <c r="Q58" i="2"/>
  <c r="AE33" i="2"/>
  <c r="AF33" i="2" s="1"/>
  <c r="AJ43" i="2"/>
  <c r="AK43" i="2" s="1"/>
  <c r="R48" i="2"/>
  <c r="S48" i="2" s="1"/>
  <c r="AR48" i="2"/>
  <c r="L48" i="2"/>
  <c r="H32" i="2"/>
  <c r="I32" i="2" s="1"/>
  <c r="R37" i="2"/>
  <c r="S37" i="2" s="1"/>
  <c r="AD6" i="2"/>
  <c r="L22" i="2"/>
  <c r="AE6" i="2"/>
  <c r="AF6" i="2" s="1"/>
  <c r="AR43" i="2"/>
  <c r="Q43" i="2"/>
  <c r="L43" i="2"/>
  <c r="G43" i="2"/>
  <c r="G52" i="2"/>
  <c r="AR62" i="2"/>
  <c r="L62" i="2"/>
  <c r="G62" i="2"/>
  <c r="Q62" i="2"/>
  <c r="Y33" i="2"/>
  <c r="Y6" i="2"/>
  <c r="Q48" i="2"/>
  <c r="G48" i="2"/>
  <c r="AI6" i="2"/>
  <c r="H9" i="2"/>
  <c r="I9" i="2" s="1"/>
  <c r="R9" i="2"/>
  <c r="S9" i="2" s="1"/>
  <c r="Z10" i="2"/>
  <c r="AA10" i="2" s="1"/>
  <c r="AJ10" i="2"/>
  <c r="AK10" i="2" s="1"/>
  <c r="R12" i="2"/>
  <c r="S12" i="2" s="1"/>
  <c r="Z13" i="2"/>
  <c r="AA13" i="2" s="1"/>
  <c r="AR16" i="2"/>
  <c r="H10" i="2"/>
  <c r="I10" i="2" s="1"/>
  <c r="R10" i="2"/>
  <c r="S10" i="2" s="1"/>
  <c r="H12" i="2"/>
  <c r="I12" i="2" s="1"/>
  <c r="Z20" i="2"/>
  <c r="AA20" i="2" s="1"/>
  <c r="M7" i="2"/>
  <c r="N7" i="2" s="1"/>
  <c r="AE8" i="2"/>
  <c r="AF8" i="2" s="1"/>
  <c r="H15" i="2"/>
  <c r="I15" i="2" s="1"/>
  <c r="R15" i="2"/>
  <c r="S15" i="2" s="1"/>
  <c r="AJ18" i="2"/>
  <c r="AK18" i="2" s="1"/>
  <c r="Z18" i="2"/>
  <c r="AA18" i="2" s="1"/>
  <c r="AJ26" i="2"/>
  <c r="AK26" i="2" s="1"/>
  <c r="Z26" i="2"/>
  <c r="AA26" i="2" s="1"/>
  <c r="R25" i="2"/>
  <c r="S25" i="2" s="1"/>
  <c r="H25" i="2"/>
  <c r="I25" i="2" s="1"/>
  <c r="R23" i="2"/>
  <c r="S23" i="2" s="1"/>
  <c r="H23" i="2"/>
  <c r="I23" i="2" s="1"/>
  <c r="M39" i="2"/>
  <c r="N39" i="2" s="1"/>
  <c r="H39" i="2"/>
  <c r="I39" i="2" s="1"/>
  <c r="R39" i="2"/>
  <c r="S39" i="2" s="1"/>
  <c r="H7" i="2"/>
  <c r="I7" i="2" s="1"/>
  <c r="Z8" i="2"/>
  <c r="AA8" i="2" s="1"/>
  <c r="M16" i="2"/>
  <c r="N16" i="2" s="1"/>
  <c r="R16" i="2"/>
  <c r="S16" i="2" s="1"/>
  <c r="H16" i="2"/>
  <c r="I16" i="2" s="1"/>
  <c r="R17" i="2"/>
  <c r="S17" i="2" s="1"/>
  <c r="H17" i="2"/>
  <c r="I17" i="2" s="1"/>
  <c r="AX19" i="2"/>
  <c r="H14" i="2"/>
  <c r="I14" i="2" s="1"/>
  <c r="R14" i="2"/>
  <c r="S14" i="2" s="1"/>
  <c r="Z15" i="2"/>
  <c r="AA15" i="2" s="1"/>
  <c r="AJ15" i="2"/>
  <c r="AK15" i="2" s="1"/>
  <c r="M18" i="2"/>
  <c r="N18" i="2" s="1"/>
  <c r="H22" i="2"/>
  <c r="I22" i="2" s="1"/>
  <c r="R22" i="2"/>
  <c r="S22" i="2" s="1"/>
  <c r="Z23" i="2"/>
  <c r="AA23" i="2" s="1"/>
  <c r="AJ23" i="2"/>
  <c r="AK23" i="2" s="1"/>
  <c r="M26" i="2"/>
  <c r="N26" i="2" s="1"/>
  <c r="AE27" i="2"/>
  <c r="AF27" i="2" s="1"/>
  <c r="R35" i="2"/>
  <c r="S35" i="2" s="1"/>
  <c r="R41" i="2"/>
  <c r="S41" i="2" s="1"/>
  <c r="H41" i="2"/>
  <c r="I41" i="2" s="1"/>
  <c r="Z24" i="2"/>
  <c r="AA24" i="2" s="1"/>
  <c r="AJ24" i="2"/>
  <c r="AK24" i="2" s="1"/>
  <c r="M27" i="2"/>
  <c r="N27" i="2" s="1"/>
  <c r="Z36" i="2"/>
  <c r="AA36" i="2" s="1"/>
  <c r="M20" i="2"/>
  <c r="N20" i="2" s="1"/>
  <c r="AE21" i="2"/>
  <c r="AF21" i="2" s="1"/>
  <c r="AR26" i="2"/>
  <c r="M28" i="2"/>
  <c r="N28" i="2" s="1"/>
  <c r="AE29" i="2"/>
  <c r="AF29" i="2" s="1"/>
  <c r="AJ34" i="2"/>
  <c r="AK34" i="2" s="1"/>
  <c r="Z34" i="2"/>
  <c r="AA34" i="2" s="1"/>
  <c r="R30" i="2"/>
  <c r="S30" i="2" s="1"/>
  <c r="H30" i="2"/>
  <c r="I30" i="2" s="1"/>
  <c r="H18" i="2"/>
  <c r="I18" i="2" s="1"/>
  <c r="H26" i="2"/>
  <c r="I26" i="2" s="1"/>
  <c r="Z27" i="2"/>
  <c r="AA27" i="2" s="1"/>
  <c r="R33" i="2"/>
  <c r="S33" i="2" s="1"/>
  <c r="H33" i="2"/>
  <c r="I33" i="2" s="1"/>
  <c r="AJ42" i="2"/>
  <c r="AK42" i="2" s="1"/>
  <c r="Z42" i="2"/>
  <c r="AA42" i="2" s="1"/>
  <c r="H27" i="2"/>
  <c r="I27" i="2" s="1"/>
  <c r="R54" i="2"/>
  <c r="S54" i="2" s="1"/>
  <c r="H54" i="2"/>
  <c r="I54" i="2" s="1"/>
  <c r="M54" i="2"/>
  <c r="N54" i="2" s="1"/>
  <c r="H20" i="2"/>
  <c r="I20" i="2" s="1"/>
  <c r="Z21" i="2"/>
  <c r="AA21" i="2" s="1"/>
  <c r="H28" i="2"/>
  <c r="I28" i="2" s="1"/>
  <c r="Z29" i="2"/>
  <c r="AA29" i="2" s="1"/>
  <c r="R68" i="2"/>
  <c r="S68" i="2" s="1"/>
  <c r="H68" i="2"/>
  <c r="I68" i="2" s="1"/>
  <c r="M68" i="2"/>
  <c r="N68" i="2" s="1"/>
  <c r="Z31" i="2"/>
  <c r="AA31" i="2" s="1"/>
  <c r="AJ31" i="2"/>
  <c r="AK31" i="2" s="1"/>
  <c r="H38" i="2"/>
  <c r="I38" i="2" s="1"/>
  <c r="R38" i="2"/>
  <c r="S38" i="2" s="1"/>
  <c r="Z39" i="2"/>
  <c r="AA39" i="2" s="1"/>
  <c r="AJ39" i="2"/>
  <c r="AK39" i="2" s="1"/>
  <c r="H46" i="2"/>
  <c r="I46" i="2" s="1"/>
  <c r="R46" i="2"/>
  <c r="S46" i="2" s="1"/>
  <c r="H47" i="2"/>
  <c r="I47" i="2" s="1"/>
  <c r="R47" i="2"/>
  <c r="S47" i="2" s="1"/>
  <c r="H49" i="2"/>
  <c r="I49" i="2" s="1"/>
  <c r="H51" i="2"/>
  <c r="I51" i="2" s="1"/>
  <c r="R60" i="2"/>
  <c r="S60" i="2" s="1"/>
  <c r="H60" i="2"/>
  <c r="I60" i="2" s="1"/>
  <c r="AJ61" i="2"/>
  <c r="AK61" i="2" s="1"/>
  <c r="Z61" i="2"/>
  <c r="AA61" i="2" s="1"/>
  <c r="M43" i="2"/>
  <c r="N43" i="2" s="1"/>
  <c r="AE44" i="2"/>
  <c r="AF44" i="2" s="1"/>
  <c r="M36" i="2"/>
  <c r="N36" i="2" s="1"/>
  <c r="AE37" i="2"/>
  <c r="AF37" i="2" s="1"/>
  <c r="H40" i="2"/>
  <c r="I40" i="2" s="1"/>
  <c r="R40" i="2"/>
  <c r="S40" i="2" s="1"/>
  <c r="M44" i="2"/>
  <c r="N44" i="2" s="1"/>
  <c r="AE45" i="2"/>
  <c r="AF45" i="2" s="1"/>
  <c r="Z48" i="2"/>
  <c r="AA48" i="2" s="1"/>
  <c r="R52" i="2"/>
  <c r="S52" i="2" s="1"/>
  <c r="H52" i="2"/>
  <c r="I52" i="2" s="1"/>
  <c r="AJ47" i="2"/>
  <c r="AK47" i="2" s="1"/>
  <c r="Z47" i="2"/>
  <c r="AA47" i="2" s="1"/>
  <c r="H43" i="2"/>
  <c r="I43" i="2" s="1"/>
  <c r="Z44" i="2"/>
  <c r="AA44" i="2" s="1"/>
  <c r="AJ53" i="2"/>
  <c r="AK53" i="2" s="1"/>
  <c r="Z53" i="2"/>
  <c r="AA53" i="2" s="1"/>
  <c r="AR67" i="2"/>
  <c r="AJ69" i="2"/>
  <c r="AK69" i="2" s="1"/>
  <c r="Z69" i="2"/>
  <c r="AA69" i="2" s="1"/>
  <c r="H36" i="2"/>
  <c r="I36" i="2" s="1"/>
  <c r="Z37" i="2"/>
  <c r="AA37" i="2" s="1"/>
  <c r="H44" i="2"/>
  <c r="I44" i="2" s="1"/>
  <c r="Z45" i="2"/>
  <c r="AA45" i="2" s="1"/>
  <c r="AR59" i="2"/>
  <c r="R53" i="2"/>
  <c r="S53" i="2" s="1"/>
  <c r="M57" i="2"/>
  <c r="N57" i="2" s="1"/>
  <c r="AE58" i="2"/>
  <c r="AF58" i="2" s="1"/>
  <c r="M65" i="2"/>
  <c r="N65" i="2" s="1"/>
  <c r="AE66" i="2"/>
  <c r="AF66" i="2" s="1"/>
  <c r="H69" i="2"/>
  <c r="I69" i="2" s="1"/>
  <c r="R69" i="2"/>
  <c r="S69" i="2" s="1"/>
  <c r="Z70" i="2"/>
  <c r="AA70" i="2" s="1"/>
  <c r="AJ70" i="2"/>
  <c r="AK70" i="2" s="1"/>
  <c r="Z55" i="2"/>
  <c r="AA55" i="2" s="1"/>
  <c r="AJ55" i="2"/>
  <c r="AK55" i="2" s="1"/>
  <c r="H62" i="2"/>
  <c r="I62" i="2" s="1"/>
  <c r="R62" i="2"/>
  <c r="S62" i="2" s="1"/>
  <c r="Z63" i="2"/>
  <c r="AA63" i="2" s="1"/>
  <c r="AJ63" i="2"/>
  <c r="AK63" i="2" s="1"/>
  <c r="H70" i="2"/>
  <c r="I70" i="2" s="1"/>
  <c r="R70" i="2"/>
  <c r="S70" i="2" s="1"/>
  <c r="Z71" i="2"/>
  <c r="AA71" i="2" s="1"/>
  <c r="AJ71" i="2"/>
  <c r="AK71" i="2" s="1"/>
  <c r="H55" i="2"/>
  <c r="I55" i="2" s="1"/>
  <c r="R55" i="2"/>
  <c r="S55" i="2" s="1"/>
  <c r="Z56" i="2"/>
  <c r="AA56" i="2" s="1"/>
  <c r="AJ56" i="2"/>
  <c r="AK56" i="2" s="1"/>
  <c r="M59" i="2"/>
  <c r="N59" i="2" s="1"/>
  <c r="H63" i="2"/>
  <c r="I63" i="2" s="1"/>
  <c r="R63" i="2"/>
  <c r="S63" i="2" s="1"/>
  <c r="Z64" i="2"/>
  <c r="AA64" i="2" s="1"/>
  <c r="AJ64" i="2"/>
  <c r="AK64" i="2" s="1"/>
  <c r="M67" i="2"/>
  <c r="N67" i="2" s="1"/>
  <c r="H71" i="2"/>
  <c r="I71" i="2" s="1"/>
  <c r="R71" i="2"/>
  <c r="S71" i="2" s="1"/>
  <c r="Z72" i="2"/>
  <c r="AA72" i="2" s="1"/>
  <c r="AJ72" i="2"/>
  <c r="AK72" i="2" s="1"/>
  <c r="H57" i="2"/>
  <c r="I57" i="2" s="1"/>
  <c r="Z58" i="2"/>
  <c r="AA58" i="2" s="1"/>
  <c r="H65" i="2"/>
  <c r="I65" i="2" s="1"/>
  <c r="Z66" i="2"/>
  <c r="AA66" i="2" s="1"/>
  <c r="H59" i="2"/>
  <c r="I59" i="2" s="1"/>
  <c r="H67" i="2"/>
  <c r="I67" i="2" s="1"/>
  <c r="Y65" i="2" l="1"/>
  <c r="AX68" i="2"/>
  <c r="AX12" i="2"/>
  <c r="AX65" i="2"/>
  <c r="AY67" i="2" s="1"/>
  <c r="AZ67" i="2" s="1"/>
  <c r="BA67" i="2" s="1"/>
  <c r="BC67" i="2" s="1"/>
  <c r="Y68" i="2"/>
  <c r="AD45" i="2"/>
  <c r="AX55" i="2"/>
  <c r="AI12" i="2"/>
  <c r="AD67" i="2"/>
  <c r="Y47" i="2"/>
  <c r="AD57" i="2"/>
  <c r="AI55" i="2"/>
  <c r="AD68" i="2"/>
  <c r="AX47" i="2"/>
  <c r="AY46" i="2" s="1"/>
  <c r="AZ46" i="2" s="1"/>
  <c r="BF46" i="2" s="1"/>
  <c r="Y49" i="2"/>
  <c r="AI18" i="2"/>
  <c r="Y50" i="2"/>
  <c r="Y18" i="2"/>
  <c r="AD22" i="2"/>
  <c r="AX50" i="2"/>
  <c r="AI57" i="2"/>
  <c r="AD18" i="2"/>
  <c r="AI27" i="2"/>
  <c r="AD35" i="2"/>
  <c r="G49" i="2"/>
  <c r="G23" i="2"/>
  <c r="AR47" i="2"/>
  <c r="AR15" i="2"/>
  <c r="AR51" i="2"/>
  <c r="L37" i="2"/>
  <c r="AR22" i="2"/>
  <c r="AR27" i="2"/>
  <c r="G22" i="2"/>
  <c r="L29" i="2"/>
  <c r="G69" i="2"/>
  <c r="AR40" i="2"/>
  <c r="AR37" i="2"/>
  <c r="AX52" i="2"/>
  <c r="AD62" i="2"/>
  <c r="AI62" i="2"/>
  <c r="L67" i="2"/>
  <c r="Q47" i="2"/>
  <c r="G37" i="2"/>
  <c r="Q30" i="2"/>
  <c r="L49" i="2"/>
  <c r="Y66" i="2"/>
  <c r="Q29" i="2"/>
  <c r="G30" i="2"/>
  <c r="AX41" i="2"/>
  <c r="L47" i="2"/>
  <c r="AI66" i="2"/>
  <c r="AI52" i="2"/>
  <c r="Q67" i="2"/>
  <c r="G27" i="2"/>
  <c r="Q69" i="2"/>
  <c r="L9" i="2"/>
  <c r="L23" i="2"/>
  <c r="Y60" i="2"/>
  <c r="AD66" i="2"/>
  <c r="AR29" i="2"/>
  <c r="AR30" i="2"/>
  <c r="Y62" i="2"/>
  <c r="L27" i="2"/>
  <c r="L64" i="2"/>
  <c r="AR23" i="2"/>
  <c r="G64" i="2"/>
  <c r="Y52" i="2"/>
  <c r="AR33" i="2"/>
  <c r="Q64" i="2"/>
  <c r="AR49" i="2"/>
  <c r="Y41" i="2"/>
  <c r="Y69" i="2"/>
  <c r="AD41" i="2"/>
  <c r="AD69" i="2"/>
  <c r="AI40" i="2"/>
  <c r="AX33" i="2"/>
  <c r="AD33" i="2"/>
  <c r="AI48" i="2"/>
  <c r="AI37" i="2"/>
  <c r="Y48" i="2"/>
  <c r="AI45" i="2"/>
  <c r="Y37" i="2"/>
  <c r="AD48" i="2"/>
  <c r="G44" i="2"/>
  <c r="Y27" i="2"/>
  <c r="AD63" i="2"/>
  <c r="AI67" i="2"/>
  <c r="L52" i="2"/>
  <c r="AD58" i="2"/>
  <c r="Y67" i="2"/>
  <c r="Y63" i="2"/>
  <c r="Y57" i="2"/>
  <c r="AI63" i="2"/>
  <c r="AI47" i="2"/>
  <c r="G54" i="2"/>
  <c r="AR45" i="2"/>
  <c r="AS46" i="2" s="1"/>
  <c r="AT46" i="2" s="1"/>
  <c r="AU46" i="2" s="1"/>
  <c r="AW46" i="2" s="1"/>
  <c r="AR69" i="2"/>
  <c r="L15" i="2"/>
  <c r="G45" i="2"/>
  <c r="Q15" i="2"/>
  <c r="G60" i="2"/>
  <c r="L35" i="2"/>
  <c r="Q51" i="2"/>
  <c r="G59" i="2"/>
  <c r="Q54" i="2"/>
  <c r="L40" i="2"/>
  <c r="AD46" i="2"/>
  <c r="L51" i="2"/>
  <c r="Y10" i="2"/>
  <c r="AI61" i="2"/>
  <c r="G40" i="2"/>
  <c r="AD10" i="2"/>
  <c r="Y22" i="2"/>
  <c r="AD27" i="2"/>
  <c r="AD65" i="2"/>
  <c r="AD7" i="2"/>
  <c r="G7" i="2"/>
  <c r="Q35" i="2"/>
  <c r="AI10" i="2"/>
  <c r="L20" i="2"/>
  <c r="AR7" i="2"/>
  <c r="AD14" i="2"/>
  <c r="L65" i="2"/>
  <c r="Y14" i="2"/>
  <c r="AI53" i="2"/>
  <c r="Q38" i="2"/>
  <c r="L44" i="2"/>
  <c r="AI29" i="2"/>
  <c r="L12" i="2"/>
  <c r="AD72" i="2"/>
  <c r="Q65" i="2"/>
  <c r="Q25" i="2"/>
  <c r="AD53" i="2"/>
  <c r="G63" i="2"/>
  <c r="G36" i="2"/>
  <c r="AR65" i="2"/>
  <c r="AS63" i="2" s="1"/>
  <c r="AT63" i="2" s="1"/>
  <c r="BE63" i="2" s="1"/>
  <c r="AD29" i="2"/>
  <c r="L58" i="2"/>
  <c r="L72" i="2"/>
  <c r="AI17" i="2"/>
  <c r="AI15" i="2"/>
  <c r="Y34" i="2"/>
  <c r="L50" i="2"/>
  <c r="AX30" i="2"/>
  <c r="G68" i="2"/>
  <c r="AI7" i="2"/>
  <c r="AX23" i="2"/>
  <c r="G19" i="2"/>
  <c r="AX34" i="2"/>
  <c r="Q50" i="2"/>
  <c r="Y29" i="2"/>
  <c r="AX60" i="2"/>
  <c r="AY58" i="2" s="1"/>
  <c r="AZ58" i="2" s="1"/>
  <c r="BA58" i="2" s="1"/>
  <c r="Y58" i="2"/>
  <c r="AR63" i="2"/>
  <c r="L54" i="2"/>
  <c r="L21" i="2"/>
  <c r="AX72" i="2"/>
  <c r="Y45" i="2"/>
  <c r="AX20" i="2"/>
  <c r="L71" i="2"/>
  <c r="G25" i="2"/>
  <c r="G50" i="2"/>
  <c r="Y55" i="2"/>
  <c r="Y16" i="2"/>
  <c r="AR6" i="2"/>
  <c r="L68" i="2"/>
  <c r="L24" i="2"/>
  <c r="Q19" i="2"/>
  <c r="Y20" i="2"/>
  <c r="AD16" i="2"/>
  <c r="AX61" i="2"/>
  <c r="G6" i="2"/>
  <c r="G33" i="2"/>
  <c r="AI58" i="2"/>
  <c r="AI72" i="2"/>
  <c r="AI20" i="2"/>
  <c r="AI60" i="2"/>
  <c r="AI16" i="2"/>
  <c r="AD43" i="2"/>
  <c r="L33" i="2"/>
  <c r="AI28" i="2"/>
  <c r="Y30" i="2"/>
  <c r="AI49" i="2"/>
  <c r="Q71" i="2"/>
  <c r="AR25" i="2"/>
  <c r="Y7" i="2"/>
  <c r="Y53" i="2"/>
  <c r="Q60" i="2"/>
  <c r="AD34" i="2"/>
  <c r="Q72" i="2"/>
  <c r="AD61" i="2"/>
  <c r="Q6" i="2"/>
  <c r="Q68" i="2"/>
  <c r="AR72" i="2"/>
  <c r="AI30" i="2"/>
  <c r="Q28" i="2"/>
  <c r="AR39" i="2"/>
  <c r="Y40" i="2"/>
  <c r="L28" i="2"/>
  <c r="G39" i="2"/>
  <c r="Q66" i="2"/>
  <c r="AD40" i="2"/>
  <c r="AD32" i="2"/>
  <c r="G28" i="2"/>
  <c r="AI46" i="2"/>
  <c r="AX35" i="2"/>
  <c r="Y46" i="2"/>
  <c r="Y35" i="2"/>
  <c r="G34" i="2"/>
  <c r="AR34" i="2"/>
  <c r="Y32" i="2"/>
  <c r="AD38" i="2"/>
  <c r="AI38" i="2"/>
  <c r="AI22" i="2"/>
  <c r="L32" i="2"/>
  <c r="L38" i="2"/>
  <c r="Q44" i="2"/>
  <c r="AX49" i="2"/>
  <c r="AR66" i="2"/>
  <c r="AR71" i="2"/>
  <c r="L17" i="2"/>
  <c r="AI14" i="2"/>
  <c r="Q17" i="2"/>
  <c r="AX70" i="2"/>
  <c r="Y70" i="2"/>
  <c r="Y38" i="2"/>
  <c r="AR38" i="2"/>
  <c r="AI43" i="2"/>
  <c r="Q52" i="2"/>
  <c r="Y43" i="2"/>
  <c r="L36" i="2"/>
  <c r="AD70" i="2"/>
  <c r="Q34" i="2"/>
  <c r="AD59" i="2"/>
  <c r="AR17" i="2"/>
  <c r="AI23" i="2"/>
  <c r="Y23" i="2"/>
  <c r="AX17" i="2"/>
  <c r="Y17" i="2"/>
  <c r="Q24" i="2"/>
  <c r="G24" i="2"/>
  <c r="AD37" i="2"/>
  <c r="AI59" i="2"/>
  <c r="AX15" i="2"/>
  <c r="Y15" i="2"/>
  <c r="Y59" i="2"/>
  <c r="G66" i="2"/>
  <c r="AR21" i="2"/>
  <c r="G21" i="2"/>
  <c r="AR56" i="2"/>
  <c r="L56" i="2"/>
  <c r="G56" i="2"/>
  <c r="Q56" i="2"/>
  <c r="Y51" i="2"/>
  <c r="AX51" i="2"/>
  <c r="AI51" i="2"/>
  <c r="AD51" i="2"/>
  <c r="Q18" i="2"/>
  <c r="L18" i="2"/>
  <c r="G18" i="2"/>
  <c r="G58" i="2"/>
  <c r="AX13" i="2"/>
  <c r="Y13" i="2"/>
  <c r="AD13" i="2"/>
  <c r="AI13" i="2"/>
  <c r="AX28" i="2"/>
  <c r="AX36" i="2"/>
  <c r="AI36" i="2"/>
  <c r="AD36" i="2"/>
  <c r="Y36" i="2"/>
  <c r="AR53" i="2"/>
  <c r="AI32" i="2"/>
  <c r="AI44" i="2"/>
  <c r="AR46" i="2"/>
  <c r="G46" i="2"/>
  <c r="L46" i="2"/>
  <c r="Q46" i="2"/>
  <c r="AX26" i="2"/>
  <c r="Y26" i="2"/>
  <c r="AD26" i="2"/>
  <c r="AI26" i="2"/>
  <c r="Y11" i="2"/>
  <c r="AI11" i="2"/>
  <c r="AX11" i="2"/>
  <c r="AD11" i="2"/>
  <c r="AD54" i="2"/>
  <c r="Y54" i="2"/>
  <c r="AI54" i="2"/>
  <c r="L31" i="2"/>
  <c r="Q31" i="2"/>
  <c r="G31" i="2"/>
  <c r="AR31" i="2"/>
  <c r="AR11" i="2"/>
  <c r="L11" i="2"/>
  <c r="Q11" i="2"/>
  <c r="G11" i="2"/>
  <c r="L13" i="2"/>
  <c r="Q13" i="2"/>
  <c r="G13" i="2"/>
  <c r="AR13" i="2"/>
  <c r="AR58" i="2"/>
  <c r="Y44" i="2"/>
  <c r="AX56" i="2"/>
  <c r="AY57" i="2" s="1"/>
  <c r="AZ57" i="2" s="1"/>
  <c r="Y56" i="2"/>
  <c r="AD56" i="2"/>
  <c r="AI56" i="2"/>
  <c r="G42" i="2"/>
  <c r="Q42" i="2"/>
  <c r="L42" i="2"/>
  <c r="AX25" i="2"/>
  <c r="AD25" i="2"/>
  <c r="Y25" i="2"/>
  <c r="AI25" i="2"/>
  <c r="Q10" i="2"/>
  <c r="AR10" i="2"/>
  <c r="L10" i="2"/>
  <c r="G10" i="2"/>
  <c r="G14" i="2"/>
  <c r="L14" i="2"/>
  <c r="Q14" i="2"/>
  <c r="AX42" i="2"/>
  <c r="AD42" i="2"/>
  <c r="Y42" i="2"/>
  <c r="AI42" i="2"/>
  <c r="Q55" i="2"/>
  <c r="AR55" i="2"/>
  <c r="L55" i="2"/>
  <c r="G55" i="2"/>
  <c r="AR18" i="2"/>
  <c r="AX24" i="2"/>
  <c r="AI24" i="2"/>
  <c r="AD24" i="2"/>
  <c r="Y24" i="2"/>
  <c r="AX8" i="2"/>
  <c r="AI8" i="2"/>
  <c r="AD8" i="2"/>
  <c r="Y8" i="2"/>
  <c r="Y28" i="2"/>
  <c r="Y31" i="2"/>
  <c r="AI31" i="2"/>
  <c r="AD31" i="2"/>
  <c r="AX31" i="2"/>
  <c r="AR14" i="2"/>
  <c r="AD44" i="2"/>
  <c r="Y39" i="2"/>
  <c r="AD39" i="2"/>
  <c r="AI39" i="2"/>
  <c r="AX39" i="2"/>
  <c r="AR61" i="2"/>
  <c r="AS59" i="2" s="1"/>
  <c r="AT59" i="2" s="1"/>
  <c r="L61" i="2"/>
  <c r="Q61" i="2"/>
  <c r="G61" i="2"/>
  <c r="AX21" i="2"/>
  <c r="AI21" i="2"/>
  <c r="AD21" i="2"/>
  <c r="Y21" i="2"/>
  <c r="AX9" i="2"/>
  <c r="AD9" i="2"/>
  <c r="Y9" i="2"/>
  <c r="AI9" i="2"/>
  <c r="Q63" i="2"/>
  <c r="G57" i="2"/>
  <c r="L57" i="2"/>
  <c r="Q57" i="2"/>
  <c r="G53" i="2"/>
  <c r="Q53" i="2"/>
  <c r="Q32" i="2"/>
  <c r="AR32" i="2"/>
  <c r="AY64" i="2"/>
  <c r="AZ64" i="2" s="1"/>
  <c r="BF64" i="2" s="1"/>
  <c r="AY65" i="2"/>
  <c r="AZ65" i="2" s="1"/>
  <c r="BA65" i="2" s="1"/>
  <c r="BC65" i="2" s="1"/>
  <c r="AY45" i="2"/>
  <c r="AZ45" i="2" s="1"/>
  <c r="BA45" i="2" s="1"/>
  <c r="AY44" i="2" l="1"/>
  <c r="AZ44" i="2" s="1"/>
  <c r="BA44" i="2" s="1"/>
  <c r="BB44" i="2" s="1"/>
  <c r="AY63" i="2"/>
  <c r="AZ63" i="2" s="1"/>
  <c r="BA63" i="2" s="1"/>
  <c r="BC63" i="2" s="1"/>
  <c r="AY43" i="2"/>
  <c r="AZ43" i="2" s="1"/>
  <c r="BA43" i="2" s="1"/>
  <c r="BC43" i="2" s="1"/>
  <c r="AY66" i="2"/>
  <c r="AZ66" i="2" s="1"/>
  <c r="BA66" i="2" s="1"/>
  <c r="AY47" i="2"/>
  <c r="AZ47" i="2" s="1"/>
  <c r="BA47" i="2" s="1"/>
  <c r="AY62" i="2"/>
  <c r="AZ62" i="2" s="1"/>
  <c r="BA62" i="2" s="1"/>
  <c r="BC62" i="2" s="1"/>
  <c r="AY48" i="2"/>
  <c r="AZ48" i="2" s="1"/>
  <c r="BA48" i="2" s="1"/>
  <c r="BC48" i="2" s="1"/>
  <c r="AY51" i="2"/>
  <c r="AZ51" i="2" s="1"/>
  <c r="BA51" i="2" s="1"/>
  <c r="AY38" i="2"/>
  <c r="AZ38" i="2" s="1"/>
  <c r="BA38" i="2" s="1"/>
  <c r="AS45" i="2"/>
  <c r="AT45" i="2" s="1"/>
  <c r="AS43" i="2"/>
  <c r="AT43" i="2" s="1"/>
  <c r="AS48" i="2"/>
  <c r="AT48" i="2" s="1"/>
  <c r="BE48" i="2" s="1"/>
  <c r="AS26" i="2"/>
  <c r="AT26" i="2" s="1"/>
  <c r="AU26" i="2" s="1"/>
  <c r="AV26" i="2" s="1"/>
  <c r="AS72" i="2"/>
  <c r="AT72" i="2" s="1"/>
  <c r="AS49" i="2"/>
  <c r="AT49" i="2" s="1"/>
  <c r="AU49" i="2" s="1"/>
  <c r="AW49" i="2" s="1"/>
  <c r="AS64" i="2"/>
  <c r="AT64" i="2" s="1"/>
  <c r="BE64" i="2" s="1"/>
  <c r="AS71" i="2"/>
  <c r="AT71" i="2" s="1"/>
  <c r="AU71" i="2" s="1"/>
  <c r="AS51" i="2"/>
  <c r="AT51" i="2" s="1"/>
  <c r="AU51" i="2" s="1"/>
  <c r="AS57" i="2"/>
  <c r="AT57" i="2" s="1"/>
  <c r="AS52" i="2"/>
  <c r="AT52" i="2" s="1"/>
  <c r="AS50" i="2"/>
  <c r="AT50" i="2" s="1"/>
  <c r="AS66" i="2"/>
  <c r="AT66" i="2" s="1"/>
  <c r="AU66" i="2" s="1"/>
  <c r="AW66" i="2" s="1"/>
  <c r="AS30" i="2"/>
  <c r="AT30" i="2" s="1"/>
  <c r="BE30" i="2" s="1"/>
  <c r="AS35" i="2"/>
  <c r="AT35" i="2" s="1"/>
  <c r="AU35" i="2" s="1"/>
  <c r="AV35" i="2" s="1"/>
  <c r="AY33" i="2"/>
  <c r="AZ33" i="2" s="1"/>
  <c r="BA33" i="2" s="1"/>
  <c r="BF47" i="2"/>
  <c r="BF67" i="2"/>
  <c r="AS14" i="2"/>
  <c r="AT14" i="2" s="1"/>
  <c r="BF45" i="2"/>
  <c r="AS44" i="2"/>
  <c r="AT44" i="2" s="1"/>
  <c r="AU44" i="2" s="1"/>
  <c r="AW44" i="2" s="1"/>
  <c r="AY40" i="2"/>
  <c r="AZ40" i="2" s="1"/>
  <c r="BF40" i="2" s="1"/>
  <c r="AS36" i="2"/>
  <c r="AT36" i="2" s="1"/>
  <c r="AU36" i="2" s="1"/>
  <c r="AY61" i="2"/>
  <c r="AZ61" i="2" s="1"/>
  <c r="BF61" i="2" s="1"/>
  <c r="AS47" i="2"/>
  <c r="AT47" i="2" s="1"/>
  <c r="BE47" i="2" s="1"/>
  <c r="AY50" i="2"/>
  <c r="AZ50" i="2" s="1"/>
  <c r="BF50" i="2" s="1"/>
  <c r="AS34" i="2"/>
  <c r="AT34" i="2" s="1"/>
  <c r="AU34" i="2" s="1"/>
  <c r="AV34" i="2" s="1"/>
  <c r="AY60" i="2"/>
  <c r="AZ60" i="2" s="1"/>
  <c r="BA60" i="2" s="1"/>
  <c r="BC60" i="2" s="1"/>
  <c r="AS12" i="2"/>
  <c r="AT12" i="2" s="1"/>
  <c r="AU12" i="2" s="1"/>
  <c r="AW12" i="2" s="1"/>
  <c r="AY49" i="2"/>
  <c r="AZ49" i="2" s="1"/>
  <c r="BF49" i="2" s="1"/>
  <c r="AS33" i="2"/>
  <c r="AT33" i="2" s="1"/>
  <c r="AU33" i="2" s="1"/>
  <c r="AW33" i="2" s="1"/>
  <c r="AY41" i="2"/>
  <c r="AZ41" i="2" s="1"/>
  <c r="BA41" i="2" s="1"/>
  <c r="AS67" i="2"/>
  <c r="AT67" i="2" s="1"/>
  <c r="AS37" i="2"/>
  <c r="AT37" i="2" s="1"/>
  <c r="AU37" i="2" s="1"/>
  <c r="AW37" i="2" s="1"/>
  <c r="AY24" i="2"/>
  <c r="AZ24" i="2" s="1"/>
  <c r="BA24" i="2" s="1"/>
  <c r="AS69" i="2"/>
  <c r="AT69" i="2" s="1"/>
  <c r="AU69" i="2" s="1"/>
  <c r="AY70" i="2"/>
  <c r="AZ70" i="2" s="1"/>
  <c r="BF70" i="2" s="1"/>
  <c r="AY37" i="2"/>
  <c r="AZ37" i="2" s="1"/>
  <c r="BF37" i="2" s="1"/>
  <c r="AS65" i="2"/>
  <c r="AT65" i="2" s="1"/>
  <c r="BE65" i="2" s="1"/>
  <c r="AY52" i="2"/>
  <c r="AZ52" i="2" s="1"/>
  <c r="BA52" i="2" s="1"/>
  <c r="AS24" i="2"/>
  <c r="AT24" i="2" s="1"/>
  <c r="AU24" i="2" s="1"/>
  <c r="AS27" i="2"/>
  <c r="AT27" i="2" s="1"/>
  <c r="AU27" i="2" s="1"/>
  <c r="AY34" i="2"/>
  <c r="AZ34" i="2" s="1"/>
  <c r="BA34" i="2" s="1"/>
  <c r="AY59" i="2"/>
  <c r="AZ59" i="2" s="1"/>
  <c r="BA59" i="2" s="1"/>
  <c r="AS32" i="2"/>
  <c r="AT32" i="2" s="1"/>
  <c r="AU32" i="2" s="1"/>
  <c r="AS70" i="2"/>
  <c r="AT70" i="2" s="1"/>
  <c r="AU70" i="2" s="1"/>
  <c r="AW70" i="2" s="1"/>
  <c r="AY42" i="2"/>
  <c r="AZ42" i="2" s="1"/>
  <c r="BA42" i="2" s="1"/>
  <c r="BC42" i="2" s="1"/>
  <c r="AY35" i="2"/>
  <c r="AZ35" i="2" s="1"/>
  <c r="BF35" i="2" s="1"/>
  <c r="AS28" i="2"/>
  <c r="AT28" i="2" s="1"/>
  <c r="AU28" i="2" s="1"/>
  <c r="AV28" i="2" s="1"/>
  <c r="AS25" i="2"/>
  <c r="AT25" i="2" s="1"/>
  <c r="BE25" i="2" s="1"/>
  <c r="AY36" i="2"/>
  <c r="AZ36" i="2" s="1"/>
  <c r="BA36" i="2" s="1"/>
  <c r="AS68" i="2"/>
  <c r="AT68" i="2" s="1"/>
  <c r="AU68" i="2" s="1"/>
  <c r="AS29" i="2"/>
  <c r="AT29" i="2" s="1"/>
  <c r="AU29" i="2" s="1"/>
  <c r="AS23" i="2"/>
  <c r="AT23" i="2" s="1"/>
  <c r="AU23" i="2" s="1"/>
  <c r="BF43" i="2"/>
  <c r="AY28" i="2"/>
  <c r="AZ28" i="2" s="1"/>
  <c r="BF28" i="2" s="1"/>
  <c r="AY19" i="2"/>
  <c r="AZ19" i="2" s="1"/>
  <c r="BA19" i="2" s="1"/>
  <c r="AY72" i="2"/>
  <c r="AZ72" i="2" s="1"/>
  <c r="BA72" i="2" s="1"/>
  <c r="BB67" i="2"/>
  <c r="AY68" i="2"/>
  <c r="AZ68" i="2" s="1"/>
  <c r="BF68" i="2" s="1"/>
  <c r="AS16" i="2"/>
  <c r="AT16" i="2" s="1"/>
  <c r="AU16" i="2" s="1"/>
  <c r="AW16" i="2" s="1"/>
  <c r="AY71" i="2"/>
  <c r="AZ71" i="2" s="1"/>
  <c r="BF71" i="2" s="1"/>
  <c r="AY69" i="2"/>
  <c r="AZ69" i="2" s="1"/>
  <c r="BF69" i="2" s="1"/>
  <c r="AY56" i="2"/>
  <c r="AZ56" i="2" s="1"/>
  <c r="BF56" i="2" s="1"/>
  <c r="AY30" i="2"/>
  <c r="AZ30" i="2" s="1"/>
  <c r="BA30" i="2" s="1"/>
  <c r="AY11" i="2"/>
  <c r="AZ11" i="2" s="1"/>
  <c r="BA11" i="2" s="1"/>
  <c r="AS53" i="2"/>
  <c r="AT53" i="2" s="1"/>
  <c r="AU53" i="2" s="1"/>
  <c r="AS61" i="2"/>
  <c r="AT61" i="2" s="1"/>
  <c r="AU61" i="2" s="1"/>
  <c r="AS8" i="2"/>
  <c r="AT8" i="2" s="1"/>
  <c r="BE8" i="2" s="1"/>
  <c r="AS38" i="2"/>
  <c r="AT38" i="2" s="1"/>
  <c r="AU38" i="2" s="1"/>
  <c r="AS7" i="2"/>
  <c r="AT7" i="2" s="1"/>
  <c r="AU7" i="2" s="1"/>
  <c r="AY54" i="2"/>
  <c r="AZ54" i="2" s="1"/>
  <c r="BA54" i="2" s="1"/>
  <c r="BC54" i="2" s="1"/>
  <c r="AS9" i="2"/>
  <c r="AT9" i="2" s="1"/>
  <c r="BE9" i="2" s="1"/>
  <c r="AW26" i="2"/>
  <c r="BE26" i="2"/>
  <c r="AS15" i="2"/>
  <c r="AT15" i="2" s="1"/>
  <c r="AU15" i="2" s="1"/>
  <c r="AW15" i="2" s="1"/>
  <c r="AY7" i="2"/>
  <c r="AZ7" i="2" s="1"/>
  <c r="BF7" i="2" s="1"/>
  <c r="AS11" i="2"/>
  <c r="AT11" i="2" s="1"/>
  <c r="BE11" i="2" s="1"/>
  <c r="BB43" i="2"/>
  <c r="AS6" i="2"/>
  <c r="AT6" i="2" s="1"/>
  <c r="AU6" i="2" s="1"/>
  <c r="AS10" i="2"/>
  <c r="AT10" i="2" s="1"/>
  <c r="BE10" i="2" s="1"/>
  <c r="AS40" i="2"/>
  <c r="AT40" i="2" s="1"/>
  <c r="AU40" i="2" s="1"/>
  <c r="AS20" i="2"/>
  <c r="AT20" i="2" s="1"/>
  <c r="BE20" i="2" s="1"/>
  <c r="AS39" i="2"/>
  <c r="AT39" i="2" s="1"/>
  <c r="AU39" i="2" s="1"/>
  <c r="AS13" i="2"/>
  <c r="AT13" i="2" s="1"/>
  <c r="AU13" i="2" s="1"/>
  <c r="AW13" i="2" s="1"/>
  <c r="AY23" i="2"/>
  <c r="AZ23" i="2" s="1"/>
  <c r="BF23" i="2" s="1"/>
  <c r="BF62" i="2"/>
  <c r="AS41" i="2"/>
  <c r="AT41" i="2" s="1"/>
  <c r="BE41" i="2" s="1"/>
  <c r="AY39" i="2"/>
  <c r="AZ39" i="2" s="1"/>
  <c r="BA39" i="2" s="1"/>
  <c r="BB39" i="2" s="1"/>
  <c r="AY55" i="2"/>
  <c r="AZ55" i="2" s="1"/>
  <c r="AS17" i="2"/>
  <c r="AT17" i="2" s="1"/>
  <c r="AU17" i="2" s="1"/>
  <c r="AW17" i="2" s="1"/>
  <c r="BB62" i="2"/>
  <c r="AS42" i="2"/>
  <c r="AT42" i="2" s="1"/>
  <c r="AU42" i="2" s="1"/>
  <c r="BF58" i="2"/>
  <c r="AY53" i="2"/>
  <c r="AZ53" i="2" s="1"/>
  <c r="AS19" i="2"/>
  <c r="AT19" i="2" s="1"/>
  <c r="AU19" i="2" s="1"/>
  <c r="AS18" i="2"/>
  <c r="AT18" i="2" s="1"/>
  <c r="AU18" i="2" s="1"/>
  <c r="AS22" i="2"/>
  <c r="AT22" i="2" s="1"/>
  <c r="AU22" i="2" s="1"/>
  <c r="AS21" i="2"/>
  <c r="AT21" i="2" s="1"/>
  <c r="AU21" i="2" s="1"/>
  <c r="AW21" i="2" s="1"/>
  <c r="BA57" i="2"/>
  <c r="BF57" i="2"/>
  <c r="AY16" i="2"/>
  <c r="AZ16" i="2" s="1"/>
  <c r="BF16" i="2" s="1"/>
  <c r="AS62" i="2"/>
  <c r="AT62" i="2" s="1"/>
  <c r="AS58" i="2"/>
  <c r="AT58" i="2" s="1"/>
  <c r="AS54" i="2"/>
  <c r="AT54" i="2" s="1"/>
  <c r="BE54" i="2" s="1"/>
  <c r="AS31" i="2"/>
  <c r="AT31" i="2" s="1"/>
  <c r="AS60" i="2"/>
  <c r="AT60" i="2" s="1"/>
  <c r="AU60" i="2" s="1"/>
  <c r="AW60" i="2" s="1"/>
  <c r="AY9" i="2"/>
  <c r="AZ9" i="2" s="1"/>
  <c r="AS55" i="2"/>
  <c r="AT55" i="2" s="1"/>
  <c r="BE55" i="2" s="1"/>
  <c r="AY10" i="2"/>
  <c r="AZ10" i="2" s="1"/>
  <c r="BA10" i="2" s="1"/>
  <c r="BB65" i="2"/>
  <c r="AY21" i="2"/>
  <c r="AZ21" i="2" s="1"/>
  <c r="BA21" i="2" s="1"/>
  <c r="AY25" i="2"/>
  <c r="AZ25" i="2" s="1"/>
  <c r="AY15" i="2"/>
  <c r="AZ15" i="2" s="1"/>
  <c r="BA15" i="2" s="1"/>
  <c r="AS56" i="2"/>
  <c r="AT56" i="2" s="1"/>
  <c r="BE56" i="2" s="1"/>
  <c r="AY8" i="2"/>
  <c r="AZ8" i="2" s="1"/>
  <c r="BF8" i="2" s="1"/>
  <c r="AY20" i="2"/>
  <c r="AZ20" i="2" s="1"/>
  <c r="BF20" i="2" s="1"/>
  <c r="AY29" i="2"/>
  <c r="AZ29" i="2" s="1"/>
  <c r="BA29" i="2" s="1"/>
  <c r="AY26" i="2"/>
  <c r="AZ26" i="2" s="1"/>
  <c r="AY6" i="2"/>
  <c r="AZ6" i="2" s="1"/>
  <c r="AY18" i="2"/>
  <c r="AZ18" i="2" s="1"/>
  <c r="AY12" i="2"/>
  <c r="AZ12" i="2" s="1"/>
  <c r="AY17" i="2"/>
  <c r="AZ17" i="2" s="1"/>
  <c r="AY22" i="2"/>
  <c r="AZ22" i="2" s="1"/>
  <c r="AY14" i="2"/>
  <c r="AZ14" i="2" s="1"/>
  <c r="BF14" i="2" s="1"/>
  <c r="BA46" i="2"/>
  <c r="BB46" i="2" s="1"/>
  <c r="BE34" i="2"/>
  <c r="AY13" i="2"/>
  <c r="AZ13" i="2" s="1"/>
  <c r="BA13" i="2" s="1"/>
  <c r="AY32" i="2"/>
  <c r="AZ32" i="2" s="1"/>
  <c r="BF32" i="2" s="1"/>
  <c r="BF65" i="2"/>
  <c r="AY31" i="2"/>
  <c r="AZ31" i="2" s="1"/>
  <c r="AY27" i="2"/>
  <c r="AZ27" i="2" s="1"/>
  <c r="BE66" i="2"/>
  <c r="AU64" i="2"/>
  <c r="AV64" i="2" s="1"/>
  <c r="AU48" i="2"/>
  <c r="AV48" i="2" s="1"/>
  <c r="AV51" i="2"/>
  <c r="AW51" i="2"/>
  <c r="BE51" i="2"/>
  <c r="AV46" i="2"/>
  <c r="BE28" i="2"/>
  <c r="BE46" i="2"/>
  <c r="BF44" i="2"/>
  <c r="AU63" i="2"/>
  <c r="AW63" i="2" s="1"/>
  <c r="BA64" i="2"/>
  <c r="BC64" i="2" s="1"/>
  <c r="BC47" i="2"/>
  <c r="BB47" i="2"/>
  <c r="BE45" i="2"/>
  <c r="AU45" i="2"/>
  <c r="BC66" i="2"/>
  <c r="BB66" i="2"/>
  <c r="BF38" i="2"/>
  <c r="BC45" i="2"/>
  <c r="BB45" i="2"/>
  <c r="BF41" i="2"/>
  <c r="AU43" i="2"/>
  <c r="BE43" i="2"/>
  <c r="BA28" i="2"/>
  <c r="AU52" i="2"/>
  <c r="BE52" i="2"/>
  <c r="BC44" i="2"/>
  <c r="BA37" i="2"/>
  <c r="BE38" i="2"/>
  <c r="BC58" i="2"/>
  <c r="BB58" i="2"/>
  <c r="BF11" i="2"/>
  <c r="BE57" i="2"/>
  <c r="AU57" i="2"/>
  <c r="AU14" i="2"/>
  <c r="BE14" i="2"/>
  <c r="AU72" i="2"/>
  <c r="BE72" i="2"/>
  <c r="BE6" i="2"/>
  <c r="AU50" i="2"/>
  <c r="BE50" i="2"/>
  <c r="AU67" i="2"/>
  <c r="BE67" i="2"/>
  <c r="AU59" i="2"/>
  <c r="BE59" i="2"/>
  <c r="BB63" i="2" l="1"/>
  <c r="BF63" i="2"/>
  <c r="BA49" i="2"/>
  <c r="BF66" i="2"/>
  <c r="BA68" i="2"/>
  <c r="BB68" i="2" s="1"/>
  <c r="BF33" i="2"/>
  <c r="BB48" i="2"/>
  <c r="BF59" i="2"/>
  <c r="BF48" i="2"/>
  <c r="BA35" i="2"/>
  <c r="BC35" i="2" s="1"/>
  <c r="BF51" i="2"/>
  <c r="BA40" i="2"/>
  <c r="BC40" i="2" s="1"/>
  <c r="BF72" i="2"/>
  <c r="BF36" i="2"/>
  <c r="BA61" i="2"/>
  <c r="BA71" i="2"/>
  <c r="BB71" i="2" s="1"/>
  <c r="BA70" i="2"/>
  <c r="BC70" i="2" s="1"/>
  <c r="BE71" i="2"/>
  <c r="BE36" i="2"/>
  <c r="BE42" i="2"/>
  <c r="AV49" i="2"/>
  <c r="BE49" i="2"/>
  <c r="BE69" i="2"/>
  <c r="AW35" i="2"/>
  <c r="BE35" i="2"/>
  <c r="AU11" i="2"/>
  <c r="BE53" i="2"/>
  <c r="AU30" i="2"/>
  <c r="AV30" i="2" s="1"/>
  <c r="BE68" i="2"/>
  <c r="BE32" i="2"/>
  <c r="AV12" i="2"/>
  <c r="AV66" i="2"/>
  <c r="AU9" i="2"/>
  <c r="AW9" i="2" s="1"/>
  <c r="BE19" i="2"/>
  <c r="BE44" i="2"/>
  <c r="BA50" i="2"/>
  <c r="BC50" i="2" s="1"/>
  <c r="AV44" i="2"/>
  <c r="BF24" i="2"/>
  <c r="BE23" i="2"/>
  <c r="BA32" i="2"/>
  <c r="BC32" i="2" s="1"/>
  <c r="AV33" i="2"/>
  <c r="AU65" i="2"/>
  <c r="BE33" i="2"/>
  <c r="AW28" i="2"/>
  <c r="BE29" i="2"/>
  <c r="AV17" i="2"/>
  <c r="AU47" i="2"/>
  <c r="AW47" i="2" s="1"/>
  <c r="BF30" i="2"/>
  <c r="BF52" i="2"/>
  <c r="BC52" i="2"/>
  <c r="BB52" i="2"/>
  <c r="AV60" i="2"/>
  <c r="BE70" i="2"/>
  <c r="AV15" i="2"/>
  <c r="AU10" i="2"/>
  <c r="AW10" i="2" s="1"/>
  <c r="BF15" i="2"/>
  <c r="AV70" i="2"/>
  <c r="AW34" i="2"/>
  <c r="BE17" i="2"/>
  <c r="BB30" i="2"/>
  <c r="BC30" i="2"/>
  <c r="BE40" i="2"/>
  <c r="BE24" i="2"/>
  <c r="AV16" i="2"/>
  <c r="BE22" i="2"/>
  <c r="BA23" i="2"/>
  <c r="BB23" i="2" s="1"/>
  <c r="BE16" i="2"/>
  <c r="BF42" i="2"/>
  <c r="BE15" i="2"/>
  <c r="AV37" i="2"/>
  <c r="BF34" i="2"/>
  <c r="BE37" i="2"/>
  <c r="BE12" i="2"/>
  <c r="BF60" i="2"/>
  <c r="AU8" i="2"/>
  <c r="AW8" i="2" s="1"/>
  <c r="BB60" i="2"/>
  <c r="BF10" i="2"/>
  <c r="AV63" i="2"/>
  <c r="BF19" i="2"/>
  <c r="BE13" i="2"/>
  <c r="AU25" i="2"/>
  <c r="AW25" i="2" s="1"/>
  <c r="BF54" i="2"/>
  <c r="AW48" i="2"/>
  <c r="BE39" i="2"/>
  <c r="BF29" i="2"/>
  <c r="AV13" i="2"/>
  <c r="BE27" i="2"/>
  <c r="BA69" i="2"/>
  <c r="BC69" i="2" s="1"/>
  <c r="BF39" i="2"/>
  <c r="BC39" i="2"/>
  <c r="BE18" i="2"/>
  <c r="BE61" i="2"/>
  <c r="BA56" i="2"/>
  <c r="BC56" i="2" s="1"/>
  <c r="BB54" i="2"/>
  <c r="AU20" i="2"/>
  <c r="AW20" i="2" s="1"/>
  <c r="BB42" i="2"/>
  <c r="BA8" i="2"/>
  <c r="BC8" i="2" s="1"/>
  <c r="BE7" i="2"/>
  <c r="BE21" i="2"/>
  <c r="AV21" i="2"/>
  <c r="AU55" i="2"/>
  <c r="AW55" i="2" s="1"/>
  <c r="BA14" i="2"/>
  <c r="BB14" i="2" s="1"/>
  <c r="BA7" i="2"/>
  <c r="BF13" i="2"/>
  <c r="AU56" i="2"/>
  <c r="AW56" i="2" s="1"/>
  <c r="BA16" i="2"/>
  <c r="BC16" i="2" s="1"/>
  <c r="AU41" i="2"/>
  <c r="AW41" i="2" s="1"/>
  <c r="BA20" i="2"/>
  <c r="BB20" i="2" s="1"/>
  <c r="BF53" i="2"/>
  <c r="BA53" i="2"/>
  <c r="BF21" i="2"/>
  <c r="BF55" i="2"/>
  <c r="BA55" i="2"/>
  <c r="AU54" i="2"/>
  <c r="AW54" i="2" s="1"/>
  <c r="BA17" i="2"/>
  <c r="BF17" i="2"/>
  <c r="BF9" i="2"/>
  <c r="BA9" i="2"/>
  <c r="BC24" i="2"/>
  <c r="BB24" i="2"/>
  <c r="BA12" i="2"/>
  <c r="BF12" i="2"/>
  <c r="BA27" i="2"/>
  <c r="BF27" i="2"/>
  <c r="BA18" i="2"/>
  <c r="BF18" i="2"/>
  <c r="BA25" i="2"/>
  <c r="BF25" i="2"/>
  <c r="BE31" i="2"/>
  <c r="AU31" i="2"/>
  <c r="BA31" i="2"/>
  <c r="BF31" i="2"/>
  <c r="BA6" i="2"/>
  <c r="BF6" i="2"/>
  <c r="BC57" i="2"/>
  <c r="BB57" i="2"/>
  <c r="AU58" i="2"/>
  <c r="BE58" i="2"/>
  <c r="BC46" i="2"/>
  <c r="BE60" i="2"/>
  <c r="BE62" i="2"/>
  <c r="AU62" i="2"/>
  <c r="BF26" i="2"/>
  <c r="BA26" i="2"/>
  <c r="BA22" i="2"/>
  <c r="BF22" i="2"/>
  <c r="AW64" i="2"/>
  <c r="BB64" i="2"/>
  <c r="BC61" i="2"/>
  <c r="BB61" i="2"/>
  <c r="AW59" i="2"/>
  <c r="AV59" i="2"/>
  <c r="BB8" i="2"/>
  <c r="BC21" i="2"/>
  <c r="BB21" i="2"/>
  <c r="BC41" i="2"/>
  <c r="BB41" i="2"/>
  <c r="AV32" i="2"/>
  <c r="AW32" i="2"/>
  <c r="AV61" i="2"/>
  <c r="AW61" i="2"/>
  <c r="BC51" i="2"/>
  <c r="BB51" i="2"/>
  <c r="BC33" i="2"/>
  <c r="BB33" i="2"/>
  <c r="AV42" i="2"/>
  <c r="AW42" i="2"/>
  <c r="BB34" i="2"/>
  <c r="BC34" i="2"/>
  <c r="AV57" i="2"/>
  <c r="AW57" i="2"/>
  <c r="BB36" i="2"/>
  <c r="BC36" i="2"/>
  <c r="AW19" i="2"/>
  <c r="AV19" i="2"/>
  <c r="AV50" i="2"/>
  <c r="AW50" i="2"/>
  <c r="AW72" i="2"/>
  <c r="AV72" i="2"/>
  <c r="BC11" i="2"/>
  <c r="BB11" i="2"/>
  <c r="AV18" i="2"/>
  <c r="AW18" i="2"/>
  <c r="BC29" i="2"/>
  <c r="BB29" i="2"/>
  <c r="AW22" i="2"/>
  <c r="AV22" i="2"/>
  <c r="AW27" i="2"/>
  <c r="AV27" i="2"/>
  <c r="BB7" i="2"/>
  <c r="BC7" i="2"/>
  <c r="BC19" i="2"/>
  <c r="BB19" i="2"/>
  <c r="BC13" i="2"/>
  <c r="BB13" i="2"/>
  <c r="AW45" i="2"/>
  <c r="AV45" i="2"/>
  <c r="BC72" i="2"/>
  <c r="BB72" i="2"/>
  <c r="AW39" i="2"/>
  <c r="AV39" i="2"/>
  <c r="AW67" i="2"/>
  <c r="AV67" i="2"/>
  <c r="AW14" i="2"/>
  <c r="AV14" i="2"/>
  <c r="BC15" i="2"/>
  <c r="BB15" i="2"/>
  <c r="BC37" i="2"/>
  <c r="BB37" i="2"/>
  <c r="AW52" i="2"/>
  <c r="AV52" i="2"/>
  <c r="BB38" i="2"/>
  <c r="BC38" i="2"/>
  <c r="AW11" i="2"/>
  <c r="AV11" i="2"/>
  <c r="BC49" i="2"/>
  <c r="BB49" i="2"/>
  <c r="AW29" i="2"/>
  <c r="AV29" i="2"/>
  <c r="AW23" i="2"/>
  <c r="AV23" i="2"/>
  <c r="AV40" i="2"/>
  <c r="AW40" i="2"/>
  <c r="AV6" i="2"/>
  <c r="AW6" i="2"/>
  <c r="AW68" i="2"/>
  <c r="AV68" i="2"/>
  <c r="AW38" i="2"/>
  <c r="AV38" i="2"/>
  <c r="BB10" i="2"/>
  <c r="BC10" i="2"/>
  <c r="BB28" i="2"/>
  <c r="BC28" i="2"/>
  <c r="AW43" i="2"/>
  <c r="AV43" i="2"/>
  <c r="AV36" i="2"/>
  <c r="AW36" i="2"/>
  <c r="AW24" i="2"/>
  <c r="AV24" i="2"/>
  <c r="AW7" i="2"/>
  <c r="AV7" i="2"/>
  <c r="BB59" i="2"/>
  <c r="BC59" i="2"/>
  <c r="AW71" i="2"/>
  <c r="AV71" i="2"/>
  <c r="AV69" i="2"/>
  <c r="AW69" i="2"/>
  <c r="AV53" i="2"/>
  <c r="AW53" i="2"/>
  <c r="BC68" i="2" l="1"/>
  <c r="BC23" i="2"/>
  <c r="BC71" i="2"/>
  <c r="BB69" i="2"/>
  <c r="BB40" i="2"/>
  <c r="BB50" i="2"/>
  <c r="BB70" i="2"/>
  <c r="BB35" i="2"/>
  <c r="AV25" i="2"/>
  <c r="AW30" i="2"/>
  <c r="AV9" i="2"/>
  <c r="AV47" i="2"/>
  <c r="AV20" i="2"/>
  <c r="BC14" i="2"/>
  <c r="BB32" i="2"/>
  <c r="AV10" i="2"/>
  <c r="AV65" i="2"/>
  <c r="AW65" i="2"/>
  <c r="AV8" i="2"/>
  <c r="AV56" i="2"/>
  <c r="AV55" i="2"/>
  <c r="BC20" i="2"/>
  <c r="AV41" i="2"/>
  <c r="BB56" i="2"/>
  <c r="BB16" i="2"/>
  <c r="AV54" i="2"/>
  <c r="BC53" i="2"/>
  <c r="BB53" i="2"/>
  <c r="BC55" i="2"/>
  <c r="BB55" i="2"/>
  <c r="AW58" i="2"/>
  <c r="AV58" i="2"/>
  <c r="BC12" i="2"/>
  <c r="BB12" i="2"/>
  <c r="AV62" i="2"/>
  <c r="AW62" i="2"/>
  <c r="BC9" i="2"/>
  <c r="BB9" i="2"/>
  <c r="BC25" i="2"/>
  <c r="BB25" i="2"/>
  <c r="BB6" i="2"/>
  <c r="BC6" i="2"/>
  <c r="BB18" i="2"/>
  <c r="BC18" i="2"/>
  <c r="BC22" i="2"/>
  <c r="BB22" i="2"/>
  <c r="BC31" i="2"/>
  <c r="BB31" i="2"/>
  <c r="BB27" i="2"/>
  <c r="BC27" i="2"/>
  <c r="BC17" i="2"/>
  <c r="BB17" i="2"/>
  <c r="BC26" i="2"/>
  <c r="BB26" i="2"/>
  <c r="AW31" i="2"/>
  <c r="AV31" i="2"/>
</calcChain>
</file>

<file path=xl/sharedStrings.xml><?xml version="1.0" encoding="utf-8"?>
<sst xmlns="http://schemas.openxmlformats.org/spreadsheetml/2006/main" count="164" uniqueCount="97">
  <si>
    <t>Sex</t>
  </si>
  <si>
    <t>Event</t>
  </si>
  <si>
    <t>Kilometers</t>
  </si>
  <si>
    <t>Miles</t>
  </si>
  <si>
    <t>WR Seconds</t>
  </si>
  <si>
    <t>M</t>
  </si>
  <si>
    <t>MMarathon</t>
  </si>
  <si>
    <t>Marathon</t>
  </si>
  <si>
    <t>F</t>
  </si>
  <si>
    <t>FMarathon</t>
  </si>
  <si>
    <t>2003 - 2012</t>
  </si>
  <si>
    <t>2013 - 2019</t>
  </si>
  <si>
    <t>AG_Class_Bands</t>
  </si>
  <si>
    <t>Men</t>
  </si>
  <si>
    <t>Women</t>
  </si>
  <si>
    <t>Age</t>
  </si>
  <si>
    <t>Open_Standard_Men_20</t>
  </si>
  <si>
    <t>Age_Factor_Men_20</t>
  </si>
  <si>
    <t>Age Best_Men_20</t>
  </si>
  <si>
    <t>QT_Men_03_12</t>
  </si>
  <si>
    <t>QT_Men_03_12_min</t>
  </si>
  <si>
    <t>AG%_Men_03_12</t>
  </si>
  <si>
    <t>AG_Time_Men_03_12</t>
  </si>
  <si>
    <t>AG_Time_Men_03_12_min</t>
  </si>
  <si>
    <t>QT_Men_13_19</t>
  </si>
  <si>
    <t>QT_Men_13_19_min</t>
  </si>
  <si>
    <t>AG%_Men_13_19</t>
  </si>
  <si>
    <t>AG_Time_Men_13_19</t>
  </si>
  <si>
    <t>AG_Time_Men_13_19_min</t>
  </si>
  <si>
    <t>QT_Men_2020</t>
  </si>
  <si>
    <t>QT_Men_2020_min</t>
  </si>
  <si>
    <t>AG%_Men_2020</t>
  </si>
  <si>
    <t>AG_Time_Men_2020</t>
  </si>
  <si>
    <t>AG_Time_Men_2021</t>
  </si>
  <si>
    <t>Open_Standard_Women</t>
  </si>
  <si>
    <t>Age_Factor_Women</t>
  </si>
  <si>
    <t>Age Best_Women</t>
  </si>
  <si>
    <t>Qualifying_Time_Women_03_12</t>
  </si>
  <si>
    <t>Qualifying_Time_Women_03_12_min</t>
  </si>
  <si>
    <t>AG%_Women_03_12</t>
  </si>
  <si>
    <t>AG_Time_Women_03_12</t>
  </si>
  <si>
    <t>AG_Time_Women_03_12_min</t>
  </si>
  <si>
    <t>Qualifying_Time_Women_13_19</t>
  </si>
  <si>
    <t>Qualifying_Time_Women_13_19_min</t>
  </si>
  <si>
    <t>AG%_Women_13_19</t>
  </si>
  <si>
    <t>AG_Time_Women_13_19</t>
  </si>
  <si>
    <t>AG_Time_Women_13_19_min</t>
  </si>
  <si>
    <t>Qualifying_Time_Women_2020</t>
  </si>
  <si>
    <t>Qualifying_Time_Women_2020_min</t>
  </si>
  <si>
    <t>AG%_Women_2020</t>
  </si>
  <si>
    <t>AG_Time_Women_2020</t>
  </si>
  <si>
    <t>AG_Time_Women_2020_min</t>
  </si>
  <si>
    <t>No Ranking</t>
  </si>
  <si>
    <t>Local Class</t>
  </si>
  <si>
    <t>Regional Class</t>
  </si>
  <si>
    <t>National Class</t>
  </si>
  <si>
    <t>World Class</t>
  </si>
  <si>
    <t>Proposed_uniform_AG%</t>
  </si>
  <si>
    <t>Proposed_QT_M</t>
  </si>
  <si>
    <t>Proposed_QT_M_Agegrouped</t>
  </si>
  <si>
    <t>Proposed_QT_M_Agegrouped_roundedup</t>
  </si>
  <si>
    <t>Proposed_QT_M_Agegrouped_roundedup_min</t>
  </si>
  <si>
    <t>Time_diff_from_existing_M</t>
  </si>
  <si>
    <t>Percentage_diff_from_existing_M</t>
  </si>
  <si>
    <t>Proposed_QT_W</t>
  </si>
  <si>
    <t>Proposed_QT_W_Agegrouped</t>
  </si>
  <si>
    <t>Proposed_QT_W_Agegrouped_roundedup</t>
  </si>
  <si>
    <t>Proposed_QT_W_Agegrouped_roundedup_min</t>
  </si>
  <si>
    <t>Time_diff_from_existing_W</t>
  </si>
  <si>
    <t>Percentage_diff_from_existing_W</t>
  </si>
  <si>
    <t>Age_group</t>
  </si>
  <si>
    <t>Proposed_AG%_men</t>
  </si>
  <si>
    <t>Proposed_AG%_women</t>
  </si>
  <si>
    <t>18-34</t>
  </si>
  <si>
    <t>35-39</t>
  </si>
  <si>
    <t>40-44</t>
  </si>
  <si>
    <t>45-49</t>
  </si>
  <si>
    <t>50-54</t>
  </si>
  <si>
    <t>55-59</t>
  </si>
  <si>
    <t>60-65</t>
  </si>
  <si>
    <t>66-69</t>
  </si>
  <si>
    <t>70-74</t>
  </si>
  <si>
    <t>75-79</t>
  </si>
  <si>
    <t>80-84</t>
  </si>
  <si>
    <t>Men (Erin)</t>
  </si>
  <si>
    <t>Men (Alan)</t>
  </si>
  <si>
    <t>Women (Erin)</t>
  </si>
  <si>
    <t>Women (Alan)</t>
  </si>
  <si>
    <t>Year</t>
  </si>
  <si>
    <t>This shows the oldest Boston Marathon male and female finishers for each year 2010 - 2019.</t>
  </si>
  <si>
    <t>This chart uses the 2020 Age Standards to age-grade men and women's Boston qualifying times, 2002-12, 2013-19, and 2020.  It also calculates proposed changes to qualifying times, preseving the 5-year age groups.</t>
  </si>
  <si>
    <t>Notes re: discrepancy</t>
  </si>
  <si>
    <t>***This worksheet is the work of Alan L. Jones (@AlanLyttonJones), accessible via his Github repository, "Age-Graded Tables" https://github.com/AlanLyttonJones/Age-Grade-Tables, (previously accessible at https://www.runscore.com/Alan/AgeGrade.html), licensed by CC0 1.0, and last accessed 7/4/20.  This table contains the 2020 age factors, which are used in age-grading race results, for the marathon, ages 5-100, for men and women; they were approved by the USATF Masters Long Distance Running Committee on 5/20/20.</t>
  </si>
  <si>
    <t>Resolved (Erin was using an older (April 2020) version of age factors; Erin has updated all work to reflect current, approved 2020 age factors).</t>
  </si>
  <si>
    <t>This chart compares Erin's age-grade percentages of the 2020 Boston qualifying times with Alan's.  Yellow highlighting indicates differences.  Light green highlighting indicated that there was a difference but it has been resolved.</t>
  </si>
  <si>
    <t>Resolved (Erin gave AG% for wrong ages (55 &amp; 56, not 54 &amp; 55))</t>
  </si>
  <si>
    <t>Perhaps a rounding issue (difference is only 1/100th)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</si>
</sst>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h]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1"/>
      </left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3">
    <xf numFmtId="0" fontId="0" fillId="0" borderId="0" xfId="0"/>
    <xf numFmtId="0" fontId="5" fillId="0" borderId="0" xfId="2"/>
    <xf numFmtId="164" fontId="5" fillId="0" borderId="0" xfId="2" applyNumberFormat="1"/>
    <xf numFmtId="2" fontId="5" fillId="0" borderId="0" xfId="2" applyNumberFormat="1"/>
    <xf numFmtId="165" fontId="5" fillId="0" borderId="0" xfId="2" applyNumberFormat="1"/>
    <xf numFmtId="165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9" fontId="3" fillId="0" borderId="4" xfId="0" applyNumberFormat="1" applyFont="1" applyBorder="1"/>
    <xf numFmtId="9" fontId="3" fillId="0" borderId="5" xfId="0" applyNumberFormat="1" applyFont="1" applyBorder="1"/>
    <xf numFmtId="9" fontId="3" fillId="0" borderId="5" xfId="0" applyNumberFormat="1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5" fontId="2" fillId="7" borderId="8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8" borderId="8" xfId="0" applyNumberFormat="1" applyFill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8" borderId="8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10" fontId="6" fillId="0" borderId="6" xfId="1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8" borderId="0" xfId="0" applyFill="1"/>
    <xf numFmtId="9" fontId="6" fillId="0" borderId="6" xfId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 wrapText="1"/>
    </xf>
    <xf numFmtId="0" fontId="5" fillId="0" borderId="0" xfId="2" applyAlignment="1">
      <alignment wrapText="1"/>
    </xf>
    <xf numFmtId="10" fontId="0" fillId="9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9" fontId="7" fillId="5" borderId="6" xfId="0" applyNumberFormat="1" applyFont="1" applyFill="1" applyBorder="1" applyAlignment="1">
      <alignment horizontal="center"/>
    </xf>
    <xf numFmtId="9" fontId="7" fillId="5" borderId="0" xfId="0" applyNumberFormat="1" applyFont="1" applyFill="1" applyAlignment="1">
      <alignment horizontal="center"/>
    </xf>
    <xf numFmtId="9" fontId="7" fillId="5" borderId="7" xfId="0" applyNumberFormat="1" applyFont="1" applyFill="1" applyBorder="1" applyAlignment="1">
      <alignment horizontal="center"/>
    </xf>
    <xf numFmtId="9" fontId="7" fillId="6" borderId="6" xfId="0" applyNumberFormat="1" applyFont="1" applyFill="1" applyBorder="1" applyAlignment="1">
      <alignment horizontal="center"/>
    </xf>
    <xf numFmtId="9" fontId="7" fillId="6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2" applyAlignment="1">
      <alignment horizontal="left" vertical="center" wrapText="1"/>
    </xf>
  </cellXfs>
  <cellStyles count="3">
    <cellStyle name="Normal" xfId="0" builtinId="0"/>
    <cellStyle name="Normal 2" xfId="2" xr:uid="{75DA24F5-505D-43B9-8B8A-739CD6418CFE}"/>
    <cellStyle name="Percent" xfId="1" builtinId="5"/>
  </cellStyles>
  <dxfs count="7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D9D9D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80808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Too_Large/Boston%20combi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AppData/Roaming/Microsoft/Excel/Boston%20combined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Too_Large/marathon_standards_change_analys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marathon_results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s_09_AG"/>
      <sheetName val="basic_metrics_by_race (2)"/>
      <sheetName val="Road Weights (2)"/>
      <sheetName val="bos_19_AG"/>
      <sheetName val="Bos_Age_Groups"/>
      <sheetName val="Sheet7"/>
      <sheetName val="bos_combo"/>
      <sheetName val="Sheet1"/>
      <sheetName val="basic_metrics_by_race"/>
      <sheetName val="AG% of Div Winners"/>
      <sheetName val="Sheet5"/>
      <sheetName val="Road Weights"/>
      <sheetName val="BQs_over_time_alt_format"/>
      <sheetName val="BQs_over_time"/>
      <sheetName val="Boston combined"/>
      <sheetName val="Marathon World Records"/>
      <sheetName val="Marathon World Records II"/>
      <sheetName val="bos_09_AG_old"/>
      <sheetName val="bos_19_AG_old"/>
      <sheetName val="Bos Entrants&amp;Finishers"/>
      <sheetName val="Sheet2"/>
      <sheetName val="Bos Qualifying Cutoff History"/>
      <sheetName val="Bos Qualifying Times"/>
      <sheetName val="Sheet8"/>
      <sheetName val="Sheet10"/>
    </sheetNames>
    <sheetDataSet>
      <sheetData sheetId="0"/>
      <sheetData sheetId="1"/>
      <sheetData sheetId="2"/>
      <sheetData sheetId="3"/>
      <sheetData sheetId="4">
        <row r="2">
          <cell r="B2">
            <v>18</v>
          </cell>
        </row>
      </sheetData>
      <sheetData sheetId="5"/>
      <sheetData sheetId="6"/>
      <sheetData sheetId="7"/>
      <sheetData sheetId="8">
        <row r="4">
          <cell r="B4">
            <v>22853</v>
          </cell>
          <cell r="J4">
            <v>26656</v>
          </cell>
          <cell r="R4">
            <v>49509</v>
          </cell>
        </row>
      </sheetData>
      <sheetData sheetId="9"/>
      <sheetData sheetId="10"/>
      <sheetData sheetId="11">
        <row r="1">
          <cell r="A1" t="str">
            <v>Sex</v>
          </cell>
        </row>
      </sheetData>
      <sheetData sheetId="12"/>
      <sheetData sheetId="13">
        <row r="1">
          <cell r="P1">
            <v>1.1458333333333333E-3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8"/>
      <sheetName val="ORIGINAL CSV (Boston 2018)"/>
      <sheetName val="ORIGINAL source information"/>
      <sheetName val="boston_marathon_results_2018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9"/>
      <sheetName val="ORIGINAL CSV (2019 Boston)"/>
      <sheetName val="ORIGINAL source information"/>
      <sheetName val="boston_marathon_results_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0"/>
      <sheetName val="ORIGINAL CSV (Boston 2010)"/>
      <sheetName val="ORIGINAL source information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1"/>
      <sheetName val="ORIGINAL CSV (Boston 2011)"/>
      <sheetName val="ORIGINAL source information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athon World Records"/>
      <sheetName val="Road Weights (2)"/>
      <sheetName val="bos_19_AG"/>
      <sheetName val="Bos_Age_Groups"/>
      <sheetName val="Sheet7"/>
      <sheetName val="bos_09_AG"/>
      <sheetName val="Sheet9"/>
      <sheetName val="bos_combo"/>
      <sheetName val="Sheet1"/>
      <sheetName val="basic_metrics_by_race"/>
      <sheetName val="bos_09_AG_old"/>
      <sheetName val="bos_19_AG_old"/>
      <sheetName val="AG% of Div Winners"/>
      <sheetName val="Road Weights"/>
      <sheetName val="Bos Entrants&amp;Finishers"/>
      <sheetName val="Sheet2"/>
      <sheetName val="Bos Qualifying Cutoff History"/>
      <sheetName val="Bos Qualifying Times"/>
      <sheetName val="Sheet5"/>
      <sheetName val="BQs_over_time_alt_format"/>
      <sheetName val="Sheet8"/>
      <sheetName val="Sheet10"/>
      <sheetName val="BQs_over_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22853</v>
          </cell>
          <cell r="J4">
            <v>26656</v>
          </cell>
          <cell r="R4">
            <v>49509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P1">
            <v>1.1458333333333333E-3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s_over_time_AG20 (3)"/>
      <sheetName val="BQs_over_time_AG20 (2)"/>
      <sheetName val="Sheet2"/>
      <sheetName val="proposed"/>
      <sheetName val="2020BQs_AG20"/>
      <sheetName val="BQs_over_time_AG20"/>
      <sheetName val="2020_Road Weights"/>
      <sheetName val="2015_Road Weights"/>
      <sheetName val="2020BQs_AG15"/>
      <sheetName val="BQs_over_time_AG15"/>
      <sheetName val="Bos_Age_Groups"/>
      <sheetName val="Age-grade_classes"/>
      <sheetName val="diffs (2)"/>
      <sheetName val="diffs"/>
      <sheetName val="Age_Factors"/>
      <sheetName val="standards_change_alt"/>
      <sheetName val="standards_change"/>
      <sheetName val="bos_19_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L12">
            <v>9.3101851851851825E-2</v>
          </cell>
          <cell r="M12">
            <v>9.403935185185186E-2</v>
          </cell>
        </row>
        <row r="13">
          <cell r="L13">
            <v>8.4479166666666661E-2</v>
          </cell>
          <cell r="M13">
            <v>8.5381944444444455E-2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2"/>
      <sheetName val="ORIGINAL CSV (Boston 2012)"/>
      <sheetName val="ORIGINAL source information"/>
      <sheetName val="boston_marathon_results_201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3"/>
      <sheetName val="ORIGINAL CSV (Boston 2013)"/>
      <sheetName val="ORIGINAL source information"/>
      <sheetName val="boston_marathon_results_201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4"/>
      <sheetName val="ORIGINAL CSV (Boston 2014)"/>
      <sheetName val="ORIGINAL source information"/>
      <sheetName val="boston_marathon_results_2014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5"/>
      <sheetName val="ORIGINAL CSV (Boston 2015)"/>
      <sheetName val="ORIGINAL source information"/>
      <sheetName val="boston_marathon_results_2015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6"/>
      <sheetName val="ORIGINAL CSV (Boston 2016)"/>
      <sheetName val="ORIGINAL source information"/>
      <sheetName val="boston_marathon_results_2016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s_17"/>
      <sheetName val="2020_Road Weights"/>
      <sheetName val="ORIGINAL CSV (Boston 2017)"/>
      <sheetName val="ORIGINAL source information"/>
      <sheetName val="boston_marathon_results_2017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B30FD-69C3-4A92-869F-157F76A4A88A}" name="Table2" displayName="Table2" ref="A3:F24" totalsRowShown="0" headerRowDxfId="73" dataDxfId="72" headerRowCellStyle="Percent" dataCellStyle="Percent">
  <autoFilter ref="A3:F24" xr:uid="{37C56BC9-5578-43BF-A8D2-BA11A0325091}"/>
  <tableColumns count="6">
    <tableColumn id="1" xr3:uid="{6BED7F97-A402-4C6A-8FC9-B6997D937BAC}" name="Age" dataDxfId="71"/>
    <tableColumn id="2" xr3:uid="{F621C132-2210-426E-9DFD-957BDD151CBA}" name="Men (Erin)" dataDxfId="70" dataCellStyle="Percent"/>
    <tableColumn id="3" xr3:uid="{3BAD127C-83A5-4E99-ACAD-C27DC3DEC043}" name="Men (Alan)" dataDxfId="69" dataCellStyle="Percent"/>
    <tableColumn id="4" xr3:uid="{B24F780B-5B12-45B1-B7B7-2FB7364B54D5}" name="Women (Erin)" dataDxfId="68" dataCellStyle="Percent"/>
    <tableColumn id="5" xr3:uid="{4A1ED1F6-B8F3-4AC5-AC0D-DD3A61547C07}" name="Women (Alan)" dataDxfId="67" dataCellStyle="Percent"/>
    <tableColumn id="7" xr3:uid="{CD62A715-9105-4637-BD92-22E70403958F}" name="Notes re: discrepancy" dataDxfId="66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423E9-BFC6-4DA8-BD92-47930D14153D}" name="Table1419" displayName="Table1419" ref="A5:BF72" totalsRowShown="0" headerRowDxfId="65" dataDxfId="64" tableBorderDxfId="63">
  <autoFilter ref="A5:BF72" xr:uid="{3DFC9418-0F22-46B2-800D-FA3A4694673A}"/>
  <tableColumns count="58">
    <tableColumn id="2" xr3:uid="{9D658FD6-371F-48D0-A890-C9E73A7BD8F9}" name="Age" dataDxfId="62"/>
    <tableColumn id="3" xr3:uid="{4FF0F157-EA33-4635-AE3E-03400083B9FA}" name="Open_Standard_Men_20" dataDxfId="61">
      <calculatedColumnFormula>IF(BQs_over_time_AG20!$A6="","",SUMIF('2020_Road Weights'!$A:$A,"M",'2020_Road Weights'!$F:$F)/3600/24)</calculatedColumnFormula>
    </tableColumn>
    <tableColumn id="4" xr3:uid="{C78ECC2E-C27D-4745-94FF-586EED4A691A}" name="Age_Factor_Men_20" dataDxfId="60">
      <calculatedColumnFormula>IF(A6="","",INDEX('2020_Road Weights'!$A:$CX,MATCH("M",'2020_Road Weights'!$A:$A,FALSE),MATCH(BQs_over_time_AG20!$A6,'2020_Road Weights'!$1:$1,FALSE)))</calculatedColumnFormula>
    </tableColumn>
    <tableColumn id="5" xr3:uid="{A6964369-114B-4E87-97C6-50C7B90F5DD1}" name="Age Best_Men_20" dataDxfId="59">
      <calculatedColumnFormula>IFERROR(BQs_over_time_AG20!$B6/BQs_over_time_AG20!$C6,"")</calculatedColumnFormula>
    </tableColumn>
    <tableColumn id="6" xr3:uid="{614C7749-3F49-4B91-8462-1932B57A73A2}" name="QT_Men_03_12" dataDxfId="58"/>
    <tableColumn id="13" xr3:uid="{4978BEF8-14AF-453B-9602-90B8605722D6}" name="QT_Men_03_12_min" dataDxfId="57">
      <calculatedColumnFormula>Table1419[[#This Row],[QT_Men_03_12]]*1440</calculatedColumnFormula>
    </tableColumn>
    <tableColumn id="7" xr3:uid="{EF80B7D3-F853-4198-BDAE-2466313CA6D6}" name="AG%_Men_03_12" dataDxfId="56">
      <calculatedColumnFormula>IFERROR(BQs_over_time_AG20!$D6/BQs_over_time_AG20!$E6,"")</calculatedColumnFormula>
    </tableColumn>
    <tableColumn id="8" xr3:uid="{FF0F9F14-9BB3-4183-9B27-2599DCF5097D}" name="AG_Time_Men_03_12" dataDxfId="55">
      <calculatedColumnFormula>IFERROR(Table1419[[#This Row],[QT_Men_03_12]]*Table1419[[#This Row],[Age_Factor_Men_20]],"")</calculatedColumnFormula>
    </tableColumn>
    <tableColumn id="15" xr3:uid="{AEC5F439-E438-4D8B-972E-BA06B73D2017}" name="AG_Time_Men_03_12_min" dataDxfId="54">
      <calculatedColumnFormula>Table1419[[#This Row],[AG_Time_Men_03_12]]*1440</calculatedColumnFormula>
    </tableColumn>
    <tableColumn id="9" xr3:uid="{A9AA2EB7-10D6-4AC9-8F38-8EDA0E86DDF9}" name="QT_Men_13_19" dataDxfId="53"/>
    <tableColumn id="17" xr3:uid="{A202A617-0837-45CC-81F7-20302F93D1B8}" name="QT_Men_13_19_min" dataDxfId="52">
      <calculatedColumnFormula>Table1419[[#This Row],[QT_Men_13_19]]*1440</calculatedColumnFormula>
    </tableColumn>
    <tableColumn id="10" xr3:uid="{85FB3D6D-CA7F-421A-A550-239BDC839C66}" name="AG%_Men_13_19" dataDxfId="51">
      <calculatedColumnFormula>IFERROR(BQs_over_time_AG20!$D6/BQs_over_time_AG20!$J6,"")</calculatedColumnFormula>
    </tableColumn>
    <tableColumn id="11" xr3:uid="{833AF933-0A11-4DF0-9824-419AEF765224}" name="AG_Time_Men_13_19" dataDxfId="50">
      <calculatedColumnFormula>Table1419[[#This Row],[QT_Men_13_19]]*Table1419[[#This Row],[Age_Factor_Men_20]]</calculatedColumnFormula>
    </tableColumn>
    <tableColumn id="35" xr3:uid="{5FF94125-2C67-45A2-9E03-1F1BE76AB234}" name="AG_Time_Men_13_19_min" dataDxfId="49">
      <calculatedColumnFormula>Table1419[[#This Row],[AG_Time_Men_13_19]]*1440</calculatedColumnFormula>
    </tableColumn>
    <tableColumn id="12" xr3:uid="{9918530F-B17B-49D8-91C3-BE635C68063B}" name="QT_Men_2020" dataDxfId="48"/>
    <tableColumn id="36" xr3:uid="{F156E814-72F5-4D30-853B-BE2851A1C2FC}" name="QT_Men_2020_min" dataDxfId="47">
      <calculatedColumnFormula>Table1419[[#This Row],[QT_Men_2020]]*1440</calculatedColumnFormula>
    </tableColumn>
    <tableColumn id="14" xr3:uid="{0BD0B544-C050-4923-ABAC-C28BC576AA34}" name="AG%_Men_2020" dataDxfId="46">
      <calculatedColumnFormula>IFERROR(BQs_over_time_AG20!$D6/BQs_over_time_AG20!$O6,"")</calculatedColumnFormula>
    </tableColumn>
    <tableColumn id="16" xr3:uid="{9BDE9F33-8A92-451E-AB96-A4816840CE47}" name="AG_Time_Men_2020" dataDxfId="45">
      <calculatedColumnFormula>Table1419[[#This Row],[QT_Men_2020]]*Table1419[[#This Row],[Age_Factor_Men_20]]</calculatedColumnFormula>
    </tableColumn>
    <tableColumn id="37" xr3:uid="{FD2D9976-936F-469D-B3BB-5EA30CFE3B52}" name="AG_Time_Men_2021" dataDxfId="44">
      <calculatedColumnFormula>Table1419[[#This Row],[AG_Time_Men_2020]]*1440</calculatedColumnFormula>
    </tableColumn>
    <tableColumn id="18" xr3:uid="{8BB3BDA4-2A2D-4F08-B359-A320C58EFF65}" name="Open_Standard_Women" dataDxfId="43">
      <calculatedColumnFormula>IF(BQs_over_time_AG20!$A6="","",SUMIF('2020_Road Weights'!$A:$A,"F",'2020_Road Weights'!$F:$F)/3600/24)</calculatedColumnFormula>
    </tableColumn>
    <tableColumn id="19" xr3:uid="{AACBA22E-8F52-4833-9362-44BE0D5AAD8E}" name="Age_Factor_Women" dataDxfId="42">
      <calculatedColumnFormula>INDEX('2020_Road Weights'!$A:$CX,MATCH("F",'2020_Road Weights'!$A:$A,FALSE),MATCH(BQs_over_time_AG20!$A6,'2020_Road Weights'!$1:$1,FALSE))</calculatedColumnFormula>
    </tableColumn>
    <tableColumn id="20" xr3:uid="{2F46533F-B922-4E84-BD57-CF8A2C0D5BC2}" name="Age Best_Women" dataDxfId="41">
      <calculatedColumnFormula>IFERROR(BQs_over_time_AG20!$T6/BQs_over_time_AG20!$U6,"")</calculatedColumnFormula>
    </tableColumn>
    <tableColumn id="21" xr3:uid="{6DCEF499-7353-497B-B560-FE583E123CC6}" name="Qualifying_Time_Women_03_12" dataDxfId="40"/>
    <tableColumn id="38" xr3:uid="{51748013-FBAD-452E-8593-F0AB4667790D}" name="Qualifying_Time_Women_03_12_min" dataDxfId="39">
      <calculatedColumnFormula>Table1419[[#This Row],[Qualifying_Time_Women_03_12]]*1440</calculatedColumnFormula>
    </tableColumn>
    <tableColumn id="22" xr3:uid="{3BE761D5-3BD4-43A1-B8D4-E100612067A2}" name="AG%_Women_03_12" dataDxfId="38">
      <calculatedColumnFormula>IFERROR(BQs_over_time_AG20!$V6/BQs_over_time_AG20!$W6,"")</calculatedColumnFormula>
    </tableColumn>
    <tableColumn id="23" xr3:uid="{3B276C9A-8DC9-4344-A9B4-28A3E614F95C}" name="AG_Time_Women_03_12" dataDxfId="37">
      <calculatedColumnFormula>Table1419[[#This Row],[Qualifying_Time_Women_03_12]]*Table1419[[#This Row],[Age_Factor_Women]]</calculatedColumnFormula>
    </tableColumn>
    <tableColumn id="39" xr3:uid="{A69C737A-B187-4CB1-A44A-1E8248B4A67B}" name="AG_Time_Women_03_12_min" dataDxfId="36">
      <calculatedColumnFormula>Table1419[[#This Row],[AG_Time_Women_03_12]]*1440</calculatedColumnFormula>
    </tableColumn>
    <tableColumn id="24" xr3:uid="{E3EEE647-6118-48D4-BF6C-431429464363}" name="Qualifying_Time_Women_13_19" dataDxfId="35"/>
    <tableColumn id="40" xr3:uid="{6EA6A520-895A-492B-AD4B-B9E82054E780}" name="Qualifying_Time_Women_13_19_min" dataDxfId="34">
      <calculatedColumnFormula>Table1419[[#This Row],[Qualifying_Time_Women_13_19]]*1440</calculatedColumnFormula>
    </tableColumn>
    <tableColumn id="25" xr3:uid="{7B8088FE-239D-49DA-B1E8-1430D8649268}" name="AG%_Women_13_19" dataDxfId="33" dataCellStyle="Percent">
      <calculatedColumnFormula>IFERROR(BQs_over_time_AG20!$V6/BQs_over_time_AG20!$AB6,"")</calculatedColumnFormula>
    </tableColumn>
    <tableColumn id="26" xr3:uid="{8D7AC36A-C24E-4AC1-8C17-A82E6B3632E6}" name="AG_Time_Women_13_19" dataDxfId="32">
      <calculatedColumnFormula>Table1419[[#This Row],[Qualifying_Time_Women_13_19]]*Table1419[[#This Row],[Age_Factor_Women]]</calculatedColumnFormula>
    </tableColumn>
    <tableColumn id="41" xr3:uid="{4D2888E6-99E6-4121-B389-D3102E84EF45}" name="AG_Time_Women_13_19_min" dataDxfId="31">
      <calculatedColumnFormula>Table1419[[#This Row],[AG_Time_Women_13_19]]*1440</calculatedColumnFormula>
    </tableColumn>
    <tableColumn id="27" xr3:uid="{CD0ECD2A-4BF5-4BF5-B5D8-83984499066A}" name="Qualifying_Time_Women_2020" dataDxfId="30"/>
    <tableColumn id="42" xr3:uid="{26B8FCBD-3B3C-4A4F-BFE6-D3DFD61F6D4E}" name="Qualifying_Time_Women_2020_min" dataDxfId="29">
      <calculatedColumnFormula>Table1419[[#This Row],[Qualifying_Time_Women_2020]]*1440</calculatedColumnFormula>
    </tableColumn>
    <tableColumn id="28" xr3:uid="{542CA6A5-1D47-4CED-8738-AE3E5215EB5B}" name="AG%_Women_2020" dataDxfId="28" dataCellStyle="Percent">
      <calculatedColumnFormula>IFERROR(BQs_over_time_AG20!$V6/BQs_over_time_AG20!$AG6,"")</calculatedColumnFormula>
    </tableColumn>
    <tableColumn id="29" xr3:uid="{6924694E-A0D2-450F-BC81-98924FFA88AA}" name="AG_Time_Women_2020" dataDxfId="27">
      <calculatedColumnFormula>Table1419[[#This Row],[Qualifying_Time_Women_2020]]*Table1419[[#This Row],[Age_Factor_Women]]</calculatedColumnFormula>
    </tableColumn>
    <tableColumn id="43" xr3:uid="{AAA835A0-927D-4FB9-AFC1-AA9891BC36CA}" name="AG_Time_Women_2020_min" dataDxfId="26">
      <calculatedColumnFormula>Table1419[[#This Row],[AG_Time_Women_2020]]*1440</calculatedColumnFormula>
    </tableColumn>
    <tableColumn id="30" xr3:uid="{3CFB6E9B-F96E-48AA-AED4-011B1DBB8B8F}" name="No Ranking" dataDxfId="25">
      <calculatedColumnFormula>$AL$4</calculatedColumnFormula>
    </tableColumn>
    <tableColumn id="31" xr3:uid="{016F76B8-D570-4FC9-895C-4D009A5CFA01}" name="Local Class" dataDxfId="24">
      <calculatedColumnFormula>$AM$4-$AL$4</calculatedColumnFormula>
    </tableColumn>
    <tableColumn id="32" xr3:uid="{B484D1EE-A3CB-4F38-9C11-B985672FC115}" name="Regional Class" dataDxfId="23">
      <calculatedColumnFormula>$AN$4-$AM$4</calculatedColumnFormula>
    </tableColumn>
    <tableColumn id="33" xr3:uid="{C735F3B3-577F-44D2-AA08-B1BFED06E2DE}" name="National Class" dataDxfId="22">
      <calculatedColumnFormula>$AO$4-$AN$4</calculatedColumnFormula>
    </tableColumn>
    <tableColumn id="34" xr3:uid="{48C48A9B-EF64-41AF-ACC1-57234EABB261}" name="World Class" dataDxfId="21">
      <calculatedColumnFormula>$AP$4-$AO$4</calculatedColumnFormula>
    </tableColumn>
    <tableColumn id="49" xr3:uid="{2A4AF9FB-A15C-4251-94EE-696C83B7365E}" name="Proposed_uniform_AG%" dataDxfId="20"/>
    <tableColumn id="44" xr3:uid="{0C4B66E7-8FC2-4B97-ABFD-FC7621BCFC87}" name="Proposed_QT_M" dataDxfId="19">
      <calculatedColumnFormula>Table1419[[#This Row],[Age Best_Men_20]]/Table1419[[#This Row],[Proposed_uniform_AG%]]</calculatedColumnFormula>
    </tableColumn>
    <tableColumn id="58" xr3:uid="{03AEB66D-572A-4D3B-9E36-CDD1A39F0061}" name="Proposed_QT_M_Agegrouped" dataDxfId="18"/>
    <tableColumn id="51" xr3:uid="{4DA2C733-ABC7-49F3-87B2-5B3B3C0229C3}" name="Proposed_QT_M_Agegrouped_roundedup" dataDxfId="17">
      <calculatedColumnFormula>CEILING(Table1419[[#This Row],[Proposed_QT_M_Agegrouped]],"00:01:00")</calculatedColumnFormula>
    </tableColumn>
    <tableColumn id="60" xr3:uid="{DDE641CD-619C-4667-8F18-FD3BF5239B65}" name="Proposed_QT_M_Agegrouped_roundedup_min" dataDxfId="16">
      <calculatedColumnFormula>Table1419[[#This Row],[Proposed_QT_M_Agegrouped_roundedup]]*1440</calculatedColumnFormula>
    </tableColumn>
    <tableColumn id="59" xr3:uid="{2CA6AF2D-2E7B-4B32-B5FE-215E9CB0D627}" name="Time_diff_from_existing_M" dataDxfId="15">
      <calculatedColumnFormula>Table1419[[#This Row],[Proposed_QT_M_Agegrouped_roundedup_min]]-Table1419[[#This Row],[QT_Men_2020_min]]</calculatedColumnFormula>
    </tableColumn>
    <tableColumn id="53" xr3:uid="{6CF274B0-A43D-4A27-9535-2200F93DB923}" name="Percentage_diff_from_existing_M" dataDxfId="14">
      <calculatedColumnFormula>(Table1419[[#This Row],[Proposed_QT_M_Agegrouped_roundedup_min]]-Table1419[[#This Row],[QT_Men_2020_min]])/Table1419[[#This Row],[QT_Men_2020_min]]</calculatedColumnFormula>
    </tableColumn>
    <tableColumn id="47" xr3:uid="{D10EF195-9FDB-4A88-9885-012239C4A2F1}" name="Proposed_QT_W" dataDxfId="13">
      <calculatedColumnFormula>Table1419[[#This Row],[Age Best_Women]]/Table1419[[#This Row],[Proposed_uniform_AG%]]</calculatedColumnFormula>
    </tableColumn>
    <tableColumn id="48" xr3:uid="{5D881879-5CBE-42CE-B7A4-C0C3DEBCA8B8}" name="Proposed_QT_W_Agegrouped" dataDxfId="12"/>
    <tableColumn id="54" xr3:uid="{087EBD6D-333C-4AAC-B820-F55F4319C83D}" name="Proposed_QT_W_Agegrouped_roundedup" dataDxfId="11">
      <calculatedColumnFormula>CEILING(Table1419[[#This Row],[Proposed_QT_W_Agegrouped]],"00:01:00")</calculatedColumnFormula>
    </tableColumn>
    <tableColumn id="55" xr3:uid="{C0405CFF-5B8D-48A6-9942-EC627B32B8EB}" name="Proposed_QT_W_Agegrouped_roundedup_min" dataDxfId="10">
      <calculatedColumnFormula>Table1419[[#This Row],[Proposed_QT_W_Agegrouped_roundedup]]*1440</calculatedColumnFormula>
    </tableColumn>
    <tableColumn id="56" xr3:uid="{E3CE0CC5-644E-4F05-A948-C98FDE7AFE75}" name="Time_diff_from_existing_W" dataDxfId="9">
      <calculatedColumnFormula>Table1419[[#This Row],[Proposed_QT_W_Agegrouped_roundedup_min]]-Table1419[[#This Row],[Qualifying_Time_Women_2020_min]]</calculatedColumnFormula>
    </tableColumn>
    <tableColumn id="57" xr3:uid="{E4CAB471-549B-4C50-9F7A-CF2031C0188D}" name="Percentage_diff_from_existing_W" dataDxfId="8">
      <calculatedColumnFormula>(Table1419[[#This Row],[Proposed_QT_W_Agegrouped_roundedup_min]]-Table1419[[#This Row],[Qualifying_Time_Women_2020_min]])/Table1419[[#This Row],[Qualifying_Time_Women_2020_min]]</calculatedColumnFormula>
    </tableColumn>
    <tableColumn id="62" xr3:uid="{8516F639-258F-4CF0-AB9E-0947E3865301}" name="Age_group" dataDxfId="7"/>
    <tableColumn id="63" xr3:uid="{2EE7365D-1460-4F57-911C-CCF7B165D513}" name="Proposed_AG%_men" dataDxfId="6">
      <calculatedColumnFormula>Table1419[[#This Row],[Age Best_Men_20]]/Table1419[[#This Row],[Proposed_QT_M_Agegrouped_roundedup]]</calculatedColumnFormula>
    </tableColumn>
    <tableColumn id="64" xr3:uid="{81A585FD-471F-431D-B7AA-51F526127E2F}" name="Proposed_AG%_women" dataDxfId="5">
      <calculatedColumnFormula>Table1419[[#This Row],[Age Best_Women]]/Table1419[[#This Row],[Proposed_QT_W_Agegrouped_roundedup]]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FC643-6BAD-413B-ACC8-58B69CA82DE1}" name="Table3" displayName="Table3" ref="A3:C13" totalsRowShown="0" headerRowDxfId="4" dataDxfId="3">
  <autoFilter ref="A3:C13" xr:uid="{D43B58CF-5EBA-40DE-9C26-F84C383FB0B3}"/>
  <tableColumns count="3">
    <tableColumn id="1" xr3:uid="{73E2673F-5AA5-4A1A-86F2-4BB4A290341A}" name="Year" dataDxfId="2"/>
    <tableColumn id="2" xr3:uid="{1E8D14A1-5293-487A-B957-F254C9A99695}" name="Men" dataDxfId="1"/>
    <tableColumn id="3" xr3:uid="{7624C138-415A-4B01-8FA1-630F4CC2C6A8}" name="Wome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AABE-DACB-4D3F-BCF1-D72206F083E6}">
  <dimension ref="A1:F24"/>
  <sheetViews>
    <sheetView workbookViewId="0">
      <selection activeCell="K19" sqref="K19"/>
    </sheetView>
  </sheetViews>
  <sheetFormatPr defaultRowHeight="14.4" x14ac:dyDescent="0.55000000000000004"/>
  <cols>
    <col min="1" max="1" width="8.20703125" bestFit="1" customWidth="1"/>
    <col min="2" max="2" width="13.68359375" bestFit="1" customWidth="1"/>
    <col min="3" max="3" width="14.15625" bestFit="1" customWidth="1"/>
    <col min="4" max="4" width="16.41796875" style="42" bestFit="1" customWidth="1"/>
    <col min="5" max="5" width="16.89453125" bestFit="1" customWidth="1"/>
    <col min="6" max="6" width="56.20703125" bestFit="1" customWidth="1"/>
  </cols>
  <sheetData>
    <row r="1" spans="1:6" ht="29.1" customHeight="1" x14ac:dyDescent="0.55000000000000004">
      <c r="A1" s="49" t="s">
        <v>94</v>
      </c>
      <c r="B1" s="49"/>
      <c r="C1" s="49"/>
      <c r="D1" s="49"/>
      <c r="E1" s="49"/>
      <c r="F1" s="49"/>
    </row>
    <row r="3" spans="1:6" x14ac:dyDescent="0.55000000000000004">
      <c r="A3" s="17" t="s">
        <v>15</v>
      </c>
      <c r="B3" s="43" t="s">
        <v>84</v>
      </c>
      <c r="C3" s="43" t="s">
        <v>85</v>
      </c>
      <c r="D3" s="43" t="s">
        <v>86</v>
      </c>
      <c r="E3" s="43" t="s">
        <v>87</v>
      </c>
      <c r="F3" s="43" t="s">
        <v>91</v>
      </c>
    </row>
    <row r="4" spans="1:6" ht="43.2" x14ac:dyDescent="0.55000000000000004">
      <c r="A4" s="44">
        <v>18</v>
      </c>
      <c r="B4" s="48">
        <v>0.67630000000000001</v>
      </c>
      <c r="C4" s="48">
        <v>0.67630000000000001</v>
      </c>
      <c r="D4" s="45">
        <v>0.6552</v>
      </c>
      <c r="E4" s="45">
        <v>0.6552</v>
      </c>
      <c r="F4" s="46" t="s">
        <v>93</v>
      </c>
    </row>
    <row r="5" spans="1:6" x14ac:dyDescent="0.55000000000000004">
      <c r="A5" s="44">
        <v>34</v>
      </c>
      <c r="B5" s="45">
        <v>0.67779999999999996</v>
      </c>
      <c r="C5" s="45">
        <v>0.67779999999999996</v>
      </c>
      <c r="D5" s="45">
        <v>0.63959999999999995</v>
      </c>
      <c r="E5" s="45">
        <v>0.63959999999999995</v>
      </c>
      <c r="F5" s="46"/>
    </row>
    <row r="6" spans="1:6" x14ac:dyDescent="0.55000000000000004">
      <c r="A6" s="44">
        <v>35</v>
      </c>
      <c r="B6" s="45">
        <v>0.66120000000000001</v>
      </c>
      <c r="C6" s="45">
        <v>0.66120000000000001</v>
      </c>
      <c r="D6" s="45">
        <v>0.626</v>
      </c>
      <c r="E6" s="45">
        <v>0.626</v>
      </c>
      <c r="F6" s="46"/>
    </row>
    <row r="7" spans="1:6" x14ac:dyDescent="0.55000000000000004">
      <c r="A7" s="44">
        <v>39</v>
      </c>
      <c r="B7" s="45">
        <v>0.67359999999999998</v>
      </c>
      <c r="C7" s="45">
        <v>0.67359999999999998</v>
      </c>
      <c r="D7" s="45">
        <v>0.63529999999999998</v>
      </c>
      <c r="E7" s="45">
        <v>0.63529999999999998</v>
      </c>
      <c r="F7" s="46"/>
    </row>
    <row r="8" spans="1:6" x14ac:dyDescent="0.55000000000000004">
      <c r="A8" s="44">
        <v>40</v>
      </c>
      <c r="B8" s="45">
        <v>0.6603</v>
      </c>
      <c r="C8" s="45">
        <v>0.6603</v>
      </c>
      <c r="D8" s="45">
        <v>0.62429999999999997</v>
      </c>
      <c r="E8" s="45">
        <v>0.62419999999999998</v>
      </c>
      <c r="F8" s="46" t="s">
        <v>96</v>
      </c>
    </row>
    <row r="9" spans="1:6" x14ac:dyDescent="0.55000000000000004">
      <c r="A9" s="44">
        <v>44</v>
      </c>
      <c r="B9" s="45">
        <v>0.68189999999999995</v>
      </c>
      <c r="C9" s="45">
        <v>0.68189999999999995</v>
      </c>
      <c r="D9" s="45">
        <v>0.64270000000000005</v>
      </c>
      <c r="E9" s="45">
        <v>0.64270000000000005</v>
      </c>
      <c r="F9" s="46"/>
    </row>
    <row r="10" spans="1:6" x14ac:dyDescent="0.55000000000000004">
      <c r="A10" s="44">
        <v>45</v>
      </c>
      <c r="B10" s="45">
        <v>0.65329999999999999</v>
      </c>
      <c r="C10" s="45">
        <v>0.65329999999999999</v>
      </c>
      <c r="D10" s="45">
        <v>0.62039999999999995</v>
      </c>
      <c r="E10" s="45">
        <v>0.62039999999999995</v>
      </c>
      <c r="F10" s="46"/>
    </row>
    <row r="11" spans="1:6" x14ac:dyDescent="0.55000000000000004">
      <c r="A11" s="44">
        <v>49</v>
      </c>
      <c r="B11" s="45">
        <v>0.67579999999999996</v>
      </c>
      <c r="C11" s="45">
        <v>0.67579999999999996</v>
      </c>
      <c r="D11" s="45">
        <v>0.64900000000000002</v>
      </c>
      <c r="E11" s="45">
        <v>0.64900000000000002</v>
      </c>
      <c r="F11" s="46"/>
    </row>
    <row r="12" spans="1:6" x14ac:dyDescent="0.55000000000000004">
      <c r="A12" s="44">
        <v>50</v>
      </c>
      <c r="B12" s="45">
        <v>0.66510000000000002</v>
      </c>
      <c r="C12" s="45">
        <v>0.66510000000000002</v>
      </c>
      <c r="D12" s="45">
        <v>0.64300000000000002</v>
      </c>
      <c r="E12" s="45">
        <v>0.64300000000000002</v>
      </c>
      <c r="F12" s="46"/>
    </row>
    <row r="13" spans="1:6" x14ac:dyDescent="0.55000000000000004">
      <c r="A13" s="44">
        <v>54</v>
      </c>
      <c r="B13" s="48">
        <v>0.68910000000000005</v>
      </c>
      <c r="C13" s="48">
        <v>0.68910000000000005</v>
      </c>
      <c r="D13" s="48">
        <v>0.67679999999999996</v>
      </c>
      <c r="E13" s="48">
        <v>0.67679999999999996</v>
      </c>
      <c r="F13" s="46" t="s">
        <v>95</v>
      </c>
    </row>
    <row r="14" spans="1:6" x14ac:dyDescent="0.55000000000000004">
      <c r="A14" s="44">
        <v>55</v>
      </c>
      <c r="B14" s="48">
        <v>0.66310000000000002</v>
      </c>
      <c r="C14" s="48">
        <v>0.66310000000000002</v>
      </c>
      <c r="D14" s="48">
        <v>0.65780000000000005</v>
      </c>
      <c r="E14" s="48">
        <v>0.65780000000000005</v>
      </c>
      <c r="F14" s="46" t="s">
        <v>95</v>
      </c>
    </row>
    <row r="15" spans="1:6" x14ac:dyDescent="0.55000000000000004">
      <c r="A15" s="44">
        <v>59</v>
      </c>
      <c r="B15" s="45">
        <v>0.68820000000000003</v>
      </c>
      <c r="C15" s="45">
        <v>0.68820000000000003</v>
      </c>
      <c r="D15" s="45">
        <v>0.69479999999999997</v>
      </c>
      <c r="E15" s="45">
        <v>0.69479999999999997</v>
      </c>
      <c r="F15" s="46"/>
    </row>
    <row r="16" spans="1:6" x14ac:dyDescent="0.55000000000000004">
      <c r="A16" s="44">
        <v>60</v>
      </c>
      <c r="B16" s="45">
        <v>0.64949999999999997</v>
      </c>
      <c r="C16" s="45">
        <v>0.64939999999999998</v>
      </c>
      <c r="D16" s="45">
        <v>0.66400000000000003</v>
      </c>
      <c r="E16" s="45">
        <v>0.66400000000000003</v>
      </c>
      <c r="F16" s="46" t="s">
        <v>96</v>
      </c>
    </row>
    <row r="17" spans="1:6" x14ac:dyDescent="0.55000000000000004">
      <c r="A17" s="44">
        <v>64</v>
      </c>
      <c r="B17" s="45">
        <v>0.67520000000000002</v>
      </c>
      <c r="C17" s="45">
        <v>0.67520000000000002</v>
      </c>
      <c r="D17" s="45">
        <v>0.70409999999999995</v>
      </c>
      <c r="E17" s="45">
        <v>0.70409999999999995</v>
      </c>
      <c r="F17" s="46"/>
    </row>
    <row r="18" spans="1:6" x14ac:dyDescent="0.55000000000000004">
      <c r="A18" s="44">
        <v>65</v>
      </c>
      <c r="B18" s="45">
        <v>0.64029999999999998</v>
      </c>
      <c r="C18" s="45">
        <v>0.64029999999999998</v>
      </c>
      <c r="D18" s="45">
        <v>0.67589999999999995</v>
      </c>
      <c r="E18" s="45">
        <v>0.67589999999999995</v>
      </c>
      <c r="F18" s="46"/>
    </row>
    <row r="19" spans="1:6" x14ac:dyDescent="0.55000000000000004">
      <c r="A19" s="44">
        <v>69</v>
      </c>
      <c r="B19" s="45">
        <v>0.66700000000000004</v>
      </c>
      <c r="C19" s="45">
        <v>0.66700000000000004</v>
      </c>
      <c r="D19" s="45">
        <v>0.72009999999999996</v>
      </c>
      <c r="E19" s="45">
        <v>0.72009999999999996</v>
      </c>
      <c r="F19" s="46"/>
    </row>
    <row r="20" spans="1:6" x14ac:dyDescent="0.55000000000000004">
      <c r="A20" s="44">
        <v>70</v>
      </c>
      <c r="B20" s="45">
        <v>0.63519999999999999</v>
      </c>
      <c r="C20" s="45">
        <v>0.63519999999999999</v>
      </c>
      <c r="D20" s="45">
        <v>0.69410000000000005</v>
      </c>
      <c r="E20" s="45">
        <v>0.69410000000000005</v>
      </c>
      <c r="F20" s="46"/>
    </row>
    <row r="21" spans="1:6" x14ac:dyDescent="0.55000000000000004">
      <c r="A21" s="44">
        <v>74</v>
      </c>
      <c r="B21" s="45">
        <v>0.66820000000000002</v>
      </c>
      <c r="C21" s="45">
        <v>0.66820000000000002</v>
      </c>
      <c r="D21" s="45">
        <v>0.74360000000000004</v>
      </c>
      <c r="E21" s="45">
        <v>0.74360000000000004</v>
      </c>
      <c r="F21" s="46"/>
    </row>
    <row r="22" spans="1:6" x14ac:dyDescent="0.55000000000000004">
      <c r="A22" s="44">
        <v>75</v>
      </c>
      <c r="B22" s="45">
        <v>0.64180000000000004</v>
      </c>
      <c r="C22" s="45">
        <v>0.64180000000000004</v>
      </c>
      <c r="D22" s="45">
        <v>0.72019999999999995</v>
      </c>
      <c r="E22" s="45">
        <v>0.72019999999999995</v>
      </c>
      <c r="F22" s="46"/>
    </row>
    <row r="23" spans="1:6" x14ac:dyDescent="0.55000000000000004">
      <c r="A23" s="44">
        <v>79</v>
      </c>
      <c r="B23" s="45">
        <v>0.69240000000000002</v>
      </c>
      <c r="C23" s="45">
        <v>0.69240000000000002</v>
      </c>
      <c r="D23" s="45">
        <v>0.79</v>
      </c>
      <c r="E23" s="45">
        <v>0.79</v>
      </c>
      <c r="F23" s="46"/>
    </row>
    <row r="24" spans="1:6" x14ac:dyDescent="0.55000000000000004">
      <c r="A24" s="44">
        <v>80</v>
      </c>
      <c r="B24" s="45">
        <v>0.67169999999999996</v>
      </c>
      <c r="C24" s="45">
        <v>0.67169999999999996</v>
      </c>
      <c r="D24" s="45">
        <v>0.77439999999999998</v>
      </c>
      <c r="E24" s="45">
        <v>0.77439999999999998</v>
      </c>
      <c r="F24" s="46"/>
    </row>
  </sheetData>
  <mergeCells count="1">
    <mergeCell ref="A1:F1"/>
  </mergeCells>
  <conditionalFormatting sqref="B4:C24">
    <cfRule type="expression" dxfId="75" priority="4">
      <formula>$B4&lt;&gt;$C4</formula>
    </cfRule>
  </conditionalFormatting>
  <conditionalFormatting sqref="D4:E24">
    <cfRule type="expression" dxfId="74" priority="1">
      <formula>$D4&lt;&gt;$E4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94F1-7F4B-492B-903C-32135CA1E7F0}">
  <dimension ref="A1:CH73"/>
  <sheetViews>
    <sheetView workbookViewId="0">
      <pane xSplit="1" topLeftCell="B1" activePane="topRight" state="frozen"/>
      <selection pane="topRight" activeCell="S6" sqref="S6"/>
    </sheetView>
  </sheetViews>
  <sheetFormatPr defaultRowHeight="14.4" x14ac:dyDescent="0.55000000000000004"/>
  <cols>
    <col min="1" max="1" width="7.68359375" customWidth="1"/>
    <col min="2" max="2" width="25.578125" bestFit="1" customWidth="1"/>
    <col min="3" max="3" width="21.9453125" bestFit="1" customWidth="1"/>
    <col min="4" max="4" width="19.89453125" bestFit="1" customWidth="1"/>
    <col min="5" max="5" width="18" style="5" bestFit="1" customWidth="1"/>
    <col min="6" max="6" width="22.1015625" bestFit="1" customWidth="1"/>
    <col min="7" max="7" width="19.578125" bestFit="1" customWidth="1"/>
    <col min="8" max="8" width="23.15625" bestFit="1" customWidth="1"/>
    <col min="9" max="9" width="27.26171875" bestFit="1" customWidth="1"/>
    <col min="10" max="10" width="18" bestFit="1" customWidth="1"/>
    <col min="11" max="11" width="22.1015625" bestFit="1" customWidth="1"/>
    <col min="12" max="12" width="19.578125" bestFit="1" customWidth="1"/>
    <col min="13" max="13" width="23.15625" bestFit="1" customWidth="1"/>
    <col min="14" max="14" width="27.26171875" bestFit="1" customWidth="1"/>
    <col min="15" max="15" width="17" bestFit="1" customWidth="1"/>
    <col min="16" max="16" width="21.1015625" bestFit="1" customWidth="1"/>
    <col min="17" max="17" width="18.62890625" bestFit="1" customWidth="1"/>
    <col min="18" max="19" width="22.20703125" bestFit="1" customWidth="1"/>
    <col min="20" max="20" width="25.3671875" bestFit="1" customWidth="1"/>
    <col min="21" max="21" width="21.734375" bestFit="1" customWidth="1"/>
    <col min="22" max="22" width="19.68359375" bestFit="1" customWidth="1"/>
    <col min="23" max="23" width="31.89453125" bestFit="1" customWidth="1"/>
    <col min="24" max="24" width="36" bestFit="1" customWidth="1"/>
    <col min="25" max="25" width="22.3671875" bestFit="1" customWidth="1"/>
    <col min="26" max="26" width="25.9453125" bestFit="1" customWidth="1"/>
    <col min="27" max="27" width="30.05078125" bestFit="1" customWidth="1"/>
    <col min="28" max="28" width="31.89453125" bestFit="1" customWidth="1"/>
    <col min="29" max="29" width="36" bestFit="1" customWidth="1"/>
    <col min="30" max="30" width="22.3671875" bestFit="1" customWidth="1"/>
    <col min="31" max="31" width="25.9453125" bestFit="1" customWidth="1"/>
    <col min="32" max="32" width="30.05078125" bestFit="1" customWidth="1"/>
    <col min="33" max="33" width="30.9453125" bestFit="1" customWidth="1"/>
    <col min="34" max="34" width="35.05078125" bestFit="1" customWidth="1"/>
    <col min="35" max="35" width="21.41796875" bestFit="1" customWidth="1"/>
    <col min="36" max="36" width="24.9453125" bestFit="1" customWidth="1"/>
    <col min="37" max="37" width="29.05078125" bestFit="1" customWidth="1"/>
    <col min="38" max="38" width="14.3671875" bestFit="1" customWidth="1"/>
    <col min="39" max="39" width="13.68359375" bestFit="1" customWidth="1"/>
    <col min="40" max="40" width="16.62890625" bestFit="1" customWidth="1"/>
    <col min="41" max="41" width="16.47265625" bestFit="1" customWidth="1"/>
    <col min="42" max="42" width="14.62890625" bestFit="1" customWidth="1"/>
    <col min="43" max="43" width="25.26171875" style="7" bestFit="1" customWidth="1"/>
    <col min="44" max="44" width="18.734375" style="7" bestFit="1" customWidth="1"/>
    <col min="45" max="45" width="36.83984375" style="7" bestFit="1" customWidth="1"/>
    <col min="46" max="46" width="39.89453125" style="7" bestFit="1" customWidth="1"/>
    <col min="47" max="47" width="44" style="7" bestFit="1" customWidth="1"/>
    <col min="48" max="48" width="27.7890625" style="7" bestFit="1" customWidth="1"/>
    <col min="49" max="49" width="33" style="7" bestFit="1" customWidth="1"/>
    <col min="50" max="50" width="18.83984375" style="7" bestFit="1" customWidth="1"/>
    <col min="51" max="51" width="29.89453125" style="7" bestFit="1" customWidth="1"/>
    <col min="52" max="52" width="40" style="7" bestFit="1" customWidth="1"/>
    <col min="53" max="53" width="44.1015625" style="7" bestFit="1" customWidth="1"/>
    <col min="54" max="54" width="27.89453125" style="7" bestFit="1" customWidth="1"/>
    <col min="55" max="55" width="33.1015625" style="7" bestFit="1" customWidth="1"/>
    <col min="56" max="56" width="13.9453125" bestFit="1" customWidth="1"/>
    <col min="57" max="57" width="22.3125" bestFit="1" customWidth="1"/>
    <col min="58" max="58" width="24.83984375" bestFit="1" customWidth="1"/>
  </cols>
  <sheetData>
    <row r="1" spans="1:86" x14ac:dyDescent="0.55000000000000004">
      <c r="A1" t="s">
        <v>90</v>
      </c>
    </row>
    <row r="2" spans="1:86" x14ac:dyDescent="0.55000000000000004">
      <c r="O2" s="6"/>
      <c r="R2" s="6"/>
    </row>
    <row r="3" spans="1:86" x14ac:dyDescent="0.55000000000000004">
      <c r="E3" s="59" t="s">
        <v>10</v>
      </c>
      <c r="F3" s="59"/>
      <c r="G3" s="59"/>
      <c r="H3" s="59"/>
      <c r="I3" s="59"/>
      <c r="J3" s="60" t="s">
        <v>11</v>
      </c>
      <c r="K3" s="60"/>
      <c r="L3" s="60"/>
      <c r="M3" s="60"/>
      <c r="N3" s="60"/>
      <c r="O3" s="61">
        <v>2020</v>
      </c>
      <c r="P3" s="61"/>
      <c r="Q3" s="61"/>
      <c r="R3" s="61"/>
      <c r="S3" s="61"/>
      <c r="W3" s="59" t="s">
        <v>10</v>
      </c>
      <c r="X3" s="59"/>
      <c r="Y3" s="59"/>
      <c r="Z3" s="59"/>
      <c r="AA3" s="59"/>
      <c r="AB3" s="60" t="s">
        <v>11</v>
      </c>
      <c r="AC3" s="60"/>
      <c r="AD3" s="60"/>
      <c r="AE3" s="60"/>
      <c r="AF3" s="60"/>
      <c r="AG3" s="61">
        <v>2020</v>
      </c>
      <c r="AH3" s="61"/>
      <c r="AI3" s="61"/>
      <c r="AJ3" s="61"/>
      <c r="AK3" s="61"/>
      <c r="AL3" s="50" t="s">
        <v>12</v>
      </c>
      <c r="AM3" s="51"/>
      <c r="AN3" s="51"/>
      <c r="AO3" s="51"/>
      <c r="AP3" s="51"/>
      <c r="AQ3" s="8"/>
    </row>
    <row r="4" spans="1:86" x14ac:dyDescent="0.55000000000000004">
      <c r="B4" s="52" t="s">
        <v>13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3" t="s">
        <v>14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9">
        <v>0.6</v>
      </c>
      <c r="AM4" s="10">
        <v>0.7</v>
      </c>
      <c r="AN4" s="10">
        <v>0.8</v>
      </c>
      <c r="AO4" s="11">
        <v>0.9</v>
      </c>
      <c r="AP4" s="11">
        <v>1</v>
      </c>
      <c r="AR4" s="54" t="s">
        <v>13</v>
      </c>
      <c r="AS4" s="55"/>
      <c r="AT4" s="55"/>
      <c r="AU4" s="55"/>
      <c r="AV4" s="55"/>
      <c r="AW4" s="56"/>
      <c r="AX4" s="57" t="s">
        <v>14</v>
      </c>
      <c r="AY4" s="58"/>
      <c r="AZ4" s="58"/>
      <c r="BA4" s="58"/>
      <c r="BB4" s="58"/>
      <c r="BC4" s="58"/>
    </row>
    <row r="5" spans="1:86" s="17" customFormat="1" x14ac:dyDescent="0.55000000000000004">
      <c r="A5" s="12" t="s">
        <v>15</v>
      </c>
      <c r="B5" s="13" t="s">
        <v>16</v>
      </c>
      <c r="C5" s="13" t="s">
        <v>17</v>
      </c>
      <c r="D5" s="13" t="s">
        <v>18</v>
      </c>
      <c r="E5" s="14" t="s">
        <v>19</v>
      </c>
      <c r="F5" s="14" t="s">
        <v>20</v>
      </c>
      <c r="G5" s="12" t="s">
        <v>21</v>
      </c>
      <c r="H5" s="12" t="s">
        <v>22</v>
      </c>
      <c r="I5" s="12" t="s">
        <v>23</v>
      </c>
      <c r="J5" s="14" t="s">
        <v>24</v>
      </c>
      <c r="K5" s="14" t="s">
        <v>25</v>
      </c>
      <c r="L5" s="12" t="s">
        <v>26</v>
      </c>
      <c r="M5" s="12" t="s">
        <v>27</v>
      </c>
      <c r="N5" s="12" t="s">
        <v>28</v>
      </c>
      <c r="O5" s="14" t="s">
        <v>29</v>
      </c>
      <c r="P5" s="14" t="s">
        <v>30</v>
      </c>
      <c r="Q5" s="12" t="s">
        <v>31</v>
      </c>
      <c r="R5" s="12" t="s">
        <v>32</v>
      </c>
      <c r="S5" s="12" t="s">
        <v>33</v>
      </c>
      <c r="T5" s="13" t="s">
        <v>34</v>
      </c>
      <c r="U5" s="13" t="s">
        <v>35</v>
      </c>
      <c r="V5" s="13" t="s">
        <v>36</v>
      </c>
      <c r="W5" s="14" t="s">
        <v>37</v>
      </c>
      <c r="X5" s="14" t="s">
        <v>38</v>
      </c>
      <c r="Y5" s="12" t="s">
        <v>39</v>
      </c>
      <c r="Z5" s="12" t="s">
        <v>40</v>
      </c>
      <c r="AA5" s="12" t="s">
        <v>41</v>
      </c>
      <c r="AB5" s="14" t="s">
        <v>42</v>
      </c>
      <c r="AC5" s="14" t="s">
        <v>43</v>
      </c>
      <c r="AD5" s="12" t="s">
        <v>44</v>
      </c>
      <c r="AE5" s="12" t="s">
        <v>45</v>
      </c>
      <c r="AF5" s="12" t="s">
        <v>46</v>
      </c>
      <c r="AG5" s="14" t="s">
        <v>47</v>
      </c>
      <c r="AH5" s="14" t="s">
        <v>48</v>
      </c>
      <c r="AI5" s="12" t="s">
        <v>49</v>
      </c>
      <c r="AJ5" s="12" t="s">
        <v>50</v>
      </c>
      <c r="AK5" s="15" t="s">
        <v>51</v>
      </c>
      <c r="AL5" s="16" t="s">
        <v>52</v>
      </c>
      <c r="AM5" s="16" t="s">
        <v>53</v>
      </c>
      <c r="AN5" s="16" t="s">
        <v>54</v>
      </c>
      <c r="AO5" s="16" t="s">
        <v>55</v>
      </c>
      <c r="AP5" s="16" t="s">
        <v>56</v>
      </c>
      <c r="AQ5" s="15" t="s">
        <v>57</v>
      </c>
      <c r="AR5" s="15" t="s">
        <v>58</v>
      </c>
      <c r="AS5" s="15" t="s">
        <v>59</v>
      </c>
      <c r="AT5" s="15" t="s">
        <v>60</v>
      </c>
      <c r="AU5" s="15" t="s">
        <v>61</v>
      </c>
      <c r="AV5" s="15" t="s">
        <v>62</v>
      </c>
      <c r="AW5" s="15" t="s">
        <v>63</v>
      </c>
      <c r="AX5" s="15" t="s">
        <v>64</v>
      </c>
      <c r="AY5" s="15" t="s">
        <v>65</v>
      </c>
      <c r="AZ5" s="15" t="s">
        <v>66</v>
      </c>
      <c r="BA5" s="15" t="s">
        <v>67</v>
      </c>
      <c r="BB5" s="15" t="s">
        <v>68</v>
      </c>
      <c r="BC5" s="15" t="s">
        <v>69</v>
      </c>
      <c r="BD5" s="15" t="s">
        <v>70</v>
      </c>
      <c r="BE5" s="15" t="s">
        <v>71</v>
      </c>
      <c r="BF5" s="15" t="s">
        <v>72</v>
      </c>
    </row>
    <row r="6" spans="1:86" s="39" customFormat="1" x14ac:dyDescent="0.55000000000000004">
      <c r="A6" s="18">
        <v>18</v>
      </c>
      <c r="B6" s="19">
        <f>IF(BQs_over_time_AG20!$A6="","",SUMIF('2020_Road Weights'!$A:$A,"M",'2020_Road Weights'!$F:$F)/3600/24)</f>
        <v>8.4479166666666661E-2</v>
      </c>
      <c r="C6" s="20">
        <f>IF(A6="","",INDEX('2020_Road Weights'!$A:$CX,MATCH("M",'2020_Road Weights'!$A:$A,FALSE),MATCH(BQs_over_time_AG20!$A6,'2020_Road Weights'!$1:$1,FALSE)))</f>
        <v>0.99929999999999997</v>
      </c>
      <c r="D6" s="19">
        <f>IFERROR(BQs_over_time_AG20!$B6/BQs_over_time_AG20!$C6,"")</f>
        <v>8.4538343507121652E-2</v>
      </c>
      <c r="E6" s="19">
        <v>0.13194444444444445</v>
      </c>
      <c r="F6" s="21">
        <f>Table1419[[#This Row],[QT_Men_03_12]]*1440</f>
        <v>190</v>
      </c>
      <c r="G6" s="20">
        <f>IFERROR(BQs_over_time_AG20!$D6/BQs_over_time_AG20!$E6,"")</f>
        <v>0.64071165605397462</v>
      </c>
      <c r="H6" s="19">
        <f>IFERROR(Table1419[[#This Row],[QT_Men_03_12]]*Table1419[[#This Row],[Age_Factor_Men_20]],"")</f>
        <v>0.13185208333333334</v>
      </c>
      <c r="I6" s="21">
        <f>Table1419[[#This Row],[AG_Time_Men_03_12]]*1440</f>
        <v>189.86700000000002</v>
      </c>
      <c r="J6" s="19">
        <v>0.12847222222222224</v>
      </c>
      <c r="K6" s="21">
        <f>Table1419[[#This Row],[QT_Men_13_19]]*1440</f>
        <v>185.00000000000003</v>
      </c>
      <c r="L6" s="20">
        <f>IFERROR(BQs_over_time_AG20!$D6/BQs_over_time_AG20!$J6,"")</f>
        <v>0.65802818729867651</v>
      </c>
      <c r="M6" s="19">
        <f>Table1419[[#This Row],[QT_Men_13_19]]*Table1419[[#This Row],[Age_Factor_Men_20]]</f>
        <v>0.12838229166666668</v>
      </c>
      <c r="N6" s="21">
        <f>Table1419[[#This Row],[AG_Time_Men_13_19]]*1440</f>
        <v>184.87050000000002</v>
      </c>
      <c r="O6" s="19">
        <v>0.125</v>
      </c>
      <c r="P6" s="21">
        <f>Table1419[[#This Row],[QT_Men_2020]]*1440</f>
        <v>180</v>
      </c>
      <c r="Q6" s="22">
        <f>IFERROR(BQs_over_time_AG20!$D6/BQs_over_time_AG20!$O6,"")</f>
        <v>0.67630674805697322</v>
      </c>
      <c r="R6" s="19">
        <f>Table1419[[#This Row],[QT_Men_2020]]*Table1419[[#This Row],[Age_Factor_Men_20]]</f>
        <v>0.1249125</v>
      </c>
      <c r="S6" s="21">
        <f>Table1419[[#This Row],[AG_Time_Men_2020]]*1440</f>
        <v>179.874</v>
      </c>
      <c r="T6" s="19">
        <f>IF(BQs_over_time_AG20!$A6="","",SUMIF('2020_Road Weights'!$A:$A,"F",'2020_Road Weights'!$F:$F)/3600/24)</f>
        <v>9.3101851851851838E-2</v>
      </c>
      <c r="U6" s="20">
        <f>INDEX('2020_Road Weights'!$A:$CX,MATCH("F",'2020_Road Weights'!$A:$A,FALSE),MATCH(BQs_over_time_AG20!$A6,'2020_Road Weights'!$1:$1,FALSE))</f>
        <v>0.97440000000000004</v>
      </c>
      <c r="V6" s="19">
        <f>IFERROR(BQs_over_time_AG20!$T6/BQs_over_time_AG20!$U6,"")</f>
        <v>9.5547877516268309E-2</v>
      </c>
      <c r="W6" s="19">
        <v>0.15277777777777779</v>
      </c>
      <c r="X6" s="21">
        <f>Table1419[[#This Row],[Qualifying_Time_Women_03_12]]*1440</f>
        <v>220.00000000000003</v>
      </c>
      <c r="Y6" s="20">
        <f>IFERROR(BQs_over_time_AG20!$V6/BQs_over_time_AG20!$W6,"")</f>
        <v>0.62540428919739255</v>
      </c>
      <c r="Z6" s="19">
        <f>Table1419[[#This Row],[Qualifying_Time_Women_03_12]]*Table1419[[#This Row],[Age_Factor_Women]]</f>
        <v>0.14886666666666667</v>
      </c>
      <c r="AA6" s="21">
        <f>Table1419[[#This Row],[AG_Time_Women_03_12]]*1440</f>
        <v>214.36800000000002</v>
      </c>
      <c r="AB6" s="19">
        <v>0.14930555555555555</v>
      </c>
      <c r="AC6" s="21">
        <f>Table1419[[#This Row],[Qualifying_Time_Women_13_19]]*1440</f>
        <v>215</v>
      </c>
      <c r="AD6" s="23">
        <f>IFERROR(BQs_over_time_AG20!$V6/BQs_over_time_AG20!$AB6,"")</f>
        <v>0.63994857499268076</v>
      </c>
      <c r="AE6" s="19">
        <f>Table1419[[#This Row],[Qualifying_Time_Women_13_19]]*Table1419[[#This Row],[Age_Factor_Women]]</f>
        <v>0.14548333333333333</v>
      </c>
      <c r="AF6" s="21">
        <f>Table1419[[#This Row],[AG_Time_Women_13_19]]*1440</f>
        <v>209.49599999999998</v>
      </c>
      <c r="AG6" s="19">
        <v>0.14583333333333334</v>
      </c>
      <c r="AH6" s="21">
        <f>Table1419[[#This Row],[Qualifying_Time_Women_2020]]*1440</f>
        <v>210</v>
      </c>
      <c r="AI6" s="24">
        <f>IFERROR(BQs_over_time_AG20!$V6/BQs_over_time_AG20!$AG6,"")</f>
        <v>0.65518544582583982</v>
      </c>
      <c r="AJ6" s="19">
        <f>Table1419[[#This Row],[Qualifying_Time_Women_2020]]*Table1419[[#This Row],[Age_Factor_Women]]</f>
        <v>0.1421</v>
      </c>
      <c r="AK6" s="25">
        <f>Table1419[[#This Row],[AG_Time_Women_2020]]*1440</f>
        <v>204.624</v>
      </c>
      <c r="AL6" s="26">
        <f t="shared" ref="AL6:AL69" si="0">$AL$4</f>
        <v>0.6</v>
      </c>
      <c r="AM6" s="27">
        <f t="shared" ref="AM6:AM69" si="1">$AM$4-$AL$4</f>
        <v>9.9999999999999978E-2</v>
      </c>
      <c r="AN6" s="27">
        <f t="shared" ref="AN6:AN69" si="2">$AN$4-$AM$4</f>
        <v>0.10000000000000009</v>
      </c>
      <c r="AO6" s="27">
        <f t="shared" ref="AO6:AO69" si="3">$AO$4-$AN$4</f>
        <v>9.9999999999999978E-2</v>
      </c>
      <c r="AP6" s="27">
        <f t="shared" ref="AP6:AP69" si="4">$AP$4-$AO$4</f>
        <v>9.9999999999999978E-2</v>
      </c>
      <c r="AQ6" s="28">
        <v>0.68</v>
      </c>
      <c r="AR6" s="29">
        <f>Table1419[[#This Row],[Age Best_Men_20]]/Table1419[[#This Row],[Proposed_uniform_AG%]]</f>
        <v>0.12432109339282595</v>
      </c>
      <c r="AS6" s="29">
        <f>AVERAGE($AR$6:$AR$22)</f>
        <v>0.1242706841092214</v>
      </c>
      <c r="AT6" s="29">
        <f>CEILING(Table1419[[#This Row],[Proposed_QT_M_Agegrouped]],"00:01:00")</f>
        <v>0.12430555555555556</v>
      </c>
      <c r="AU6" s="30">
        <f>Table1419[[#This Row],[Proposed_QT_M_Agegrouped_roundedup]]*1440</f>
        <v>179</v>
      </c>
      <c r="AV6" s="30">
        <f>Table1419[[#This Row],[Proposed_QT_M_Agegrouped_roundedup_min]]-Table1419[[#This Row],[QT_Men_2020_min]]</f>
        <v>-1</v>
      </c>
      <c r="AW6" s="31">
        <f>(Table1419[[#This Row],[Proposed_QT_M_Agegrouped_roundedup_min]]-Table1419[[#This Row],[QT_Men_2020_min]])/Table1419[[#This Row],[QT_Men_2020_min]]</f>
        <v>-5.5555555555555558E-3</v>
      </c>
      <c r="AX6" s="32">
        <f>Table1419[[#This Row],[Age Best_Women]]/Table1419[[#This Row],[Proposed_uniform_AG%]]</f>
        <v>0.14051158458274751</v>
      </c>
      <c r="AY6" s="29">
        <f t="shared" ref="AY6:AY22" si="5">AVERAGE($AX$6:$AX$22)</f>
        <v>0.13733031240034807</v>
      </c>
      <c r="AZ6" s="33">
        <f>CEILING(Table1419[[#This Row],[Proposed_QT_W_Agegrouped]],"00:01:00")</f>
        <v>0.13750000000000001</v>
      </c>
      <c r="BA6" s="34">
        <f>Table1419[[#This Row],[Proposed_QT_W_Agegrouped_roundedup]]*1440</f>
        <v>198.00000000000003</v>
      </c>
      <c r="BB6" s="34">
        <f>Table1419[[#This Row],[Proposed_QT_W_Agegrouped_roundedup_min]]-Table1419[[#This Row],[Qualifying_Time_Women_2020_min]]</f>
        <v>-11.999999999999972</v>
      </c>
      <c r="BC6" s="35">
        <f>(Table1419[[#This Row],[Proposed_QT_W_Agegrouped_roundedup_min]]-Table1419[[#This Row],[Qualifying_Time_Women_2020_min]])/Table1419[[#This Row],[Qualifying_Time_Women_2020_min]]</f>
        <v>-5.7142857142857009E-2</v>
      </c>
      <c r="BD6" s="36" t="s">
        <v>73</v>
      </c>
      <c r="BE6" s="37">
        <f>Table1419[[#This Row],[Age Best_Men_20]]/Table1419[[#This Row],[Proposed_QT_M_Agegrouped_roundedup]]</f>
        <v>0.68008499804611833</v>
      </c>
      <c r="BF6" s="38">
        <f>Table1419[[#This Row],[Age Best_Women]]/Table1419[[#This Row],[Proposed_QT_W_Agegrouped_roundedup]]</f>
        <v>0.69489365466376951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1:86" x14ac:dyDescent="0.55000000000000004">
      <c r="A7" s="18">
        <v>19</v>
      </c>
      <c r="B7" s="19">
        <f>IF(BQs_over_time_AG20!$A7="","",SUMIF('2020_Road Weights'!$A:$A,"M",'2020_Road Weights'!$F:$F)/3600/24)</f>
        <v>8.4479166666666661E-2</v>
      </c>
      <c r="C7" s="20">
        <f>IF(A7="","",INDEX('2020_Road Weights'!$A:$CX,MATCH("M",'2020_Road Weights'!$A:$A,FALSE),MATCH(BQs_over_time_AG20!$A7,'2020_Road Weights'!$1:$1,FALSE)))</f>
        <v>1</v>
      </c>
      <c r="D7" s="19">
        <f>IFERROR(BQs_over_time_AG20!$B7/BQs_over_time_AG20!$C7,"")</f>
        <v>8.4479166666666661E-2</v>
      </c>
      <c r="E7" s="19">
        <v>0.13194444444444445</v>
      </c>
      <c r="F7" s="21">
        <f>Table1419[[#This Row],[QT_Men_03_12]]*1440</f>
        <v>190</v>
      </c>
      <c r="G7" s="20">
        <f>IFERROR(BQs_over_time_AG20!$D7/BQs_over_time_AG20!$E7,"")</f>
        <v>0.64026315789473676</v>
      </c>
      <c r="H7" s="19">
        <f>IFERROR(Table1419[[#This Row],[QT_Men_03_12]]*Table1419[[#This Row],[Age_Factor_Men_20]],"")</f>
        <v>0.13194444444444445</v>
      </c>
      <c r="I7" s="21">
        <f>Table1419[[#This Row],[AG_Time_Men_03_12]]*1440</f>
        <v>190</v>
      </c>
      <c r="J7" s="19">
        <v>0.12847222222222224</v>
      </c>
      <c r="K7" s="21">
        <f>Table1419[[#This Row],[QT_Men_13_19]]*1440</f>
        <v>185.00000000000003</v>
      </c>
      <c r="L7" s="20">
        <f>IFERROR(BQs_over_time_AG20!$D7/BQs_over_time_AG20!$J7,"")</f>
        <v>0.6575675675675674</v>
      </c>
      <c r="M7" s="19">
        <f>Table1419[[#This Row],[QT_Men_13_19]]*Table1419[[#This Row],[Age_Factor_Men_20]]</f>
        <v>0.12847222222222224</v>
      </c>
      <c r="N7" s="21">
        <f>Table1419[[#This Row],[AG_Time_Men_13_19]]*1440</f>
        <v>185.00000000000003</v>
      </c>
      <c r="O7" s="19">
        <v>0.125</v>
      </c>
      <c r="P7" s="21">
        <f>Table1419[[#This Row],[QT_Men_2020]]*1440</f>
        <v>180</v>
      </c>
      <c r="Q7" s="22">
        <f>IFERROR(BQs_over_time_AG20!$D7/BQs_over_time_AG20!$O7,"")</f>
        <v>0.67583333333333329</v>
      </c>
      <c r="R7" s="19">
        <f>Table1419[[#This Row],[QT_Men_2020]]*Table1419[[#This Row],[Age_Factor_Men_20]]</f>
        <v>0.125</v>
      </c>
      <c r="S7" s="21">
        <f>Table1419[[#This Row],[AG_Time_Men_2020]]*1440</f>
        <v>180</v>
      </c>
      <c r="T7" s="19">
        <f>IF(BQs_over_time_AG20!$A7="","",SUMIF('2020_Road Weights'!$A:$A,"F",'2020_Road Weights'!$F:$F)/3600/24)</f>
        <v>9.3101851851851838E-2</v>
      </c>
      <c r="U7" s="20">
        <f>INDEX('2020_Road Weights'!$A:$CX,MATCH("F",'2020_Road Weights'!$A:$A,FALSE),MATCH(BQs_over_time_AG20!$A7,'2020_Road Weights'!$1:$1,FALSE))</f>
        <v>0.98560000000000003</v>
      </c>
      <c r="V7" s="19">
        <f>IFERROR(BQs_over_time_AG20!$T7/BQs_over_time_AG20!$U7,"")</f>
        <v>9.4462106180856167E-2</v>
      </c>
      <c r="W7" s="19">
        <v>0.15277777777777779</v>
      </c>
      <c r="X7" s="21">
        <f>Table1419[[#This Row],[Qualifying_Time_Women_03_12]]*1440</f>
        <v>220.00000000000003</v>
      </c>
      <c r="Y7" s="20">
        <f>IFERROR(BQs_over_time_AG20!$V7/BQs_over_time_AG20!$W7,"")</f>
        <v>0.61829742227469486</v>
      </c>
      <c r="Z7" s="19">
        <f>Table1419[[#This Row],[Qualifying_Time_Women_03_12]]*Table1419[[#This Row],[Age_Factor_Women]]</f>
        <v>0.15057777777777778</v>
      </c>
      <c r="AA7" s="21">
        <f>Table1419[[#This Row],[AG_Time_Women_03_12]]*1440</f>
        <v>216.83199999999999</v>
      </c>
      <c r="AB7" s="19">
        <v>0.14930555555555555</v>
      </c>
      <c r="AC7" s="21">
        <f>Table1419[[#This Row],[Qualifying_Time_Women_13_19]]*1440</f>
        <v>215</v>
      </c>
      <c r="AD7" s="23">
        <f>IFERROR(BQs_over_time_AG20!$V7/BQs_over_time_AG20!$AB7,"")</f>
        <v>0.63267643209503666</v>
      </c>
      <c r="AE7" s="19">
        <f>Table1419[[#This Row],[Qualifying_Time_Women_13_19]]*Table1419[[#This Row],[Age_Factor_Women]]</f>
        <v>0.14715555555555557</v>
      </c>
      <c r="AF7" s="21">
        <f>Table1419[[#This Row],[AG_Time_Women_13_19]]*1440</f>
        <v>211.90400000000002</v>
      </c>
      <c r="AG7" s="19">
        <v>0.14583333333333334</v>
      </c>
      <c r="AH7" s="21">
        <f>Table1419[[#This Row],[Qualifying_Time_Women_2020]]*1440</f>
        <v>210</v>
      </c>
      <c r="AI7" s="24">
        <f>IFERROR(BQs_over_time_AG20!$V7/BQs_over_time_AG20!$AG7,"")</f>
        <v>0.64774015666872797</v>
      </c>
      <c r="AJ7" s="19">
        <f>Table1419[[#This Row],[Qualifying_Time_Women_2020]]*Table1419[[#This Row],[Age_Factor_Women]]</f>
        <v>0.14373333333333335</v>
      </c>
      <c r="AK7" s="25">
        <f>Table1419[[#This Row],[AG_Time_Women_2020]]*1440</f>
        <v>206.97600000000003</v>
      </c>
      <c r="AL7" s="26">
        <f t="shared" si="0"/>
        <v>0.6</v>
      </c>
      <c r="AM7" s="27">
        <f t="shared" si="1"/>
        <v>9.9999999999999978E-2</v>
      </c>
      <c r="AN7" s="27">
        <f t="shared" si="2"/>
        <v>0.10000000000000009</v>
      </c>
      <c r="AO7" s="27">
        <f t="shared" si="3"/>
        <v>9.9999999999999978E-2</v>
      </c>
      <c r="AP7" s="27">
        <f t="shared" si="4"/>
        <v>9.9999999999999978E-2</v>
      </c>
      <c r="AQ7" s="28">
        <v>0.68</v>
      </c>
      <c r="AR7" s="29">
        <f>Table1419[[#This Row],[Age Best_Men_20]]/Table1419[[#This Row],[Proposed_uniform_AG%]]</f>
        <v>0.12423406862745097</v>
      </c>
      <c r="AS7" s="29">
        <f t="shared" ref="AS7:AS22" si="6">AVERAGE($AR$6:$AR$22)</f>
        <v>0.1242706841092214</v>
      </c>
      <c r="AT7" s="29">
        <f>CEILING(Table1419[[#This Row],[Proposed_QT_M_Agegrouped]],"00:01:00")</f>
        <v>0.12430555555555556</v>
      </c>
      <c r="AU7" s="30">
        <f>Table1419[[#This Row],[Proposed_QT_M_Agegrouped_roundedup]]*1440</f>
        <v>179</v>
      </c>
      <c r="AV7" s="30">
        <f>Table1419[[#This Row],[Proposed_QT_M_Agegrouped_roundedup_min]]-Table1419[[#This Row],[QT_Men_2020_min]]</f>
        <v>-1</v>
      </c>
      <c r="AW7" s="40">
        <f>(Table1419[[#This Row],[Proposed_QT_M_Agegrouped_roundedup_min]]-Table1419[[#This Row],[QT_Men_2020_min]])/Table1419[[#This Row],[QT_Men_2020_min]]</f>
        <v>-5.5555555555555558E-3</v>
      </c>
      <c r="AX7" s="32">
        <f>Table1419[[#This Row],[Age Best_Women]]/Table1419[[#This Row],[Proposed_uniform_AG%]]</f>
        <v>0.13891486203067083</v>
      </c>
      <c r="AY7" s="29">
        <f t="shared" si="5"/>
        <v>0.13733031240034807</v>
      </c>
      <c r="AZ7" s="33">
        <f>CEILING(Table1419[[#This Row],[Proposed_QT_W_Agegrouped]],"00:01:00")</f>
        <v>0.13750000000000001</v>
      </c>
      <c r="BA7" s="34">
        <f>Table1419[[#This Row],[Proposed_QT_W_Agegrouped_roundedup]]*1440</f>
        <v>198.00000000000003</v>
      </c>
      <c r="BB7" s="34">
        <f>Table1419[[#This Row],[Proposed_QT_W_Agegrouped_roundedup_min]]-Table1419[[#This Row],[Qualifying_Time_Women_2020_min]]</f>
        <v>-11.999999999999972</v>
      </c>
      <c r="BC7" s="41">
        <f>(Table1419[[#This Row],[Proposed_QT_W_Agegrouped_roundedup_min]]-Table1419[[#This Row],[Qualifying_Time_Women_2020_min]])/Table1419[[#This Row],[Qualifying_Time_Women_2020_min]]</f>
        <v>-5.7142857142857009E-2</v>
      </c>
      <c r="BD7" s="36" t="s">
        <v>73</v>
      </c>
      <c r="BE7" s="37">
        <f>Table1419[[#This Row],[Age Best_Men_20]]/Table1419[[#This Row],[Proposed_QT_M_Agegrouped_roundedup]]</f>
        <v>0.67960893854748594</v>
      </c>
      <c r="BF7" s="38">
        <f>Table1419[[#This Row],[Age Best_Women]]/Table1419[[#This Row],[Proposed_QT_W_Agegrouped_roundedup]]</f>
        <v>0.68699713586077205</v>
      </c>
    </row>
    <row r="8" spans="1:86" x14ac:dyDescent="0.55000000000000004">
      <c r="A8" s="18">
        <v>20</v>
      </c>
      <c r="B8" s="19">
        <f>IF(BQs_over_time_AG20!$A8="","",SUMIF('2020_Road Weights'!$A:$A,"M",'2020_Road Weights'!$F:$F)/3600/24)</f>
        <v>8.4479166666666661E-2</v>
      </c>
      <c r="C8" s="20">
        <f>IF(A8="","",INDEX('2020_Road Weights'!$A:$CX,MATCH("M",'2020_Road Weights'!$A:$A,FALSE),MATCH(BQs_over_time_AG20!$A8,'2020_Road Weights'!$1:$1,FALSE)))</f>
        <v>1</v>
      </c>
      <c r="D8" s="19">
        <f>IFERROR(BQs_over_time_AG20!$B8/BQs_over_time_AG20!$C8,"")</f>
        <v>8.4479166666666661E-2</v>
      </c>
      <c r="E8" s="19">
        <v>0.13194444444444445</v>
      </c>
      <c r="F8" s="21">
        <f>Table1419[[#This Row],[QT_Men_03_12]]*1440</f>
        <v>190</v>
      </c>
      <c r="G8" s="20">
        <f>IFERROR(BQs_over_time_AG20!$D8/BQs_over_time_AG20!$E8,"")</f>
        <v>0.64026315789473676</v>
      </c>
      <c r="H8" s="19">
        <f>IFERROR(Table1419[[#This Row],[QT_Men_03_12]]*Table1419[[#This Row],[Age_Factor_Men_20]],"")</f>
        <v>0.13194444444444445</v>
      </c>
      <c r="I8" s="21">
        <f>Table1419[[#This Row],[AG_Time_Men_03_12]]*1440</f>
        <v>190</v>
      </c>
      <c r="J8" s="19">
        <v>0.12847222222222199</v>
      </c>
      <c r="K8" s="21">
        <f>Table1419[[#This Row],[QT_Men_13_19]]*1440</f>
        <v>184.99999999999966</v>
      </c>
      <c r="L8" s="20">
        <f>IFERROR(BQs_over_time_AG20!$D8/BQs_over_time_AG20!$J8,"")</f>
        <v>0.65756756756756873</v>
      </c>
      <c r="M8" s="19">
        <f>Table1419[[#This Row],[QT_Men_13_19]]*Table1419[[#This Row],[Age_Factor_Men_20]]</f>
        <v>0.12847222222222199</v>
      </c>
      <c r="N8" s="21">
        <f>Table1419[[#This Row],[AG_Time_Men_13_19]]*1440</f>
        <v>184.99999999999966</v>
      </c>
      <c r="O8" s="19">
        <v>0.125</v>
      </c>
      <c r="P8" s="21">
        <f>Table1419[[#This Row],[QT_Men_2020]]*1440</f>
        <v>180</v>
      </c>
      <c r="Q8" s="22">
        <f>IFERROR(BQs_over_time_AG20!$D8/BQs_over_time_AG20!$O8,"")</f>
        <v>0.67583333333333329</v>
      </c>
      <c r="R8" s="19">
        <f>Table1419[[#This Row],[QT_Men_2020]]*Table1419[[#This Row],[Age_Factor_Men_20]]</f>
        <v>0.125</v>
      </c>
      <c r="S8" s="21">
        <f>Table1419[[#This Row],[AG_Time_Men_2020]]*1440</f>
        <v>180</v>
      </c>
      <c r="T8" s="19">
        <f>IF(BQs_over_time_AG20!$A8="","",SUMIF('2020_Road Weights'!$A:$A,"F",'2020_Road Weights'!$F:$F)/3600/24)</f>
        <v>9.3101851851851838E-2</v>
      </c>
      <c r="U8" s="20">
        <f>INDEX('2020_Road Weights'!$A:$CX,MATCH("F",'2020_Road Weights'!$A:$A,FALSE),MATCH(BQs_over_time_AG20!$A8,'2020_Road Weights'!$1:$1,FALSE))</f>
        <v>0.99360000000000004</v>
      </c>
      <c r="V8" s="19">
        <f>IFERROR(BQs_over_time_AG20!$T8/BQs_over_time_AG20!$U8,"")</f>
        <v>9.3701541718852491E-2</v>
      </c>
      <c r="W8" s="19">
        <v>0.15277777777777746</v>
      </c>
      <c r="X8" s="21">
        <f>Table1419[[#This Row],[Qualifying_Time_Women_03_12]]*1440</f>
        <v>219.99999999999955</v>
      </c>
      <c r="Y8" s="20">
        <f>IFERROR(BQs_over_time_AG20!$V8/BQs_over_time_AG20!$W8,"")</f>
        <v>0.613319182159763</v>
      </c>
      <c r="Z8" s="19">
        <f>Table1419[[#This Row],[Qualifying_Time_Women_03_12]]*Table1419[[#This Row],[Age_Factor_Women]]</f>
        <v>0.15179999999999969</v>
      </c>
      <c r="AA8" s="21">
        <f>Table1419[[#This Row],[AG_Time_Women_03_12]]*1440</f>
        <v>218.59199999999956</v>
      </c>
      <c r="AB8" s="19">
        <v>0.149305555555556</v>
      </c>
      <c r="AC8" s="21">
        <f>Table1419[[#This Row],[Qualifying_Time_Women_13_19]]*1440</f>
        <v>215.00000000000063</v>
      </c>
      <c r="AD8" s="23">
        <f>IFERROR(BQs_over_time_AG20!$V8/BQs_over_time_AG20!$AB8,"")</f>
        <v>0.62758241895417299</v>
      </c>
      <c r="AE8" s="19">
        <f>Table1419[[#This Row],[Qualifying_Time_Women_13_19]]*Table1419[[#This Row],[Age_Factor_Women]]</f>
        <v>0.14835000000000045</v>
      </c>
      <c r="AF8" s="21">
        <f>Table1419[[#This Row],[AG_Time_Women_13_19]]*1440</f>
        <v>213.62400000000065</v>
      </c>
      <c r="AG8" s="19">
        <v>0.14583333333333301</v>
      </c>
      <c r="AH8" s="21">
        <f>Table1419[[#This Row],[Qualifying_Time_Women_2020]]*1440</f>
        <v>209.99999999999955</v>
      </c>
      <c r="AI8" s="24">
        <f>IFERROR(BQs_over_time_AG20!$V8/BQs_over_time_AG20!$AG8,"")</f>
        <v>0.64252485750070421</v>
      </c>
      <c r="AJ8" s="19">
        <f>Table1419[[#This Row],[Qualifying_Time_Women_2020]]*Table1419[[#This Row],[Age_Factor_Women]]</f>
        <v>0.1448999999999997</v>
      </c>
      <c r="AK8" s="25">
        <f>Table1419[[#This Row],[AG_Time_Women_2020]]*1440</f>
        <v>208.65599999999955</v>
      </c>
      <c r="AL8" s="26">
        <f t="shared" si="0"/>
        <v>0.6</v>
      </c>
      <c r="AM8" s="27">
        <f t="shared" si="1"/>
        <v>9.9999999999999978E-2</v>
      </c>
      <c r="AN8" s="27">
        <f t="shared" si="2"/>
        <v>0.10000000000000009</v>
      </c>
      <c r="AO8" s="27">
        <f t="shared" si="3"/>
        <v>9.9999999999999978E-2</v>
      </c>
      <c r="AP8" s="27">
        <f t="shared" si="4"/>
        <v>9.9999999999999978E-2</v>
      </c>
      <c r="AQ8" s="28">
        <v>0.68</v>
      </c>
      <c r="AR8" s="29">
        <f>Table1419[[#This Row],[Age Best_Men_20]]/Table1419[[#This Row],[Proposed_uniform_AG%]]</f>
        <v>0.12423406862745097</v>
      </c>
      <c r="AS8" s="29">
        <f t="shared" si="6"/>
        <v>0.1242706841092214</v>
      </c>
      <c r="AT8" s="29">
        <f>CEILING(Table1419[[#This Row],[Proposed_QT_M_Agegrouped]],"00:01:00")</f>
        <v>0.12430555555555556</v>
      </c>
      <c r="AU8" s="30">
        <f>Table1419[[#This Row],[Proposed_QT_M_Agegrouped_roundedup]]*1440</f>
        <v>179</v>
      </c>
      <c r="AV8" s="30">
        <f>Table1419[[#This Row],[Proposed_QT_M_Agegrouped_roundedup_min]]-Table1419[[#This Row],[QT_Men_2020_min]]</f>
        <v>-1</v>
      </c>
      <c r="AW8" s="40">
        <f>(Table1419[[#This Row],[Proposed_QT_M_Agegrouped_roundedup_min]]-Table1419[[#This Row],[QT_Men_2020_min]])/Table1419[[#This Row],[QT_Men_2020_min]]</f>
        <v>-5.5555555555555558E-3</v>
      </c>
      <c r="AX8" s="32">
        <f>Table1419[[#This Row],[Age Best_Women]]/Table1419[[#This Row],[Proposed_uniform_AG%]]</f>
        <v>0.13779638488066542</v>
      </c>
      <c r="AY8" s="29">
        <f t="shared" si="5"/>
        <v>0.13733031240034807</v>
      </c>
      <c r="AZ8" s="33">
        <f>CEILING(Table1419[[#This Row],[Proposed_QT_W_Agegrouped]],"00:01:00")</f>
        <v>0.13750000000000001</v>
      </c>
      <c r="BA8" s="34">
        <f>Table1419[[#This Row],[Proposed_QT_W_Agegrouped_roundedup]]*1440</f>
        <v>198.00000000000003</v>
      </c>
      <c r="BB8" s="34">
        <f>Table1419[[#This Row],[Proposed_QT_W_Agegrouped_roundedup_min]]-Table1419[[#This Row],[Qualifying_Time_Women_2020_min]]</f>
        <v>-11.999999999999517</v>
      </c>
      <c r="BC8" s="41">
        <f>(Table1419[[#This Row],[Proposed_QT_W_Agegrouped_roundedup_min]]-Table1419[[#This Row],[Qualifying_Time_Women_2020_min]])/Table1419[[#This Row],[Qualifying_Time_Women_2020_min]]</f>
        <v>-5.7142857142854969E-2</v>
      </c>
      <c r="BD8" s="36" t="s">
        <v>73</v>
      </c>
      <c r="BE8" s="37">
        <f>Table1419[[#This Row],[Age Best_Men_20]]/Table1419[[#This Row],[Proposed_QT_M_Agegrouped_roundedup]]</f>
        <v>0.67960893854748594</v>
      </c>
      <c r="BF8" s="38">
        <f>Table1419[[#This Row],[Age Best_Women]]/Table1419[[#This Row],[Proposed_QT_W_Agegrouped_roundedup]]</f>
        <v>0.68146575795529074</v>
      </c>
    </row>
    <row r="9" spans="1:86" x14ac:dyDescent="0.55000000000000004">
      <c r="A9" s="18">
        <v>21</v>
      </c>
      <c r="B9" s="19">
        <f>IF(BQs_over_time_AG20!$A9="","",SUMIF('2020_Road Weights'!$A:$A,"M",'2020_Road Weights'!$F:$F)/3600/24)</f>
        <v>8.4479166666666661E-2</v>
      </c>
      <c r="C9" s="20">
        <f>IF(A9="","",INDEX('2020_Road Weights'!$A:$CX,MATCH("M",'2020_Road Weights'!$A:$A,FALSE),MATCH(BQs_over_time_AG20!$A9,'2020_Road Weights'!$1:$1,FALSE)))</f>
        <v>1</v>
      </c>
      <c r="D9" s="19">
        <f>IFERROR(BQs_over_time_AG20!$B9/BQs_over_time_AG20!$C9,"")</f>
        <v>8.4479166666666661E-2</v>
      </c>
      <c r="E9" s="19">
        <v>0.13194444444444445</v>
      </c>
      <c r="F9" s="21">
        <f>Table1419[[#This Row],[QT_Men_03_12]]*1440</f>
        <v>190</v>
      </c>
      <c r="G9" s="20">
        <f>IFERROR(BQs_over_time_AG20!$D9/BQs_over_time_AG20!$E9,"")</f>
        <v>0.64026315789473676</v>
      </c>
      <c r="H9" s="19">
        <f>IFERROR(Table1419[[#This Row],[QT_Men_03_12]]*Table1419[[#This Row],[Age_Factor_Men_20]],"")</f>
        <v>0.13194444444444445</v>
      </c>
      <c r="I9" s="21">
        <f>Table1419[[#This Row],[AG_Time_Men_03_12]]*1440</f>
        <v>190</v>
      </c>
      <c r="J9" s="19">
        <v>0.12847222222222199</v>
      </c>
      <c r="K9" s="21">
        <f>Table1419[[#This Row],[QT_Men_13_19]]*1440</f>
        <v>184.99999999999966</v>
      </c>
      <c r="L9" s="20">
        <f>IFERROR(BQs_over_time_AG20!$D9/BQs_over_time_AG20!$J9,"")</f>
        <v>0.65756756756756873</v>
      </c>
      <c r="M9" s="19">
        <f>Table1419[[#This Row],[QT_Men_13_19]]*Table1419[[#This Row],[Age_Factor_Men_20]]</f>
        <v>0.12847222222222199</v>
      </c>
      <c r="N9" s="21">
        <f>Table1419[[#This Row],[AG_Time_Men_13_19]]*1440</f>
        <v>184.99999999999966</v>
      </c>
      <c r="O9" s="19">
        <v>0.125</v>
      </c>
      <c r="P9" s="21">
        <f>Table1419[[#This Row],[QT_Men_2020]]*1440</f>
        <v>180</v>
      </c>
      <c r="Q9" s="22">
        <f>IFERROR(BQs_over_time_AG20!$D9/BQs_over_time_AG20!$O9,"")</f>
        <v>0.67583333333333329</v>
      </c>
      <c r="R9" s="19">
        <f>Table1419[[#This Row],[QT_Men_2020]]*Table1419[[#This Row],[Age_Factor_Men_20]]</f>
        <v>0.125</v>
      </c>
      <c r="S9" s="21">
        <f>Table1419[[#This Row],[AG_Time_Men_2020]]*1440</f>
        <v>180</v>
      </c>
      <c r="T9" s="19">
        <f>IF(BQs_over_time_AG20!$A9="","",SUMIF('2020_Road Weights'!$A:$A,"F",'2020_Road Weights'!$F:$F)/3600/24)</f>
        <v>9.3101851851851838E-2</v>
      </c>
      <c r="U9" s="20">
        <f>INDEX('2020_Road Weights'!$A:$CX,MATCH("F",'2020_Road Weights'!$A:$A,FALSE),MATCH(BQs_over_time_AG20!$A9,'2020_Road Weights'!$1:$1,FALSE))</f>
        <v>0.99839999999999995</v>
      </c>
      <c r="V9" s="19">
        <f>IFERROR(BQs_over_time_AG20!$T9/BQs_over_time_AG20!$U9,"")</f>
        <v>9.3251053537511855E-2</v>
      </c>
      <c r="W9" s="19">
        <v>0.15277777777777746</v>
      </c>
      <c r="X9" s="21">
        <f>Table1419[[#This Row],[Qualifying_Time_Women_03_12]]*1440</f>
        <v>219.99999999999955</v>
      </c>
      <c r="Y9" s="20">
        <f>IFERROR(BQs_over_time_AG20!$V9/BQs_over_time_AG20!$W9,"")</f>
        <v>0.61037053224553339</v>
      </c>
      <c r="Z9" s="19">
        <f>Table1419[[#This Row],[Qualifying_Time_Women_03_12]]*Table1419[[#This Row],[Age_Factor_Women]]</f>
        <v>0.15253333333333299</v>
      </c>
      <c r="AA9" s="21">
        <f>Table1419[[#This Row],[AG_Time_Women_03_12]]*1440</f>
        <v>219.64799999999951</v>
      </c>
      <c r="AB9" s="19">
        <v>0.149305555555556</v>
      </c>
      <c r="AC9" s="21">
        <f>Table1419[[#This Row],[Qualifying_Time_Women_13_19]]*1440</f>
        <v>215.00000000000063</v>
      </c>
      <c r="AD9" s="23">
        <f>IFERROR(BQs_over_time_AG20!$V9/BQs_over_time_AG20!$AB9,"")</f>
        <v>0.62456519578612402</v>
      </c>
      <c r="AE9" s="19">
        <f>Table1419[[#This Row],[Qualifying_Time_Women_13_19]]*Table1419[[#This Row],[Age_Factor_Women]]</f>
        <v>0.1490666666666671</v>
      </c>
      <c r="AF9" s="21">
        <f>Table1419[[#This Row],[AG_Time_Women_13_19]]*1440</f>
        <v>214.65600000000063</v>
      </c>
      <c r="AG9" s="19">
        <v>0.14583333333333301</v>
      </c>
      <c r="AH9" s="21">
        <f>Table1419[[#This Row],[Qualifying_Time_Women_2020]]*1440</f>
        <v>209.99999999999955</v>
      </c>
      <c r="AI9" s="24">
        <f>IFERROR(BQs_over_time_AG20!$V9/BQs_over_time_AG20!$AG9,"")</f>
        <v>0.639435795685797</v>
      </c>
      <c r="AJ9" s="19">
        <f>Table1419[[#This Row],[Qualifying_Time_Women_2020]]*Table1419[[#This Row],[Age_Factor_Women]]</f>
        <v>0.14559999999999967</v>
      </c>
      <c r="AK9" s="25">
        <f>Table1419[[#This Row],[AG_Time_Women_2020]]*1440</f>
        <v>209.66399999999953</v>
      </c>
      <c r="AL9" s="26">
        <f t="shared" si="0"/>
        <v>0.6</v>
      </c>
      <c r="AM9" s="27">
        <f t="shared" si="1"/>
        <v>9.9999999999999978E-2</v>
      </c>
      <c r="AN9" s="27">
        <f t="shared" si="2"/>
        <v>0.10000000000000009</v>
      </c>
      <c r="AO9" s="27">
        <f t="shared" si="3"/>
        <v>9.9999999999999978E-2</v>
      </c>
      <c r="AP9" s="27">
        <f t="shared" si="4"/>
        <v>9.9999999999999978E-2</v>
      </c>
      <c r="AQ9" s="28">
        <v>0.68</v>
      </c>
      <c r="AR9" s="29">
        <f>Table1419[[#This Row],[Age Best_Men_20]]/Table1419[[#This Row],[Proposed_uniform_AG%]]</f>
        <v>0.12423406862745097</v>
      </c>
      <c r="AS9" s="29">
        <f t="shared" si="6"/>
        <v>0.1242706841092214</v>
      </c>
      <c r="AT9" s="29">
        <f>CEILING(Table1419[[#This Row],[Proposed_QT_M_Agegrouped]],"00:01:00")</f>
        <v>0.12430555555555556</v>
      </c>
      <c r="AU9" s="30">
        <f>Table1419[[#This Row],[Proposed_QT_M_Agegrouped_roundedup]]*1440</f>
        <v>179</v>
      </c>
      <c r="AV9" s="30">
        <f>Table1419[[#This Row],[Proposed_QT_M_Agegrouped_roundedup_min]]-Table1419[[#This Row],[QT_Men_2020_min]]</f>
        <v>-1</v>
      </c>
      <c r="AW9" s="40">
        <f>(Table1419[[#This Row],[Proposed_QT_M_Agegrouped_roundedup_min]]-Table1419[[#This Row],[QT_Men_2020_min]])/Table1419[[#This Row],[QT_Men_2020_min]]</f>
        <v>-5.5555555555555558E-3</v>
      </c>
      <c r="AX9" s="32">
        <f>Table1419[[#This Row],[Age Best_Women]]/Table1419[[#This Row],[Proposed_uniform_AG%]]</f>
        <v>0.13713390226104683</v>
      </c>
      <c r="AY9" s="29">
        <f t="shared" si="5"/>
        <v>0.13733031240034807</v>
      </c>
      <c r="AZ9" s="33">
        <f>CEILING(Table1419[[#This Row],[Proposed_QT_W_Agegrouped]],"00:01:00")</f>
        <v>0.13750000000000001</v>
      </c>
      <c r="BA9" s="34">
        <f>Table1419[[#This Row],[Proposed_QT_W_Agegrouped_roundedup]]*1440</f>
        <v>198.00000000000003</v>
      </c>
      <c r="BB9" s="34">
        <f>Table1419[[#This Row],[Proposed_QT_W_Agegrouped_roundedup_min]]-Table1419[[#This Row],[Qualifying_Time_Women_2020_min]]</f>
        <v>-11.999999999999517</v>
      </c>
      <c r="BC9" s="41">
        <f>(Table1419[[#This Row],[Proposed_QT_W_Agegrouped_roundedup_min]]-Table1419[[#This Row],[Qualifying_Time_Women_2020_min]])/Table1419[[#This Row],[Qualifying_Time_Women_2020_min]]</f>
        <v>-5.7142857142854969E-2</v>
      </c>
      <c r="BD9" s="36" t="s">
        <v>73</v>
      </c>
      <c r="BE9" s="37">
        <f>Table1419[[#This Row],[Age Best_Men_20]]/Table1419[[#This Row],[Proposed_QT_M_Agegrouped_roundedup]]</f>
        <v>0.67960893854748594</v>
      </c>
      <c r="BF9" s="38">
        <f>Table1419[[#This Row],[Age Best_Women]]/Table1419[[#This Row],[Proposed_QT_W_Agegrouped_roundedup]]</f>
        <v>0.67818948027281345</v>
      </c>
    </row>
    <row r="10" spans="1:86" x14ac:dyDescent="0.55000000000000004">
      <c r="A10" s="18">
        <v>22</v>
      </c>
      <c r="B10" s="19">
        <f>IF(BQs_over_time_AG20!$A10="","",SUMIF('2020_Road Weights'!$A:$A,"M",'2020_Road Weights'!$F:$F)/3600/24)</f>
        <v>8.4479166666666661E-2</v>
      </c>
      <c r="C10" s="20">
        <f>IF(A10="","",INDEX('2020_Road Weights'!$A:$CX,MATCH("M",'2020_Road Weights'!$A:$A,FALSE),MATCH(BQs_over_time_AG20!$A10,'2020_Road Weights'!$1:$1,FALSE)))</f>
        <v>1</v>
      </c>
      <c r="D10" s="19">
        <f>IFERROR(BQs_over_time_AG20!$B10/BQs_over_time_AG20!$C10,"")</f>
        <v>8.4479166666666661E-2</v>
      </c>
      <c r="E10" s="19">
        <v>0.13194444444444445</v>
      </c>
      <c r="F10" s="21">
        <f>Table1419[[#This Row],[QT_Men_03_12]]*1440</f>
        <v>190</v>
      </c>
      <c r="G10" s="20">
        <f>IFERROR(BQs_over_time_AG20!$D10/BQs_over_time_AG20!$E10,"")</f>
        <v>0.64026315789473676</v>
      </c>
      <c r="H10" s="19">
        <f>IFERROR(Table1419[[#This Row],[QT_Men_03_12]]*Table1419[[#This Row],[Age_Factor_Men_20]],"")</f>
        <v>0.13194444444444445</v>
      </c>
      <c r="I10" s="21">
        <f>Table1419[[#This Row],[AG_Time_Men_03_12]]*1440</f>
        <v>190</v>
      </c>
      <c r="J10" s="19">
        <v>0.12847222222222199</v>
      </c>
      <c r="K10" s="21">
        <f>Table1419[[#This Row],[QT_Men_13_19]]*1440</f>
        <v>184.99999999999966</v>
      </c>
      <c r="L10" s="20">
        <f>IFERROR(BQs_over_time_AG20!$D10/BQs_over_time_AG20!$J10,"")</f>
        <v>0.65756756756756873</v>
      </c>
      <c r="M10" s="19">
        <f>Table1419[[#This Row],[QT_Men_13_19]]*Table1419[[#This Row],[Age_Factor_Men_20]]</f>
        <v>0.12847222222222199</v>
      </c>
      <c r="N10" s="21">
        <f>Table1419[[#This Row],[AG_Time_Men_13_19]]*1440</f>
        <v>184.99999999999966</v>
      </c>
      <c r="O10" s="19">
        <v>0.125</v>
      </c>
      <c r="P10" s="21">
        <f>Table1419[[#This Row],[QT_Men_2020]]*1440</f>
        <v>180</v>
      </c>
      <c r="Q10" s="22">
        <f>IFERROR(BQs_over_time_AG20!$D10/BQs_over_time_AG20!$O10,"")</f>
        <v>0.67583333333333329</v>
      </c>
      <c r="R10" s="19">
        <f>Table1419[[#This Row],[QT_Men_2020]]*Table1419[[#This Row],[Age_Factor_Men_20]]</f>
        <v>0.125</v>
      </c>
      <c r="S10" s="21">
        <f>Table1419[[#This Row],[AG_Time_Men_2020]]*1440</f>
        <v>180</v>
      </c>
      <c r="T10" s="19">
        <f>IF(BQs_over_time_AG20!$A10="","",SUMIF('2020_Road Weights'!$A:$A,"F",'2020_Road Weights'!$F:$F)/3600/24)</f>
        <v>9.3101851851851838E-2</v>
      </c>
      <c r="U10" s="20">
        <f>INDEX('2020_Road Weights'!$A:$CX,MATCH("F",'2020_Road Weights'!$A:$A,FALSE),MATCH(BQs_over_time_AG20!$A10,'2020_Road Weights'!$1:$1,FALSE))</f>
        <v>1</v>
      </c>
      <c r="V10" s="19">
        <f>IFERROR(BQs_over_time_AG20!$T10/BQs_over_time_AG20!$U10,"")</f>
        <v>9.3101851851851838E-2</v>
      </c>
      <c r="W10" s="19">
        <v>0.15277777777777746</v>
      </c>
      <c r="X10" s="21">
        <f>Table1419[[#This Row],[Qualifying_Time_Women_03_12]]*1440</f>
        <v>219.99999999999955</v>
      </c>
      <c r="Y10" s="20">
        <f>IFERROR(BQs_over_time_AG20!$V10/BQs_over_time_AG20!$W10,"")</f>
        <v>0.6093939393939406</v>
      </c>
      <c r="Z10" s="19">
        <f>Table1419[[#This Row],[Qualifying_Time_Women_03_12]]*Table1419[[#This Row],[Age_Factor_Women]]</f>
        <v>0.15277777777777746</v>
      </c>
      <c r="AA10" s="21">
        <f>Table1419[[#This Row],[AG_Time_Women_03_12]]*1440</f>
        <v>219.99999999999955</v>
      </c>
      <c r="AB10" s="19">
        <v>0.149305555555556</v>
      </c>
      <c r="AC10" s="21">
        <f>Table1419[[#This Row],[Qualifying_Time_Women_13_19]]*1440</f>
        <v>215.00000000000063</v>
      </c>
      <c r="AD10" s="23">
        <f>IFERROR(BQs_over_time_AG20!$V10/BQs_over_time_AG20!$AB10,"")</f>
        <v>0.62356589147286634</v>
      </c>
      <c r="AE10" s="19">
        <f>Table1419[[#This Row],[Qualifying_Time_Women_13_19]]*Table1419[[#This Row],[Age_Factor_Women]]</f>
        <v>0.149305555555556</v>
      </c>
      <c r="AF10" s="21">
        <f>Table1419[[#This Row],[AG_Time_Women_13_19]]*1440</f>
        <v>215.00000000000063</v>
      </c>
      <c r="AG10" s="19">
        <v>0.14583333333333301</v>
      </c>
      <c r="AH10" s="21">
        <f>Table1419[[#This Row],[Qualifying_Time_Women_2020]]*1440</f>
        <v>209.99999999999955</v>
      </c>
      <c r="AI10" s="24">
        <f>IFERROR(BQs_over_time_AG20!$V10/BQs_over_time_AG20!$AG10,"")</f>
        <v>0.63841269841269976</v>
      </c>
      <c r="AJ10" s="19">
        <f>Table1419[[#This Row],[Qualifying_Time_Women_2020]]*Table1419[[#This Row],[Age_Factor_Women]]</f>
        <v>0.14583333333333301</v>
      </c>
      <c r="AK10" s="25">
        <f>Table1419[[#This Row],[AG_Time_Women_2020]]*1440</f>
        <v>209.99999999999955</v>
      </c>
      <c r="AL10" s="26">
        <f t="shared" si="0"/>
        <v>0.6</v>
      </c>
      <c r="AM10" s="27">
        <f t="shared" si="1"/>
        <v>9.9999999999999978E-2</v>
      </c>
      <c r="AN10" s="27">
        <f t="shared" si="2"/>
        <v>0.10000000000000009</v>
      </c>
      <c r="AO10" s="27">
        <f t="shared" si="3"/>
        <v>9.9999999999999978E-2</v>
      </c>
      <c r="AP10" s="27">
        <f t="shared" si="4"/>
        <v>9.9999999999999978E-2</v>
      </c>
      <c r="AQ10" s="28">
        <v>0.68</v>
      </c>
      <c r="AR10" s="29">
        <f>Table1419[[#This Row],[Age Best_Men_20]]/Table1419[[#This Row],[Proposed_uniform_AG%]]</f>
        <v>0.12423406862745097</v>
      </c>
      <c r="AS10" s="29">
        <f t="shared" si="6"/>
        <v>0.1242706841092214</v>
      </c>
      <c r="AT10" s="29">
        <f>CEILING(Table1419[[#This Row],[Proposed_QT_M_Agegrouped]],"00:01:00")</f>
        <v>0.12430555555555556</v>
      </c>
      <c r="AU10" s="30">
        <f>Table1419[[#This Row],[Proposed_QT_M_Agegrouped_roundedup]]*1440</f>
        <v>179</v>
      </c>
      <c r="AV10" s="30">
        <f>Table1419[[#This Row],[Proposed_QT_M_Agegrouped_roundedup_min]]-Table1419[[#This Row],[QT_Men_2020_min]]</f>
        <v>-1</v>
      </c>
      <c r="AW10" s="40">
        <f>(Table1419[[#This Row],[Proposed_QT_M_Agegrouped_roundedup_min]]-Table1419[[#This Row],[QT_Men_2020_min]])/Table1419[[#This Row],[QT_Men_2020_min]]</f>
        <v>-5.5555555555555558E-3</v>
      </c>
      <c r="AX10" s="32">
        <f>Table1419[[#This Row],[Age Best_Women]]/Table1419[[#This Row],[Proposed_uniform_AG%]]</f>
        <v>0.13691448801742917</v>
      </c>
      <c r="AY10" s="29">
        <f t="shared" si="5"/>
        <v>0.13733031240034807</v>
      </c>
      <c r="AZ10" s="33">
        <f>CEILING(Table1419[[#This Row],[Proposed_QT_W_Agegrouped]],"00:01:00")</f>
        <v>0.13750000000000001</v>
      </c>
      <c r="BA10" s="34">
        <f>Table1419[[#This Row],[Proposed_QT_W_Agegrouped_roundedup]]*1440</f>
        <v>198.00000000000003</v>
      </c>
      <c r="BB10" s="34">
        <f>Table1419[[#This Row],[Proposed_QT_W_Agegrouped_roundedup_min]]-Table1419[[#This Row],[Qualifying_Time_Women_2020_min]]</f>
        <v>-11.999999999999517</v>
      </c>
      <c r="BC10" s="41">
        <f>(Table1419[[#This Row],[Proposed_QT_W_Agegrouped_roundedup_min]]-Table1419[[#This Row],[Qualifying_Time_Women_2020_min]])/Table1419[[#This Row],[Qualifying_Time_Women_2020_min]]</f>
        <v>-5.7142857142854969E-2</v>
      </c>
      <c r="BD10" s="36" t="s">
        <v>73</v>
      </c>
      <c r="BE10" s="37">
        <f>Table1419[[#This Row],[Age Best_Men_20]]/Table1419[[#This Row],[Proposed_QT_M_Agegrouped_roundedup]]</f>
        <v>0.67960893854748594</v>
      </c>
      <c r="BF10" s="38">
        <f>Table1419[[#This Row],[Age Best_Women]]/Table1419[[#This Row],[Proposed_QT_W_Agegrouped_roundedup]]</f>
        <v>0.67710437710437699</v>
      </c>
    </row>
    <row r="11" spans="1:86" x14ac:dyDescent="0.55000000000000004">
      <c r="A11" s="18">
        <v>23</v>
      </c>
      <c r="B11" s="19">
        <f>IF(BQs_over_time_AG20!$A11="","",SUMIF('2020_Road Weights'!$A:$A,"M",'2020_Road Weights'!$F:$F)/3600/24)</f>
        <v>8.4479166666666661E-2</v>
      </c>
      <c r="C11" s="20">
        <f>IF(A11="","",INDEX('2020_Road Weights'!$A:$CX,MATCH("M",'2020_Road Weights'!$A:$A,FALSE),MATCH(BQs_over_time_AG20!$A11,'2020_Road Weights'!$1:$1,FALSE)))</f>
        <v>1</v>
      </c>
      <c r="D11" s="19">
        <f>IFERROR(BQs_over_time_AG20!$B11/BQs_over_time_AG20!$C11,"")</f>
        <v>8.4479166666666661E-2</v>
      </c>
      <c r="E11" s="19">
        <v>0.13194444444444445</v>
      </c>
      <c r="F11" s="21">
        <f>Table1419[[#This Row],[QT_Men_03_12]]*1440</f>
        <v>190</v>
      </c>
      <c r="G11" s="20">
        <f>IFERROR(BQs_over_time_AG20!$D11/BQs_over_time_AG20!$E11,"")</f>
        <v>0.64026315789473676</v>
      </c>
      <c r="H11" s="19">
        <f>IFERROR(Table1419[[#This Row],[QT_Men_03_12]]*Table1419[[#This Row],[Age_Factor_Men_20]],"")</f>
        <v>0.13194444444444445</v>
      </c>
      <c r="I11" s="21">
        <f>Table1419[[#This Row],[AG_Time_Men_03_12]]*1440</f>
        <v>190</v>
      </c>
      <c r="J11" s="19">
        <v>0.12847222222222199</v>
      </c>
      <c r="K11" s="21">
        <f>Table1419[[#This Row],[QT_Men_13_19]]*1440</f>
        <v>184.99999999999966</v>
      </c>
      <c r="L11" s="20">
        <f>IFERROR(BQs_over_time_AG20!$D11/BQs_over_time_AG20!$J11,"")</f>
        <v>0.65756756756756873</v>
      </c>
      <c r="M11" s="19">
        <f>Table1419[[#This Row],[QT_Men_13_19]]*Table1419[[#This Row],[Age_Factor_Men_20]]</f>
        <v>0.12847222222222199</v>
      </c>
      <c r="N11" s="21">
        <f>Table1419[[#This Row],[AG_Time_Men_13_19]]*1440</f>
        <v>184.99999999999966</v>
      </c>
      <c r="O11" s="19">
        <v>0.125</v>
      </c>
      <c r="P11" s="21">
        <f>Table1419[[#This Row],[QT_Men_2020]]*1440</f>
        <v>180</v>
      </c>
      <c r="Q11" s="22">
        <f>IFERROR(BQs_over_time_AG20!$D11/BQs_over_time_AG20!$O11,"")</f>
        <v>0.67583333333333329</v>
      </c>
      <c r="R11" s="19">
        <f>Table1419[[#This Row],[QT_Men_2020]]*Table1419[[#This Row],[Age_Factor_Men_20]]</f>
        <v>0.125</v>
      </c>
      <c r="S11" s="21">
        <f>Table1419[[#This Row],[AG_Time_Men_2020]]*1440</f>
        <v>180</v>
      </c>
      <c r="T11" s="19">
        <f>IF(BQs_over_time_AG20!$A11="","",SUMIF('2020_Road Weights'!$A:$A,"F",'2020_Road Weights'!$F:$F)/3600/24)</f>
        <v>9.3101851851851838E-2</v>
      </c>
      <c r="U11" s="20">
        <f>INDEX('2020_Road Weights'!$A:$CX,MATCH("F",'2020_Road Weights'!$A:$A,FALSE),MATCH(BQs_over_time_AG20!$A11,'2020_Road Weights'!$1:$1,FALSE))</f>
        <v>1</v>
      </c>
      <c r="V11" s="19">
        <f>IFERROR(BQs_over_time_AG20!$T11/BQs_over_time_AG20!$U11,"")</f>
        <v>9.3101851851851838E-2</v>
      </c>
      <c r="W11" s="19">
        <v>0.15277777777777746</v>
      </c>
      <c r="X11" s="21">
        <f>Table1419[[#This Row],[Qualifying_Time_Women_03_12]]*1440</f>
        <v>219.99999999999955</v>
      </c>
      <c r="Y11" s="20">
        <f>IFERROR(BQs_over_time_AG20!$V11/BQs_over_time_AG20!$W11,"")</f>
        <v>0.6093939393939406</v>
      </c>
      <c r="Z11" s="19">
        <f>Table1419[[#This Row],[Qualifying_Time_Women_03_12]]*Table1419[[#This Row],[Age_Factor_Women]]</f>
        <v>0.15277777777777746</v>
      </c>
      <c r="AA11" s="21">
        <f>Table1419[[#This Row],[AG_Time_Women_03_12]]*1440</f>
        <v>219.99999999999955</v>
      </c>
      <c r="AB11" s="19">
        <v>0.149305555555556</v>
      </c>
      <c r="AC11" s="21">
        <f>Table1419[[#This Row],[Qualifying_Time_Women_13_19]]*1440</f>
        <v>215.00000000000063</v>
      </c>
      <c r="AD11" s="23">
        <f>IFERROR(BQs_over_time_AG20!$V11/BQs_over_time_AG20!$AB11,"")</f>
        <v>0.62356589147286634</v>
      </c>
      <c r="AE11" s="19">
        <f>Table1419[[#This Row],[Qualifying_Time_Women_13_19]]*Table1419[[#This Row],[Age_Factor_Women]]</f>
        <v>0.149305555555556</v>
      </c>
      <c r="AF11" s="21">
        <f>Table1419[[#This Row],[AG_Time_Women_13_19]]*1440</f>
        <v>215.00000000000063</v>
      </c>
      <c r="AG11" s="19">
        <v>0.14583333333333301</v>
      </c>
      <c r="AH11" s="21">
        <f>Table1419[[#This Row],[Qualifying_Time_Women_2020]]*1440</f>
        <v>209.99999999999955</v>
      </c>
      <c r="AI11" s="24">
        <f>IFERROR(BQs_over_time_AG20!$V11/BQs_over_time_AG20!$AG11,"")</f>
        <v>0.63841269841269976</v>
      </c>
      <c r="AJ11" s="19">
        <f>Table1419[[#This Row],[Qualifying_Time_Women_2020]]*Table1419[[#This Row],[Age_Factor_Women]]</f>
        <v>0.14583333333333301</v>
      </c>
      <c r="AK11" s="25">
        <f>Table1419[[#This Row],[AG_Time_Women_2020]]*1440</f>
        <v>209.99999999999955</v>
      </c>
      <c r="AL11" s="26">
        <f t="shared" si="0"/>
        <v>0.6</v>
      </c>
      <c r="AM11" s="27">
        <f t="shared" si="1"/>
        <v>9.9999999999999978E-2</v>
      </c>
      <c r="AN11" s="27">
        <f t="shared" si="2"/>
        <v>0.10000000000000009</v>
      </c>
      <c r="AO11" s="27">
        <f t="shared" si="3"/>
        <v>9.9999999999999978E-2</v>
      </c>
      <c r="AP11" s="27">
        <f t="shared" si="4"/>
        <v>9.9999999999999978E-2</v>
      </c>
      <c r="AQ11" s="28">
        <v>0.68</v>
      </c>
      <c r="AR11" s="29">
        <f>Table1419[[#This Row],[Age Best_Men_20]]/Table1419[[#This Row],[Proposed_uniform_AG%]]</f>
        <v>0.12423406862745097</v>
      </c>
      <c r="AS11" s="29">
        <f t="shared" si="6"/>
        <v>0.1242706841092214</v>
      </c>
      <c r="AT11" s="29">
        <f>CEILING(Table1419[[#This Row],[Proposed_QT_M_Agegrouped]],"00:01:00")</f>
        <v>0.12430555555555556</v>
      </c>
      <c r="AU11" s="30">
        <f>Table1419[[#This Row],[Proposed_QT_M_Agegrouped_roundedup]]*1440</f>
        <v>179</v>
      </c>
      <c r="AV11" s="30">
        <f>Table1419[[#This Row],[Proposed_QT_M_Agegrouped_roundedup_min]]-Table1419[[#This Row],[QT_Men_2020_min]]</f>
        <v>-1</v>
      </c>
      <c r="AW11" s="40">
        <f>(Table1419[[#This Row],[Proposed_QT_M_Agegrouped_roundedup_min]]-Table1419[[#This Row],[QT_Men_2020_min]])/Table1419[[#This Row],[QT_Men_2020_min]]</f>
        <v>-5.5555555555555558E-3</v>
      </c>
      <c r="AX11" s="32">
        <f>Table1419[[#This Row],[Age Best_Women]]/Table1419[[#This Row],[Proposed_uniform_AG%]]</f>
        <v>0.13691448801742917</v>
      </c>
      <c r="AY11" s="29">
        <f t="shared" si="5"/>
        <v>0.13733031240034807</v>
      </c>
      <c r="AZ11" s="33">
        <f>CEILING(Table1419[[#This Row],[Proposed_QT_W_Agegrouped]],"00:01:00")</f>
        <v>0.13750000000000001</v>
      </c>
      <c r="BA11" s="34">
        <f>Table1419[[#This Row],[Proposed_QT_W_Agegrouped_roundedup]]*1440</f>
        <v>198.00000000000003</v>
      </c>
      <c r="BB11" s="34">
        <f>Table1419[[#This Row],[Proposed_QT_W_Agegrouped_roundedup_min]]-Table1419[[#This Row],[Qualifying_Time_Women_2020_min]]</f>
        <v>-11.999999999999517</v>
      </c>
      <c r="BC11" s="41">
        <f>(Table1419[[#This Row],[Proposed_QT_W_Agegrouped_roundedup_min]]-Table1419[[#This Row],[Qualifying_Time_Women_2020_min]])/Table1419[[#This Row],[Qualifying_Time_Women_2020_min]]</f>
        <v>-5.7142857142854969E-2</v>
      </c>
      <c r="BD11" s="36" t="s">
        <v>73</v>
      </c>
      <c r="BE11" s="37">
        <f>Table1419[[#This Row],[Age Best_Men_20]]/Table1419[[#This Row],[Proposed_QT_M_Agegrouped_roundedup]]</f>
        <v>0.67960893854748594</v>
      </c>
      <c r="BF11" s="38">
        <f>Table1419[[#This Row],[Age Best_Women]]/Table1419[[#This Row],[Proposed_QT_W_Agegrouped_roundedup]]</f>
        <v>0.67710437710437699</v>
      </c>
    </row>
    <row r="12" spans="1:86" x14ac:dyDescent="0.55000000000000004">
      <c r="A12" s="18">
        <v>24</v>
      </c>
      <c r="B12" s="19">
        <f>IF(BQs_over_time_AG20!$A12="","",SUMIF('2020_Road Weights'!$A:$A,"M",'2020_Road Weights'!$F:$F)/3600/24)</f>
        <v>8.4479166666666661E-2</v>
      </c>
      <c r="C12" s="20">
        <f>IF(A12="","",INDEX('2020_Road Weights'!$A:$CX,MATCH("M",'2020_Road Weights'!$A:$A,FALSE),MATCH(BQs_over_time_AG20!$A12,'2020_Road Weights'!$1:$1,FALSE)))</f>
        <v>1</v>
      </c>
      <c r="D12" s="19">
        <f>IFERROR(BQs_over_time_AG20!$B12/BQs_over_time_AG20!$C12,"")</f>
        <v>8.4479166666666661E-2</v>
      </c>
      <c r="E12" s="19">
        <v>0.13194444444444445</v>
      </c>
      <c r="F12" s="21">
        <f>Table1419[[#This Row],[QT_Men_03_12]]*1440</f>
        <v>190</v>
      </c>
      <c r="G12" s="20">
        <f>IFERROR(BQs_over_time_AG20!$D12/BQs_over_time_AG20!$E12,"")</f>
        <v>0.64026315789473676</v>
      </c>
      <c r="H12" s="19">
        <f>IFERROR(Table1419[[#This Row],[QT_Men_03_12]]*Table1419[[#This Row],[Age_Factor_Men_20]],"")</f>
        <v>0.13194444444444445</v>
      </c>
      <c r="I12" s="21">
        <f>Table1419[[#This Row],[AG_Time_Men_03_12]]*1440</f>
        <v>190</v>
      </c>
      <c r="J12" s="19">
        <v>0.12847222222222199</v>
      </c>
      <c r="K12" s="21">
        <f>Table1419[[#This Row],[QT_Men_13_19]]*1440</f>
        <v>184.99999999999966</v>
      </c>
      <c r="L12" s="20">
        <f>IFERROR(BQs_over_time_AG20!$D12/BQs_over_time_AG20!$J12,"")</f>
        <v>0.65756756756756873</v>
      </c>
      <c r="M12" s="19">
        <f>Table1419[[#This Row],[QT_Men_13_19]]*Table1419[[#This Row],[Age_Factor_Men_20]]</f>
        <v>0.12847222222222199</v>
      </c>
      <c r="N12" s="21">
        <f>Table1419[[#This Row],[AG_Time_Men_13_19]]*1440</f>
        <v>184.99999999999966</v>
      </c>
      <c r="O12" s="19">
        <v>0.125</v>
      </c>
      <c r="P12" s="21">
        <f>Table1419[[#This Row],[QT_Men_2020]]*1440</f>
        <v>180</v>
      </c>
      <c r="Q12" s="22">
        <f>IFERROR(BQs_over_time_AG20!$D12/BQs_over_time_AG20!$O12,"")</f>
        <v>0.67583333333333329</v>
      </c>
      <c r="R12" s="19">
        <f>Table1419[[#This Row],[QT_Men_2020]]*Table1419[[#This Row],[Age_Factor_Men_20]]</f>
        <v>0.125</v>
      </c>
      <c r="S12" s="21">
        <f>Table1419[[#This Row],[AG_Time_Men_2020]]*1440</f>
        <v>180</v>
      </c>
      <c r="T12" s="19">
        <f>IF(BQs_over_time_AG20!$A12="","",SUMIF('2020_Road Weights'!$A:$A,"F",'2020_Road Weights'!$F:$F)/3600/24)</f>
        <v>9.3101851851851838E-2</v>
      </c>
      <c r="U12" s="20">
        <f>INDEX('2020_Road Weights'!$A:$CX,MATCH("F",'2020_Road Weights'!$A:$A,FALSE),MATCH(BQs_over_time_AG20!$A12,'2020_Road Weights'!$1:$1,FALSE))</f>
        <v>1</v>
      </c>
      <c r="V12" s="19">
        <f>IFERROR(BQs_over_time_AG20!$T12/BQs_over_time_AG20!$U12,"")</f>
        <v>9.3101851851851838E-2</v>
      </c>
      <c r="W12" s="19">
        <v>0.15277777777777746</v>
      </c>
      <c r="X12" s="21">
        <f>Table1419[[#This Row],[Qualifying_Time_Women_03_12]]*1440</f>
        <v>219.99999999999955</v>
      </c>
      <c r="Y12" s="20">
        <f>IFERROR(BQs_over_time_AG20!$V12/BQs_over_time_AG20!$W12,"")</f>
        <v>0.6093939393939406</v>
      </c>
      <c r="Z12" s="19">
        <f>Table1419[[#This Row],[Qualifying_Time_Women_03_12]]*Table1419[[#This Row],[Age_Factor_Women]]</f>
        <v>0.15277777777777746</v>
      </c>
      <c r="AA12" s="21">
        <f>Table1419[[#This Row],[AG_Time_Women_03_12]]*1440</f>
        <v>219.99999999999955</v>
      </c>
      <c r="AB12" s="19">
        <v>0.149305555555556</v>
      </c>
      <c r="AC12" s="21">
        <f>Table1419[[#This Row],[Qualifying_Time_Women_13_19]]*1440</f>
        <v>215.00000000000063</v>
      </c>
      <c r="AD12" s="23">
        <f>IFERROR(BQs_over_time_AG20!$V12/BQs_over_time_AG20!$AB12,"")</f>
        <v>0.62356589147286634</v>
      </c>
      <c r="AE12" s="19">
        <f>Table1419[[#This Row],[Qualifying_Time_Women_13_19]]*Table1419[[#This Row],[Age_Factor_Women]]</f>
        <v>0.149305555555556</v>
      </c>
      <c r="AF12" s="21">
        <f>Table1419[[#This Row],[AG_Time_Women_13_19]]*1440</f>
        <v>215.00000000000063</v>
      </c>
      <c r="AG12" s="19">
        <v>0.14583333333333301</v>
      </c>
      <c r="AH12" s="21">
        <f>Table1419[[#This Row],[Qualifying_Time_Women_2020]]*1440</f>
        <v>209.99999999999955</v>
      </c>
      <c r="AI12" s="24">
        <f>IFERROR(BQs_over_time_AG20!$V12/BQs_over_time_AG20!$AG12,"")</f>
        <v>0.63841269841269976</v>
      </c>
      <c r="AJ12" s="19">
        <f>Table1419[[#This Row],[Qualifying_Time_Women_2020]]*Table1419[[#This Row],[Age_Factor_Women]]</f>
        <v>0.14583333333333301</v>
      </c>
      <c r="AK12" s="25">
        <f>Table1419[[#This Row],[AG_Time_Women_2020]]*1440</f>
        <v>209.99999999999955</v>
      </c>
      <c r="AL12" s="26">
        <f t="shared" si="0"/>
        <v>0.6</v>
      </c>
      <c r="AM12" s="27">
        <f t="shared" si="1"/>
        <v>9.9999999999999978E-2</v>
      </c>
      <c r="AN12" s="27">
        <f t="shared" si="2"/>
        <v>0.10000000000000009</v>
      </c>
      <c r="AO12" s="27">
        <f t="shared" si="3"/>
        <v>9.9999999999999978E-2</v>
      </c>
      <c r="AP12" s="27">
        <f t="shared" si="4"/>
        <v>9.9999999999999978E-2</v>
      </c>
      <c r="AQ12" s="28">
        <v>0.68</v>
      </c>
      <c r="AR12" s="29">
        <f>Table1419[[#This Row],[Age Best_Men_20]]/Table1419[[#This Row],[Proposed_uniform_AG%]]</f>
        <v>0.12423406862745097</v>
      </c>
      <c r="AS12" s="29">
        <f t="shared" si="6"/>
        <v>0.1242706841092214</v>
      </c>
      <c r="AT12" s="29">
        <f>CEILING(Table1419[[#This Row],[Proposed_QT_M_Agegrouped]],"00:01:00")</f>
        <v>0.12430555555555556</v>
      </c>
      <c r="AU12" s="30">
        <f>Table1419[[#This Row],[Proposed_QT_M_Agegrouped_roundedup]]*1440</f>
        <v>179</v>
      </c>
      <c r="AV12" s="30">
        <f>Table1419[[#This Row],[Proposed_QT_M_Agegrouped_roundedup_min]]-Table1419[[#This Row],[QT_Men_2020_min]]</f>
        <v>-1</v>
      </c>
      <c r="AW12" s="40">
        <f>(Table1419[[#This Row],[Proposed_QT_M_Agegrouped_roundedup_min]]-Table1419[[#This Row],[QT_Men_2020_min]])/Table1419[[#This Row],[QT_Men_2020_min]]</f>
        <v>-5.5555555555555558E-3</v>
      </c>
      <c r="AX12" s="32">
        <f>Table1419[[#This Row],[Age Best_Women]]/Table1419[[#This Row],[Proposed_uniform_AG%]]</f>
        <v>0.13691448801742917</v>
      </c>
      <c r="AY12" s="29">
        <f t="shared" si="5"/>
        <v>0.13733031240034807</v>
      </c>
      <c r="AZ12" s="33">
        <f>CEILING(Table1419[[#This Row],[Proposed_QT_W_Agegrouped]],"00:01:00")</f>
        <v>0.13750000000000001</v>
      </c>
      <c r="BA12" s="34">
        <f>Table1419[[#This Row],[Proposed_QT_W_Agegrouped_roundedup]]*1440</f>
        <v>198.00000000000003</v>
      </c>
      <c r="BB12" s="34">
        <f>Table1419[[#This Row],[Proposed_QT_W_Agegrouped_roundedup_min]]-Table1419[[#This Row],[Qualifying_Time_Women_2020_min]]</f>
        <v>-11.999999999999517</v>
      </c>
      <c r="BC12" s="41">
        <f>(Table1419[[#This Row],[Proposed_QT_W_Agegrouped_roundedup_min]]-Table1419[[#This Row],[Qualifying_Time_Women_2020_min]])/Table1419[[#This Row],[Qualifying_Time_Women_2020_min]]</f>
        <v>-5.7142857142854969E-2</v>
      </c>
      <c r="BD12" s="36" t="s">
        <v>73</v>
      </c>
      <c r="BE12" s="37">
        <f>Table1419[[#This Row],[Age Best_Men_20]]/Table1419[[#This Row],[Proposed_QT_M_Agegrouped_roundedup]]</f>
        <v>0.67960893854748594</v>
      </c>
      <c r="BF12" s="38">
        <f>Table1419[[#This Row],[Age Best_Women]]/Table1419[[#This Row],[Proposed_QT_W_Agegrouped_roundedup]]</f>
        <v>0.67710437710437699</v>
      </c>
    </row>
    <row r="13" spans="1:86" x14ac:dyDescent="0.55000000000000004">
      <c r="A13" s="18">
        <v>25</v>
      </c>
      <c r="B13" s="19">
        <f>IF(BQs_over_time_AG20!$A13="","",SUMIF('2020_Road Weights'!$A:$A,"M",'2020_Road Weights'!$F:$F)/3600/24)</f>
        <v>8.4479166666666661E-2</v>
      </c>
      <c r="C13" s="20">
        <f>IF(A13="","",INDEX('2020_Road Weights'!$A:$CX,MATCH("M",'2020_Road Weights'!$A:$A,FALSE),MATCH(BQs_over_time_AG20!$A13,'2020_Road Weights'!$1:$1,FALSE)))</f>
        <v>1</v>
      </c>
      <c r="D13" s="19">
        <f>IFERROR(BQs_over_time_AG20!$B13/BQs_over_time_AG20!$C13,"")</f>
        <v>8.4479166666666661E-2</v>
      </c>
      <c r="E13" s="19">
        <v>0.13194444444444445</v>
      </c>
      <c r="F13" s="21">
        <f>Table1419[[#This Row],[QT_Men_03_12]]*1440</f>
        <v>190</v>
      </c>
      <c r="G13" s="20">
        <f>IFERROR(BQs_over_time_AG20!$D13/BQs_over_time_AG20!$E13,"")</f>
        <v>0.64026315789473676</v>
      </c>
      <c r="H13" s="19">
        <f>IFERROR(Table1419[[#This Row],[QT_Men_03_12]]*Table1419[[#This Row],[Age_Factor_Men_20]],"")</f>
        <v>0.13194444444444445</v>
      </c>
      <c r="I13" s="21">
        <f>Table1419[[#This Row],[AG_Time_Men_03_12]]*1440</f>
        <v>190</v>
      </c>
      <c r="J13" s="19">
        <v>0.12847222222222199</v>
      </c>
      <c r="K13" s="21">
        <f>Table1419[[#This Row],[QT_Men_13_19]]*1440</f>
        <v>184.99999999999966</v>
      </c>
      <c r="L13" s="20">
        <f>IFERROR(BQs_over_time_AG20!$D13/BQs_over_time_AG20!$J13,"")</f>
        <v>0.65756756756756873</v>
      </c>
      <c r="M13" s="19">
        <f>Table1419[[#This Row],[QT_Men_13_19]]*Table1419[[#This Row],[Age_Factor_Men_20]]</f>
        <v>0.12847222222222199</v>
      </c>
      <c r="N13" s="21">
        <f>Table1419[[#This Row],[AG_Time_Men_13_19]]*1440</f>
        <v>184.99999999999966</v>
      </c>
      <c r="O13" s="19">
        <v>0.125</v>
      </c>
      <c r="P13" s="21">
        <f>Table1419[[#This Row],[QT_Men_2020]]*1440</f>
        <v>180</v>
      </c>
      <c r="Q13" s="22">
        <f>IFERROR(BQs_over_time_AG20!$D13/BQs_over_time_AG20!$O13,"")</f>
        <v>0.67583333333333329</v>
      </c>
      <c r="R13" s="19">
        <f>Table1419[[#This Row],[QT_Men_2020]]*Table1419[[#This Row],[Age_Factor_Men_20]]</f>
        <v>0.125</v>
      </c>
      <c r="S13" s="21">
        <f>Table1419[[#This Row],[AG_Time_Men_2020]]*1440</f>
        <v>180</v>
      </c>
      <c r="T13" s="19">
        <f>IF(BQs_over_time_AG20!$A13="","",SUMIF('2020_Road Weights'!$A:$A,"F",'2020_Road Weights'!$F:$F)/3600/24)</f>
        <v>9.3101851851851838E-2</v>
      </c>
      <c r="U13" s="20">
        <f>INDEX('2020_Road Weights'!$A:$CX,MATCH("F",'2020_Road Weights'!$A:$A,FALSE),MATCH(BQs_over_time_AG20!$A13,'2020_Road Weights'!$1:$1,FALSE))</f>
        <v>1</v>
      </c>
      <c r="V13" s="19">
        <f>IFERROR(BQs_over_time_AG20!$T13/BQs_over_time_AG20!$U13,"")</f>
        <v>9.3101851851851838E-2</v>
      </c>
      <c r="W13" s="19">
        <v>0.15277777777777746</v>
      </c>
      <c r="X13" s="21">
        <f>Table1419[[#This Row],[Qualifying_Time_Women_03_12]]*1440</f>
        <v>219.99999999999955</v>
      </c>
      <c r="Y13" s="20">
        <f>IFERROR(BQs_over_time_AG20!$V13/BQs_over_time_AG20!$W13,"")</f>
        <v>0.6093939393939406</v>
      </c>
      <c r="Z13" s="19">
        <f>Table1419[[#This Row],[Qualifying_Time_Women_03_12]]*Table1419[[#This Row],[Age_Factor_Women]]</f>
        <v>0.15277777777777746</v>
      </c>
      <c r="AA13" s="21">
        <f>Table1419[[#This Row],[AG_Time_Women_03_12]]*1440</f>
        <v>219.99999999999955</v>
      </c>
      <c r="AB13" s="19">
        <v>0.149305555555556</v>
      </c>
      <c r="AC13" s="21">
        <f>Table1419[[#This Row],[Qualifying_Time_Women_13_19]]*1440</f>
        <v>215.00000000000063</v>
      </c>
      <c r="AD13" s="23">
        <f>IFERROR(BQs_over_time_AG20!$V13/BQs_over_time_AG20!$AB13,"")</f>
        <v>0.62356589147286634</v>
      </c>
      <c r="AE13" s="19">
        <f>Table1419[[#This Row],[Qualifying_Time_Women_13_19]]*Table1419[[#This Row],[Age_Factor_Women]]</f>
        <v>0.149305555555556</v>
      </c>
      <c r="AF13" s="21">
        <f>Table1419[[#This Row],[AG_Time_Women_13_19]]*1440</f>
        <v>215.00000000000063</v>
      </c>
      <c r="AG13" s="19">
        <v>0.14583333333333301</v>
      </c>
      <c r="AH13" s="21">
        <f>Table1419[[#This Row],[Qualifying_Time_Women_2020]]*1440</f>
        <v>209.99999999999955</v>
      </c>
      <c r="AI13" s="24">
        <f>IFERROR(BQs_over_time_AG20!$V13/BQs_over_time_AG20!$AG13,"")</f>
        <v>0.63841269841269976</v>
      </c>
      <c r="AJ13" s="19">
        <f>Table1419[[#This Row],[Qualifying_Time_Women_2020]]*Table1419[[#This Row],[Age_Factor_Women]]</f>
        <v>0.14583333333333301</v>
      </c>
      <c r="AK13" s="25">
        <f>Table1419[[#This Row],[AG_Time_Women_2020]]*1440</f>
        <v>209.99999999999955</v>
      </c>
      <c r="AL13" s="26">
        <f t="shared" si="0"/>
        <v>0.6</v>
      </c>
      <c r="AM13" s="27">
        <f t="shared" si="1"/>
        <v>9.9999999999999978E-2</v>
      </c>
      <c r="AN13" s="27">
        <f t="shared" si="2"/>
        <v>0.10000000000000009</v>
      </c>
      <c r="AO13" s="27">
        <f t="shared" si="3"/>
        <v>9.9999999999999978E-2</v>
      </c>
      <c r="AP13" s="27">
        <f t="shared" si="4"/>
        <v>9.9999999999999978E-2</v>
      </c>
      <c r="AQ13" s="28">
        <v>0.68</v>
      </c>
      <c r="AR13" s="29">
        <f>Table1419[[#This Row],[Age Best_Men_20]]/Table1419[[#This Row],[Proposed_uniform_AG%]]</f>
        <v>0.12423406862745097</v>
      </c>
      <c r="AS13" s="29">
        <f t="shared" si="6"/>
        <v>0.1242706841092214</v>
      </c>
      <c r="AT13" s="29">
        <f>CEILING(Table1419[[#This Row],[Proposed_QT_M_Agegrouped]],"00:01:00")</f>
        <v>0.12430555555555556</v>
      </c>
      <c r="AU13" s="30">
        <f>Table1419[[#This Row],[Proposed_QT_M_Agegrouped_roundedup]]*1440</f>
        <v>179</v>
      </c>
      <c r="AV13" s="30">
        <f>Table1419[[#This Row],[Proposed_QT_M_Agegrouped_roundedup_min]]-Table1419[[#This Row],[QT_Men_2020_min]]</f>
        <v>-1</v>
      </c>
      <c r="AW13" s="40">
        <f>(Table1419[[#This Row],[Proposed_QT_M_Agegrouped_roundedup_min]]-Table1419[[#This Row],[QT_Men_2020_min]])/Table1419[[#This Row],[QT_Men_2020_min]]</f>
        <v>-5.5555555555555558E-3</v>
      </c>
      <c r="AX13" s="32">
        <f>Table1419[[#This Row],[Age Best_Women]]/Table1419[[#This Row],[Proposed_uniform_AG%]]</f>
        <v>0.13691448801742917</v>
      </c>
      <c r="AY13" s="29">
        <f t="shared" si="5"/>
        <v>0.13733031240034807</v>
      </c>
      <c r="AZ13" s="33">
        <f>CEILING(Table1419[[#This Row],[Proposed_QT_W_Agegrouped]],"00:01:00")</f>
        <v>0.13750000000000001</v>
      </c>
      <c r="BA13" s="34">
        <f>Table1419[[#This Row],[Proposed_QT_W_Agegrouped_roundedup]]*1440</f>
        <v>198.00000000000003</v>
      </c>
      <c r="BB13" s="34">
        <f>Table1419[[#This Row],[Proposed_QT_W_Agegrouped_roundedup_min]]-Table1419[[#This Row],[Qualifying_Time_Women_2020_min]]</f>
        <v>-11.999999999999517</v>
      </c>
      <c r="BC13" s="41">
        <f>(Table1419[[#This Row],[Proposed_QT_W_Agegrouped_roundedup_min]]-Table1419[[#This Row],[Qualifying_Time_Women_2020_min]])/Table1419[[#This Row],[Qualifying_Time_Women_2020_min]]</f>
        <v>-5.7142857142854969E-2</v>
      </c>
      <c r="BD13" s="36" t="s">
        <v>73</v>
      </c>
      <c r="BE13" s="37">
        <f>Table1419[[#This Row],[Age Best_Men_20]]/Table1419[[#This Row],[Proposed_QT_M_Agegrouped_roundedup]]</f>
        <v>0.67960893854748594</v>
      </c>
      <c r="BF13" s="38">
        <f>Table1419[[#This Row],[Age Best_Women]]/Table1419[[#This Row],[Proposed_QT_W_Agegrouped_roundedup]]</f>
        <v>0.67710437710437699</v>
      </c>
    </row>
    <row r="14" spans="1:86" x14ac:dyDescent="0.55000000000000004">
      <c r="A14" s="18">
        <v>26</v>
      </c>
      <c r="B14" s="19">
        <f>IF(BQs_over_time_AG20!$A14="","",SUMIF('2020_Road Weights'!$A:$A,"M",'2020_Road Weights'!$F:$F)/3600/24)</f>
        <v>8.4479166666666661E-2</v>
      </c>
      <c r="C14" s="20">
        <f>IF(A14="","",INDEX('2020_Road Weights'!$A:$CX,MATCH("M",'2020_Road Weights'!$A:$A,FALSE),MATCH(BQs_over_time_AG20!$A14,'2020_Road Weights'!$1:$1,FALSE)))</f>
        <v>1</v>
      </c>
      <c r="D14" s="19">
        <f>IFERROR(BQs_over_time_AG20!$B14/BQs_over_time_AG20!$C14,"")</f>
        <v>8.4479166666666661E-2</v>
      </c>
      <c r="E14" s="19">
        <v>0.13194444444444445</v>
      </c>
      <c r="F14" s="21">
        <f>Table1419[[#This Row],[QT_Men_03_12]]*1440</f>
        <v>190</v>
      </c>
      <c r="G14" s="20">
        <f>IFERROR(BQs_over_time_AG20!$D14/BQs_over_time_AG20!$E14,"")</f>
        <v>0.64026315789473676</v>
      </c>
      <c r="H14" s="19">
        <f>IFERROR(Table1419[[#This Row],[QT_Men_03_12]]*Table1419[[#This Row],[Age_Factor_Men_20]],"")</f>
        <v>0.13194444444444445</v>
      </c>
      <c r="I14" s="21">
        <f>Table1419[[#This Row],[AG_Time_Men_03_12]]*1440</f>
        <v>190</v>
      </c>
      <c r="J14" s="19">
        <v>0.12847222222222199</v>
      </c>
      <c r="K14" s="21">
        <f>Table1419[[#This Row],[QT_Men_13_19]]*1440</f>
        <v>184.99999999999966</v>
      </c>
      <c r="L14" s="20">
        <f>IFERROR(BQs_over_time_AG20!$D14/BQs_over_time_AG20!$J14,"")</f>
        <v>0.65756756756756873</v>
      </c>
      <c r="M14" s="19">
        <f>Table1419[[#This Row],[QT_Men_13_19]]*Table1419[[#This Row],[Age_Factor_Men_20]]</f>
        <v>0.12847222222222199</v>
      </c>
      <c r="N14" s="21">
        <f>Table1419[[#This Row],[AG_Time_Men_13_19]]*1440</f>
        <v>184.99999999999966</v>
      </c>
      <c r="O14" s="19">
        <v>0.125</v>
      </c>
      <c r="P14" s="21">
        <f>Table1419[[#This Row],[QT_Men_2020]]*1440</f>
        <v>180</v>
      </c>
      <c r="Q14" s="22">
        <f>IFERROR(BQs_over_time_AG20!$D14/BQs_over_time_AG20!$O14,"")</f>
        <v>0.67583333333333329</v>
      </c>
      <c r="R14" s="19">
        <f>Table1419[[#This Row],[QT_Men_2020]]*Table1419[[#This Row],[Age_Factor_Men_20]]</f>
        <v>0.125</v>
      </c>
      <c r="S14" s="21">
        <f>Table1419[[#This Row],[AG_Time_Men_2020]]*1440</f>
        <v>180</v>
      </c>
      <c r="T14" s="19">
        <f>IF(BQs_over_time_AG20!$A14="","",SUMIF('2020_Road Weights'!$A:$A,"F",'2020_Road Weights'!$F:$F)/3600/24)</f>
        <v>9.3101851851851838E-2</v>
      </c>
      <c r="U14" s="20">
        <f>INDEX('2020_Road Weights'!$A:$CX,MATCH("F",'2020_Road Weights'!$A:$A,FALSE),MATCH(BQs_over_time_AG20!$A14,'2020_Road Weights'!$1:$1,FALSE))</f>
        <v>1</v>
      </c>
      <c r="V14" s="19">
        <f>IFERROR(BQs_over_time_AG20!$T14/BQs_over_time_AG20!$U14,"")</f>
        <v>9.3101851851851838E-2</v>
      </c>
      <c r="W14" s="19">
        <v>0.15277777777777746</v>
      </c>
      <c r="X14" s="21">
        <f>Table1419[[#This Row],[Qualifying_Time_Women_03_12]]*1440</f>
        <v>219.99999999999955</v>
      </c>
      <c r="Y14" s="20">
        <f>IFERROR(BQs_over_time_AG20!$V14/BQs_over_time_AG20!$W14,"")</f>
        <v>0.6093939393939406</v>
      </c>
      <c r="Z14" s="19">
        <f>Table1419[[#This Row],[Qualifying_Time_Women_03_12]]*Table1419[[#This Row],[Age_Factor_Women]]</f>
        <v>0.15277777777777746</v>
      </c>
      <c r="AA14" s="21">
        <f>Table1419[[#This Row],[AG_Time_Women_03_12]]*1440</f>
        <v>219.99999999999955</v>
      </c>
      <c r="AB14" s="19">
        <v>0.149305555555556</v>
      </c>
      <c r="AC14" s="21">
        <f>Table1419[[#This Row],[Qualifying_Time_Women_13_19]]*1440</f>
        <v>215.00000000000063</v>
      </c>
      <c r="AD14" s="23">
        <f>IFERROR(BQs_over_time_AG20!$V14/BQs_over_time_AG20!$AB14,"")</f>
        <v>0.62356589147286634</v>
      </c>
      <c r="AE14" s="19">
        <f>Table1419[[#This Row],[Qualifying_Time_Women_13_19]]*Table1419[[#This Row],[Age_Factor_Women]]</f>
        <v>0.149305555555556</v>
      </c>
      <c r="AF14" s="21">
        <f>Table1419[[#This Row],[AG_Time_Women_13_19]]*1440</f>
        <v>215.00000000000063</v>
      </c>
      <c r="AG14" s="19">
        <v>0.14583333333333301</v>
      </c>
      <c r="AH14" s="21">
        <f>Table1419[[#This Row],[Qualifying_Time_Women_2020]]*1440</f>
        <v>209.99999999999955</v>
      </c>
      <c r="AI14" s="24">
        <f>IFERROR(BQs_over_time_AG20!$V14/BQs_over_time_AG20!$AG14,"")</f>
        <v>0.63841269841269976</v>
      </c>
      <c r="AJ14" s="19">
        <f>Table1419[[#This Row],[Qualifying_Time_Women_2020]]*Table1419[[#This Row],[Age_Factor_Women]]</f>
        <v>0.14583333333333301</v>
      </c>
      <c r="AK14" s="25">
        <f>Table1419[[#This Row],[AG_Time_Women_2020]]*1440</f>
        <v>209.99999999999955</v>
      </c>
      <c r="AL14" s="26">
        <f t="shared" si="0"/>
        <v>0.6</v>
      </c>
      <c r="AM14" s="27">
        <f t="shared" si="1"/>
        <v>9.9999999999999978E-2</v>
      </c>
      <c r="AN14" s="27">
        <f t="shared" si="2"/>
        <v>0.10000000000000009</v>
      </c>
      <c r="AO14" s="27">
        <f t="shared" si="3"/>
        <v>9.9999999999999978E-2</v>
      </c>
      <c r="AP14" s="27">
        <f t="shared" si="4"/>
        <v>9.9999999999999978E-2</v>
      </c>
      <c r="AQ14" s="28">
        <v>0.68</v>
      </c>
      <c r="AR14" s="29">
        <f>Table1419[[#This Row],[Age Best_Men_20]]/Table1419[[#This Row],[Proposed_uniform_AG%]]</f>
        <v>0.12423406862745097</v>
      </c>
      <c r="AS14" s="29">
        <f t="shared" si="6"/>
        <v>0.1242706841092214</v>
      </c>
      <c r="AT14" s="29">
        <f>CEILING(Table1419[[#This Row],[Proposed_QT_M_Agegrouped]],"00:01:00")</f>
        <v>0.12430555555555556</v>
      </c>
      <c r="AU14" s="30">
        <f>Table1419[[#This Row],[Proposed_QT_M_Agegrouped_roundedup]]*1440</f>
        <v>179</v>
      </c>
      <c r="AV14" s="30">
        <f>Table1419[[#This Row],[Proposed_QT_M_Agegrouped_roundedup_min]]-Table1419[[#This Row],[QT_Men_2020_min]]</f>
        <v>-1</v>
      </c>
      <c r="AW14" s="40">
        <f>(Table1419[[#This Row],[Proposed_QT_M_Agegrouped_roundedup_min]]-Table1419[[#This Row],[QT_Men_2020_min]])/Table1419[[#This Row],[QT_Men_2020_min]]</f>
        <v>-5.5555555555555558E-3</v>
      </c>
      <c r="AX14" s="32">
        <f>Table1419[[#This Row],[Age Best_Women]]/Table1419[[#This Row],[Proposed_uniform_AG%]]</f>
        <v>0.13691448801742917</v>
      </c>
      <c r="AY14" s="29">
        <f t="shared" si="5"/>
        <v>0.13733031240034807</v>
      </c>
      <c r="AZ14" s="33">
        <f>CEILING(Table1419[[#This Row],[Proposed_QT_W_Agegrouped]],"00:01:00")</f>
        <v>0.13750000000000001</v>
      </c>
      <c r="BA14" s="34">
        <f>Table1419[[#This Row],[Proposed_QT_W_Agegrouped_roundedup]]*1440</f>
        <v>198.00000000000003</v>
      </c>
      <c r="BB14" s="34">
        <f>Table1419[[#This Row],[Proposed_QT_W_Agegrouped_roundedup_min]]-Table1419[[#This Row],[Qualifying_Time_Women_2020_min]]</f>
        <v>-11.999999999999517</v>
      </c>
      <c r="BC14" s="41">
        <f>(Table1419[[#This Row],[Proposed_QT_W_Agegrouped_roundedup_min]]-Table1419[[#This Row],[Qualifying_Time_Women_2020_min]])/Table1419[[#This Row],[Qualifying_Time_Women_2020_min]]</f>
        <v>-5.7142857142854969E-2</v>
      </c>
      <c r="BD14" s="36" t="s">
        <v>73</v>
      </c>
      <c r="BE14" s="37">
        <f>Table1419[[#This Row],[Age Best_Men_20]]/Table1419[[#This Row],[Proposed_QT_M_Agegrouped_roundedup]]</f>
        <v>0.67960893854748594</v>
      </c>
      <c r="BF14" s="38">
        <f>Table1419[[#This Row],[Age Best_Women]]/Table1419[[#This Row],[Proposed_QT_W_Agegrouped_roundedup]]</f>
        <v>0.67710437710437699</v>
      </c>
    </row>
    <row r="15" spans="1:86" x14ac:dyDescent="0.55000000000000004">
      <c r="A15" s="18">
        <v>27</v>
      </c>
      <c r="B15" s="19">
        <f>IF(BQs_over_time_AG20!$A15="","",SUMIF('2020_Road Weights'!$A:$A,"M",'2020_Road Weights'!$F:$F)/3600/24)</f>
        <v>8.4479166666666661E-2</v>
      </c>
      <c r="C15" s="20">
        <f>IF(A15="","",INDEX('2020_Road Weights'!$A:$CX,MATCH("M",'2020_Road Weights'!$A:$A,FALSE),MATCH(BQs_over_time_AG20!$A15,'2020_Road Weights'!$1:$1,FALSE)))</f>
        <v>1</v>
      </c>
      <c r="D15" s="19">
        <f>IFERROR(BQs_over_time_AG20!$B15/BQs_over_time_AG20!$C15,"")</f>
        <v>8.4479166666666661E-2</v>
      </c>
      <c r="E15" s="19">
        <v>0.13194444444444445</v>
      </c>
      <c r="F15" s="21">
        <f>Table1419[[#This Row],[QT_Men_03_12]]*1440</f>
        <v>190</v>
      </c>
      <c r="G15" s="20">
        <f>IFERROR(BQs_over_time_AG20!$D15/BQs_over_time_AG20!$E15,"")</f>
        <v>0.64026315789473676</v>
      </c>
      <c r="H15" s="19">
        <f>IFERROR(Table1419[[#This Row],[QT_Men_03_12]]*Table1419[[#This Row],[Age_Factor_Men_20]],"")</f>
        <v>0.13194444444444445</v>
      </c>
      <c r="I15" s="21">
        <f>Table1419[[#This Row],[AG_Time_Men_03_12]]*1440</f>
        <v>190</v>
      </c>
      <c r="J15" s="19">
        <v>0.12847222222222199</v>
      </c>
      <c r="K15" s="21">
        <f>Table1419[[#This Row],[QT_Men_13_19]]*1440</f>
        <v>184.99999999999966</v>
      </c>
      <c r="L15" s="20">
        <f>IFERROR(BQs_over_time_AG20!$D15/BQs_over_time_AG20!$J15,"")</f>
        <v>0.65756756756756873</v>
      </c>
      <c r="M15" s="19">
        <f>Table1419[[#This Row],[QT_Men_13_19]]*Table1419[[#This Row],[Age_Factor_Men_20]]</f>
        <v>0.12847222222222199</v>
      </c>
      <c r="N15" s="21">
        <f>Table1419[[#This Row],[AG_Time_Men_13_19]]*1440</f>
        <v>184.99999999999966</v>
      </c>
      <c r="O15" s="19">
        <v>0.125</v>
      </c>
      <c r="P15" s="21">
        <f>Table1419[[#This Row],[QT_Men_2020]]*1440</f>
        <v>180</v>
      </c>
      <c r="Q15" s="22">
        <f>IFERROR(BQs_over_time_AG20!$D15/BQs_over_time_AG20!$O15,"")</f>
        <v>0.67583333333333329</v>
      </c>
      <c r="R15" s="19">
        <f>Table1419[[#This Row],[QT_Men_2020]]*Table1419[[#This Row],[Age_Factor_Men_20]]</f>
        <v>0.125</v>
      </c>
      <c r="S15" s="21">
        <f>Table1419[[#This Row],[AG_Time_Men_2020]]*1440</f>
        <v>180</v>
      </c>
      <c r="T15" s="19">
        <f>IF(BQs_over_time_AG20!$A15="","",SUMIF('2020_Road Weights'!$A:$A,"F",'2020_Road Weights'!$F:$F)/3600/24)</f>
        <v>9.3101851851851838E-2</v>
      </c>
      <c r="U15" s="20">
        <f>INDEX('2020_Road Weights'!$A:$CX,MATCH("F",'2020_Road Weights'!$A:$A,FALSE),MATCH(BQs_over_time_AG20!$A15,'2020_Road Weights'!$1:$1,FALSE))</f>
        <v>1</v>
      </c>
      <c r="V15" s="19">
        <f>IFERROR(BQs_over_time_AG20!$T15/BQs_over_time_AG20!$U15,"")</f>
        <v>9.3101851851851838E-2</v>
      </c>
      <c r="W15" s="19">
        <v>0.15277777777777746</v>
      </c>
      <c r="X15" s="21">
        <f>Table1419[[#This Row],[Qualifying_Time_Women_03_12]]*1440</f>
        <v>219.99999999999955</v>
      </c>
      <c r="Y15" s="20">
        <f>IFERROR(BQs_over_time_AG20!$V15/BQs_over_time_AG20!$W15,"")</f>
        <v>0.6093939393939406</v>
      </c>
      <c r="Z15" s="19">
        <f>Table1419[[#This Row],[Qualifying_Time_Women_03_12]]*Table1419[[#This Row],[Age_Factor_Women]]</f>
        <v>0.15277777777777746</v>
      </c>
      <c r="AA15" s="21">
        <f>Table1419[[#This Row],[AG_Time_Women_03_12]]*1440</f>
        <v>219.99999999999955</v>
      </c>
      <c r="AB15" s="19">
        <v>0.149305555555556</v>
      </c>
      <c r="AC15" s="21">
        <f>Table1419[[#This Row],[Qualifying_Time_Women_13_19]]*1440</f>
        <v>215.00000000000063</v>
      </c>
      <c r="AD15" s="23">
        <f>IFERROR(BQs_over_time_AG20!$V15/BQs_over_time_AG20!$AB15,"")</f>
        <v>0.62356589147286634</v>
      </c>
      <c r="AE15" s="19">
        <f>Table1419[[#This Row],[Qualifying_Time_Women_13_19]]*Table1419[[#This Row],[Age_Factor_Women]]</f>
        <v>0.149305555555556</v>
      </c>
      <c r="AF15" s="21">
        <f>Table1419[[#This Row],[AG_Time_Women_13_19]]*1440</f>
        <v>215.00000000000063</v>
      </c>
      <c r="AG15" s="19">
        <v>0.14583333333333301</v>
      </c>
      <c r="AH15" s="21">
        <f>Table1419[[#This Row],[Qualifying_Time_Women_2020]]*1440</f>
        <v>209.99999999999955</v>
      </c>
      <c r="AI15" s="24">
        <f>IFERROR(BQs_over_time_AG20!$V15/BQs_over_time_AG20!$AG15,"")</f>
        <v>0.63841269841269976</v>
      </c>
      <c r="AJ15" s="19">
        <f>Table1419[[#This Row],[Qualifying_Time_Women_2020]]*Table1419[[#This Row],[Age_Factor_Women]]</f>
        <v>0.14583333333333301</v>
      </c>
      <c r="AK15" s="25">
        <f>Table1419[[#This Row],[AG_Time_Women_2020]]*1440</f>
        <v>209.99999999999955</v>
      </c>
      <c r="AL15" s="26">
        <f t="shared" si="0"/>
        <v>0.6</v>
      </c>
      <c r="AM15" s="27">
        <f t="shared" si="1"/>
        <v>9.9999999999999978E-2</v>
      </c>
      <c r="AN15" s="27">
        <f t="shared" si="2"/>
        <v>0.10000000000000009</v>
      </c>
      <c r="AO15" s="27">
        <f t="shared" si="3"/>
        <v>9.9999999999999978E-2</v>
      </c>
      <c r="AP15" s="27">
        <f t="shared" si="4"/>
        <v>9.9999999999999978E-2</v>
      </c>
      <c r="AQ15" s="28">
        <v>0.68</v>
      </c>
      <c r="AR15" s="29">
        <f>Table1419[[#This Row],[Age Best_Men_20]]/Table1419[[#This Row],[Proposed_uniform_AG%]]</f>
        <v>0.12423406862745097</v>
      </c>
      <c r="AS15" s="29">
        <f t="shared" si="6"/>
        <v>0.1242706841092214</v>
      </c>
      <c r="AT15" s="29">
        <f>CEILING(Table1419[[#This Row],[Proposed_QT_M_Agegrouped]],"00:01:00")</f>
        <v>0.12430555555555556</v>
      </c>
      <c r="AU15" s="30">
        <f>Table1419[[#This Row],[Proposed_QT_M_Agegrouped_roundedup]]*1440</f>
        <v>179</v>
      </c>
      <c r="AV15" s="30">
        <f>Table1419[[#This Row],[Proposed_QT_M_Agegrouped_roundedup_min]]-Table1419[[#This Row],[QT_Men_2020_min]]</f>
        <v>-1</v>
      </c>
      <c r="AW15" s="40">
        <f>(Table1419[[#This Row],[Proposed_QT_M_Agegrouped_roundedup_min]]-Table1419[[#This Row],[QT_Men_2020_min]])/Table1419[[#This Row],[QT_Men_2020_min]]</f>
        <v>-5.5555555555555558E-3</v>
      </c>
      <c r="AX15" s="32">
        <f>Table1419[[#This Row],[Age Best_Women]]/Table1419[[#This Row],[Proposed_uniform_AG%]]</f>
        <v>0.13691448801742917</v>
      </c>
      <c r="AY15" s="29">
        <f t="shared" si="5"/>
        <v>0.13733031240034807</v>
      </c>
      <c r="AZ15" s="33">
        <f>CEILING(Table1419[[#This Row],[Proposed_QT_W_Agegrouped]],"00:01:00")</f>
        <v>0.13750000000000001</v>
      </c>
      <c r="BA15" s="34">
        <f>Table1419[[#This Row],[Proposed_QT_W_Agegrouped_roundedup]]*1440</f>
        <v>198.00000000000003</v>
      </c>
      <c r="BB15" s="34">
        <f>Table1419[[#This Row],[Proposed_QT_W_Agegrouped_roundedup_min]]-Table1419[[#This Row],[Qualifying_Time_Women_2020_min]]</f>
        <v>-11.999999999999517</v>
      </c>
      <c r="BC15" s="41">
        <f>(Table1419[[#This Row],[Proposed_QT_W_Agegrouped_roundedup_min]]-Table1419[[#This Row],[Qualifying_Time_Women_2020_min]])/Table1419[[#This Row],[Qualifying_Time_Women_2020_min]]</f>
        <v>-5.7142857142854969E-2</v>
      </c>
      <c r="BD15" s="36" t="s">
        <v>73</v>
      </c>
      <c r="BE15" s="37">
        <f>Table1419[[#This Row],[Age Best_Men_20]]/Table1419[[#This Row],[Proposed_QT_M_Agegrouped_roundedup]]</f>
        <v>0.67960893854748594</v>
      </c>
      <c r="BF15" s="38">
        <f>Table1419[[#This Row],[Age Best_Women]]/Table1419[[#This Row],[Proposed_QT_W_Agegrouped_roundedup]]</f>
        <v>0.67710437710437699</v>
      </c>
    </row>
    <row r="16" spans="1:86" x14ac:dyDescent="0.55000000000000004">
      <c r="A16" s="18">
        <v>28</v>
      </c>
      <c r="B16" s="19">
        <f>IF(BQs_over_time_AG20!$A16="","",SUMIF('2020_Road Weights'!$A:$A,"M",'2020_Road Weights'!$F:$F)/3600/24)</f>
        <v>8.4479166666666661E-2</v>
      </c>
      <c r="C16" s="20">
        <f>IF(A16="","",INDEX('2020_Road Weights'!$A:$CX,MATCH("M",'2020_Road Weights'!$A:$A,FALSE),MATCH(BQs_over_time_AG20!$A16,'2020_Road Weights'!$1:$1,FALSE)))</f>
        <v>1</v>
      </c>
      <c r="D16" s="19">
        <f>IFERROR(BQs_over_time_AG20!$B16/BQs_over_time_AG20!$C16,"")</f>
        <v>8.4479166666666661E-2</v>
      </c>
      <c r="E16" s="19">
        <v>0.13194444444444445</v>
      </c>
      <c r="F16" s="21">
        <f>Table1419[[#This Row],[QT_Men_03_12]]*1440</f>
        <v>190</v>
      </c>
      <c r="G16" s="20">
        <f>IFERROR(BQs_over_time_AG20!$D16/BQs_over_time_AG20!$E16,"")</f>
        <v>0.64026315789473676</v>
      </c>
      <c r="H16" s="19">
        <f>IFERROR(Table1419[[#This Row],[QT_Men_03_12]]*Table1419[[#This Row],[Age_Factor_Men_20]],"")</f>
        <v>0.13194444444444445</v>
      </c>
      <c r="I16" s="21">
        <f>Table1419[[#This Row],[AG_Time_Men_03_12]]*1440</f>
        <v>190</v>
      </c>
      <c r="J16" s="19">
        <v>0.12847222222222199</v>
      </c>
      <c r="K16" s="21">
        <f>Table1419[[#This Row],[QT_Men_13_19]]*1440</f>
        <v>184.99999999999966</v>
      </c>
      <c r="L16" s="20">
        <f>IFERROR(BQs_over_time_AG20!$D16/BQs_over_time_AG20!$J16,"")</f>
        <v>0.65756756756756873</v>
      </c>
      <c r="M16" s="19">
        <f>Table1419[[#This Row],[QT_Men_13_19]]*Table1419[[#This Row],[Age_Factor_Men_20]]</f>
        <v>0.12847222222222199</v>
      </c>
      <c r="N16" s="21">
        <f>Table1419[[#This Row],[AG_Time_Men_13_19]]*1440</f>
        <v>184.99999999999966</v>
      </c>
      <c r="O16" s="19">
        <v>0.125</v>
      </c>
      <c r="P16" s="21">
        <f>Table1419[[#This Row],[QT_Men_2020]]*1440</f>
        <v>180</v>
      </c>
      <c r="Q16" s="22">
        <f>IFERROR(BQs_over_time_AG20!$D16/BQs_over_time_AG20!$O16,"")</f>
        <v>0.67583333333333329</v>
      </c>
      <c r="R16" s="19">
        <f>Table1419[[#This Row],[QT_Men_2020]]*Table1419[[#This Row],[Age_Factor_Men_20]]</f>
        <v>0.125</v>
      </c>
      <c r="S16" s="21">
        <f>Table1419[[#This Row],[AG_Time_Men_2020]]*1440</f>
        <v>180</v>
      </c>
      <c r="T16" s="19">
        <f>IF(BQs_over_time_AG20!$A16="","",SUMIF('2020_Road Weights'!$A:$A,"F",'2020_Road Weights'!$F:$F)/3600/24)</f>
        <v>9.3101851851851838E-2</v>
      </c>
      <c r="U16" s="20">
        <f>INDEX('2020_Road Weights'!$A:$CX,MATCH("F",'2020_Road Weights'!$A:$A,FALSE),MATCH(BQs_over_time_AG20!$A16,'2020_Road Weights'!$1:$1,FALSE))</f>
        <v>1</v>
      </c>
      <c r="V16" s="19">
        <f>IFERROR(BQs_over_time_AG20!$T16/BQs_over_time_AG20!$U16,"")</f>
        <v>9.3101851851851838E-2</v>
      </c>
      <c r="W16" s="19">
        <v>0.15277777777777746</v>
      </c>
      <c r="X16" s="21">
        <f>Table1419[[#This Row],[Qualifying_Time_Women_03_12]]*1440</f>
        <v>219.99999999999955</v>
      </c>
      <c r="Y16" s="20">
        <f>IFERROR(BQs_over_time_AG20!$V16/BQs_over_time_AG20!$W16,"")</f>
        <v>0.6093939393939406</v>
      </c>
      <c r="Z16" s="19">
        <f>Table1419[[#This Row],[Qualifying_Time_Women_03_12]]*Table1419[[#This Row],[Age_Factor_Women]]</f>
        <v>0.15277777777777746</v>
      </c>
      <c r="AA16" s="21">
        <f>Table1419[[#This Row],[AG_Time_Women_03_12]]*1440</f>
        <v>219.99999999999955</v>
      </c>
      <c r="AB16" s="19">
        <v>0.149305555555556</v>
      </c>
      <c r="AC16" s="21">
        <f>Table1419[[#This Row],[Qualifying_Time_Women_13_19]]*1440</f>
        <v>215.00000000000063</v>
      </c>
      <c r="AD16" s="23">
        <f>IFERROR(BQs_over_time_AG20!$V16/BQs_over_time_AG20!$AB16,"")</f>
        <v>0.62356589147286634</v>
      </c>
      <c r="AE16" s="19">
        <f>Table1419[[#This Row],[Qualifying_Time_Women_13_19]]*Table1419[[#This Row],[Age_Factor_Women]]</f>
        <v>0.149305555555556</v>
      </c>
      <c r="AF16" s="21">
        <f>Table1419[[#This Row],[AG_Time_Women_13_19]]*1440</f>
        <v>215.00000000000063</v>
      </c>
      <c r="AG16" s="19">
        <v>0.14583333333333301</v>
      </c>
      <c r="AH16" s="21">
        <f>Table1419[[#This Row],[Qualifying_Time_Women_2020]]*1440</f>
        <v>209.99999999999955</v>
      </c>
      <c r="AI16" s="24">
        <f>IFERROR(BQs_over_time_AG20!$V16/BQs_over_time_AG20!$AG16,"")</f>
        <v>0.63841269841269976</v>
      </c>
      <c r="AJ16" s="19">
        <f>Table1419[[#This Row],[Qualifying_Time_Women_2020]]*Table1419[[#This Row],[Age_Factor_Women]]</f>
        <v>0.14583333333333301</v>
      </c>
      <c r="AK16" s="25">
        <f>Table1419[[#This Row],[AG_Time_Women_2020]]*1440</f>
        <v>209.99999999999955</v>
      </c>
      <c r="AL16" s="26">
        <f t="shared" si="0"/>
        <v>0.6</v>
      </c>
      <c r="AM16" s="27">
        <f t="shared" si="1"/>
        <v>9.9999999999999978E-2</v>
      </c>
      <c r="AN16" s="27">
        <f t="shared" si="2"/>
        <v>0.10000000000000009</v>
      </c>
      <c r="AO16" s="27">
        <f t="shared" si="3"/>
        <v>9.9999999999999978E-2</v>
      </c>
      <c r="AP16" s="27">
        <f t="shared" si="4"/>
        <v>9.9999999999999978E-2</v>
      </c>
      <c r="AQ16" s="28">
        <v>0.68</v>
      </c>
      <c r="AR16" s="29">
        <f>Table1419[[#This Row],[Age Best_Men_20]]/Table1419[[#This Row],[Proposed_uniform_AG%]]</f>
        <v>0.12423406862745097</v>
      </c>
      <c r="AS16" s="29">
        <f t="shared" si="6"/>
        <v>0.1242706841092214</v>
      </c>
      <c r="AT16" s="29">
        <f>CEILING(Table1419[[#This Row],[Proposed_QT_M_Agegrouped]],"00:01:00")</f>
        <v>0.12430555555555556</v>
      </c>
      <c r="AU16" s="30">
        <f>Table1419[[#This Row],[Proposed_QT_M_Agegrouped_roundedup]]*1440</f>
        <v>179</v>
      </c>
      <c r="AV16" s="30">
        <f>Table1419[[#This Row],[Proposed_QT_M_Agegrouped_roundedup_min]]-Table1419[[#This Row],[QT_Men_2020_min]]</f>
        <v>-1</v>
      </c>
      <c r="AW16" s="40">
        <f>(Table1419[[#This Row],[Proposed_QT_M_Agegrouped_roundedup_min]]-Table1419[[#This Row],[QT_Men_2020_min]])/Table1419[[#This Row],[QT_Men_2020_min]]</f>
        <v>-5.5555555555555558E-3</v>
      </c>
      <c r="AX16" s="32">
        <f>Table1419[[#This Row],[Age Best_Women]]/Table1419[[#This Row],[Proposed_uniform_AG%]]</f>
        <v>0.13691448801742917</v>
      </c>
      <c r="AY16" s="29">
        <f t="shared" si="5"/>
        <v>0.13733031240034807</v>
      </c>
      <c r="AZ16" s="33">
        <f>CEILING(Table1419[[#This Row],[Proposed_QT_W_Agegrouped]],"00:01:00")</f>
        <v>0.13750000000000001</v>
      </c>
      <c r="BA16" s="34">
        <f>Table1419[[#This Row],[Proposed_QT_W_Agegrouped_roundedup]]*1440</f>
        <v>198.00000000000003</v>
      </c>
      <c r="BB16" s="34">
        <f>Table1419[[#This Row],[Proposed_QT_W_Agegrouped_roundedup_min]]-Table1419[[#This Row],[Qualifying_Time_Women_2020_min]]</f>
        <v>-11.999999999999517</v>
      </c>
      <c r="BC16" s="41">
        <f>(Table1419[[#This Row],[Proposed_QT_W_Agegrouped_roundedup_min]]-Table1419[[#This Row],[Qualifying_Time_Women_2020_min]])/Table1419[[#This Row],[Qualifying_Time_Women_2020_min]]</f>
        <v>-5.7142857142854969E-2</v>
      </c>
      <c r="BD16" s="36" t="s">
        <v>73</v>
      </c>
      <c r="BE16" s="37">
        <f>Table1419[[#This Row],[Age Best_Men_20]]/Table1419[[#This Row],[Proposed_QT_M_Agegrouped_roundedup]]</f>
        <v>0.67960893854748594</v>
      </c>
      <c r="BF16" s="38">
        <f>Table1419[[#This Row],[Age Best_Women]]/Table1419[[#This Row],[Proposed_QT_W_Agegrouped_roundedup]]</f>
        <v>0.67710437710437699</v>
      </c>
    </row>
    <row r="17" spans="1:86" x14ac:dyDescent="0.55000000000000004">
      <c r="A17" s="18">
        <v>29</v>
      </c>
      <c r="B17" s="19">
        <f>IF(BQs_over_time_AG20!$A17="","",SUMIF('2020_Road Weights'!$A:$A,"M",'2020_Road Weights'!$F:$F)/3600/24)</f>
        <v>8.4479166666666661E-2</v>
      </c>
      <c r="C17" s="20">
        <f>IF(A17="","",INDEX('2020_Road Weights'!$A:$CX,MATCH("M",'2020_Road Weights'!$A:$A,FALSE),MATCH(BQs_over_time_AG20!$A17,'2020_Road Weights'!$1:$1,FALSE)))</f>
        <v>1</v>
      </c>
      <c r="D17" s="19">
        <f>IFERROR(BQs_over_time_AG20!$B17/BQs_over_time_AG20!$C17,"")</f>
        <v>8.4479166666666661E-2</v>
      </c>
      <c r="E17" s="19">
        <v>0.13194444444444445</v>
      </c>
      <c r="F17" s="21">
        <f>Table1419[[#This Row],[QT_Men_03_12]]*1440</f>
        <v>190</v>
      </c>
      <c r="G17" s="20">
        <f>IFERROR(BQs_over_time_AG20!$D17/BQs_over_time_AG20!$E17,"")</f>
        <v>0.64026315789473676</v>
      </c>
      <c r="H17" s="19">
        <f>IFERROR(Table1419[[#This Row],[QT_Men_03_12]]*Table1419[[#This Row],[Age_Factor_Men_20]],"")</f>
        <v>0.13194444444444445</v>
      </c>
      <c r="I17" s="21">
        <f>Table1419[[#This Row],[AG_Time_Men_03_12]]*1440</f>
        <v>190</v>
      </c>
      <c r="J17" s="19">
        <v>0.12847222222222199</v>
      </c>
      <c r="K17" s="21">
        <f>Table1419[[#This Row],[QT_Men_13_19]]*1440</f>
        <v>184.99999999999966</v>
      </c>
      <c r="L17" s="20">
        <f>IFERROR(BQs_over_time_AG20!$D17/BQs_over_time_AG20!$J17,"")</f>
        <v>0.65756756756756873</v>
      </c>
      <c r="M17" s="19">
        <f>Table1419[[#This Row],[QT_Men_13_19]]*Table1419[[#This Row],[Age_Factor_Men_20]]</f>
        <v>0.12847222222222199</v>
      </c>
      <c r="N17" s="21">
        <f>Table1419[[#This Row],[AG_Time_Men_13_19]]*1440</f>
        <v>184.99999999999966</v>
      </c>
      <c r="O17" s="19">
        <v>0.125</v>
      </c>
      <c r="P17" s="21">
        <f>Table1419[[#This Row],[QT_Men_2020]]*1440</f>
        <v>180</v>
      </c>
      <c r="Q17" s="22">
        <f>IFERROR(BQs_over_time_AG20!$D17/BQs_over_time_AG20!$O17,"")</f>
        <v>0.67583333333333329</v>
      </c>
      <c r="R17" s="19">
        <f>Table1419[[#This Row],[QT_Men_2020]]*Table1419[[#This Row],[Age_Factor_Men_20]]</f>
        <v>0.125</v>
      </c>
      <c r="S17" s="21">
        <f>Table1419[[#This Row],[AG_Time_Men_2020]]*1440</f>
        <v>180</v>
      </c>
      <c r="T17" s="19">
        <f>IF(BQs_over_time_AG20!$A17="","",SUMIF('2020_Road Weights'!$A:$A,"F",'2020_Road Weights'!$F:$F)/3600/24)</f>
        <v>9.3101851851851838E-2</v>
      </c>
      <c r="U17" s="20">
        <f>INDEX('2020_Road Weights'!$A:$CX,MATCH("F",'2020_Road Weights'!$A:$A,FALSE),MATCH(BQs_over_time_AG20!$A17,'2020_Road Weights'!$1:$1,FALSE))</f>
        <v>1</v>
      </c>
      <c r="V17" s="19">
        <f>IFERROR(BQs_over_time_AG20!$T17/BQs_over_time_AG20!$U17,"")</f>
        <v>9.3101851851851838E-2</v>
      </c>
      <c r="W17" s="19">
        <v>0.15277777777777746</v>
      </c>
      <c r="X17" s="21">
        <f>Table1419[[#This Row],[Qualifying_Time_Women_03_12]]*1440</f>
        <v>219.99999999999955</v>
      </c>
      <c r="Y17" s="20">
        <f>IFERROR(BQs_over_time_AG20!$V17/BQs_over_time_AG20!$W17,"")</f>
        <v>0.6093939393939406</v>
      </c>
      <c r="Z17" s="19">
        <f>Table1419[[#This Row],[Qualifying_Time_Women_03_12]]*Table1419[[#This Row],[Age_Factor_Women]]</f>
        <v>0.15277777777777746</v>
      </c>
      <c r="AA17" s="21">
        <f>Table1419[[#This Row],[AG_Time_Women_03_12]]*1440</f>
        <v>219.99999999999955</v>
      </c>
      <c r="AB17" s="19">
        <v>0.149305555555556</v>
      </c>
      <c r="AC17" s="21">
        <f>Table1419[[#This Row],[Qualifying_Time_Women_13_19]]*1440</f>
        <v>215.00000000000063</v>
      </c>
      <c r="AD17" s="23">
        <f>IFERROR(BQs_over_time_AG20!$V17/BQs_over_time_AG20!$AB17,"")</f>
        <v>0.62356589147286634</v>
      </c>
      <c r="AE17" s="19">
        <f>Table1419[[#This Row],[Qualifying_Time_Women_13_19]]*Table1419[[#This Row],[Age_Factor_Women]]</f>
        <v>0.149305555555556</v>
      </c>
      <c r="AF17" s="21">
        <f>Table1419[[#This Row],[AG_Time_Women_13_19]]*1440</f>
        <v>215.00000000000063</v>
      </c>
      <c r="AG17" s="19">
        <v>0.14583333333333301</v>
      </c>
      <c r="AH17" s="21">
        <f>Table1419[[#This Row],[Qualifying_Time_Women_2020]]*1440</f>
        <v>209.99999999999955</v>
      </c>
      <c r="AI17" s="24">
        <f>IFERROR(BQs_over_time_AG20!$V17/BQs_over_time_AG20!$AG17,"")</f>
        <v>0.63841269841269976</v>
      </c>
      <c r="AJ17" s="19">
        <f>Table1419[[#This Row],[Qualifying_Time_Women_2020]]*Table1419[[#This Row],[Age_Factor_Women]]</f>
        <v>0.14583333333333301</v>
      </c>
      <c r="AK17" s="25">
        <f>Table1419[[#This Row],[AG_Time_Women_2020]]*1440</f>
        <v>209.99999999999955</v>
      </c>
      <c r="AL17" s="26">
        <f t="shared" si="0"/>
        <v>0.6</v>
      </c>
      <c r="AM17" s="27">
        <f t="shared" si="1"/>
        <v>9.9999999999999978E-2</v>
      </c>
      <c r="AN17" s="27">
        <f t="shared" si="2"/>
        <v>0.10000000000000009</v>
      </c>
      <c r="AO17" s="27">
        <f t="shared" si="3"/>
        <v>9.9999999999999978E-2</v>
      </c>
      <c r="AP17" s="27">
        <f t="shared" si="4"/>
        <v>9.9999999999999978E-2</v>
      </c>
      <c r="AQ17" s="28">
        <v>0.68</v>
      </c>
      <c r="AR17" s="29">
        <f>Table1419[[#This Row],[Age Best_Men_20]]/Table1419[[#This Row],[Proposed_uniform_AG%]]</f>
        <v>0.12423406862745097</v>
      </c>
      <c r="AS17" s="29">
        <f t="shared" si="6"/>
        <v>0.1242706841092214</v>
      </c>
      <c r="AT17" s="29">
        <f>CEILING(Table1419[[#This Row],[Proposed_QT_M_Agegrouped]],"00:01:00")</f>
        <v>0.12430555555555556</v>
      </c>
      <c r="AU17" s="30">
        <f>Table1419[[#This Row],[Proposed_QT_M_Agegrouped_roundedup]]*1440</f>
        <v>179</v>
      </c>
      <c r="AV17" s="30">
        <f>Table1419[[#This Row],[Proposed_QT_M_Agegrouped_roundedup_min]]-Table1419[[#This Row],[QT_Men_2020_min]]</f>
        <v>-1</v>
      </c>
      <c r="AW17" s="40">
        <f>(Table1419[[#This Row],[Proposed_QT_M_Agegrouped_roundedup_min]]-Table1419[[#This Row],[QT_Men_2020_min]])/Table1419[[#This Row],[QT_Men_2020_min]]</f>
        <v>-5.5555555555555558E-3</v>
      </c>
      <c r="AX17" s="32">
        <f>Table1419[[#This Row],[Age Best_Women]]/Table1419[[#This Row],[Proposed_uniform_AG%]]</f>
        <v>0.13691448801742917</v>
      </c>
      <c r="AY17" s="29">
        <f t="shared" si="5"/>
        <v>0.13733031240034807</v>
      </c>
      <c r="AZ17" s="33">
        <f>CEILING(Table1419[[#This Row],[Proposed_QT_W_Agegrouped]],"00:01:00")</f>
        <v>0.13750000000000001</v>
      </c>
      <c r="BA17" s="34">
        <f>Table1419[[#This Row],[Proposed_QT_W_Agegrouped_roundedup]]*1440</f>
        <v>198.00000000000003</v>
      </c>
      <c r="BB17" s="34">
        <f>Table1419[[#This Row],[Proposed_QT_W_Agegrouped_roundedup_min]]-Table1419[[#This Row],[Qualifying_Time_Women_2020_min]]</f>
        <v>-11.999999999999517</v>
      </c>
      <c r="BC17" s="41">
        <f>(Table1419[[#This Row],[Proposed_QT_W_Agegrouped_roundedup_min]]-Table1419[[#This Row],[Qualifying_Time_Women_2020_min]])/Table1419[[#This Row],[Qualifying_Time_Women_2020_min]]</f>
        <v>-5.7142857142854969E-2</v>
      </c>
      <c r="BD17" s="36" t="s">
        <v>73</v>
      </c>
      <c r="BE17" s="37">
        <f>Table1419[[#This Row],[Age Best_Men_20]]/Table1419[[#This Row],[Proposed_QT_M_Agegrouped_roundedup]]</f>
        <v>0.67960893854748594</v>
      </c>
      <c r="BF17" s="38">
        <f>Table1419[[#This Row],[Age Best_Women]]/Table1419[[#This Row],[Proposed_QT_W_Agegrouped_roundedup]]</f>
        <v>0.67710437710437699</v>
      </c>
    </row>
    <row r="18" spans="1:86" x14ac:dyDescent="0.55000000000000004">
      <c r="A18" s="18">
        <v>30</v>
      </c>
      <c r="B18" s="19">
        <f>IF(BQs_over_time_AG20!$A18="","",SUMIF('2020_Road Weights'!$A:$A,"M",'2020_Road Weights'!$F:$F)/3600/24)</f>
        <v>8.4479166666666661E-2</v>
      </c>
      <c r="C18" s="20">
        <f>IF(A18="","",INDEX('2020_Road Weights'!$A:$CX,MATCH("M",'2020_Road Weights'!$A:$A,FALSE),MATCH(BQs_over_time_AG20!$A18,'2020_Road Weights'!$1:$1,FALSE)))</f>
        <v>1</v>
      </c>
      <c r="D18" s="19">
        <f>IFERROR(BQs_over_time_AG20!$B18/BQs_over_time_AG20!$C18,"")</f>
        <v>8.4479166666666661E-2</v>
      </c>
      <c r="E18" s="19">
        <v>0.13194444444444445</v>
      </c>
      <c r="F18" s="21">
        <f>Table1419[[#This Row],[QT_Men_03_12]]*1440</f>
        <v>190</v>
      </c>
      <c r="G18" s="20">
        <f>IFERROR(BQs_over_time_AG20!$D18/BQs_over_time_AG20!$E18,"")</f>
        <v>0.64026315789473676</v>
      </c>
      <c r="H18" s="19">
        <f>IFERROR(Table1419[[#This Row],[QT_Men_03_12]]*Table1419[[#This Row],[Age_Factor_Men_20]],"")</f>
        <v>0.13194444444444445</v>
      </c>
      <c r="I18" s="21">
        <f>Table1419[[#This Row],[AG_Time_Men_03_12]]*1440</f>
        <v>190</v>
      </c>
      <c r="J18" s="19">
        <v>0.12847222222222199</v>
      </c>
      <c r="K18" s="21">
        <f>Table1419[[#This Row],[QT_Men_13_19]]*1440</f>
        <v>184.99999999999966</v>
      </c>
      <c r="L18" s="20">
        <f>IFERROR(BQs_over_time_AG20!$D18/BQs_over_time_AG20!$J18,"")</f>
        <v>0.65756756756756873</v>
      </c>
      <c r="M18" s="19">
        <f>Table1419[[#This Row],[QT_Men_13_19]]*Table1419[[#This Row],[Age_Factor_Men_20]]</f>
        <v>0.12847222222222199</v>
      </c>
      <c r="N18" s="21">
        <f>Table1419[[#This Row],[AG_Time_Men_13_19]]*1440</f>
        <v>184.99999999999966</v>
      </c>
      <c r="O18" s="19">
        <v>0.125</v>
      </c>
      <c r="P18" s="21">
        <f>Table1419[[#This Row],[QT_Men_2020]]*1440</f>
        <v>180</v>
      </c>
      <c r="Q18" s="22">
        <f>IFERROR(BQs_over_time_AG20!$D18/BQs_over_time_AG20!$O18,"")</f>
        <v>0.67583333333333329</v>
      </c>
      <c r="R18" s="19">
        <f>Table1419[[#This Row],[QT_Men_2020]]*Table1419[[#This Row],[Age_Factor_Men_20]]</f>
        <v>0.125</v>
      </c>
      <c r="S18" s="21">
        <f>Table1419[[#This Row],[AG_Time_Men_2020]]*1440</f>
        <v>180</v>
      </c>
      <c r="T18" s="19">
        <f>IF(BQs_over_time_AG20!$A18="","",SUMIF('2020_Road Weights'!$A:$A,"F",'2020_Road Weights'!$F:$F)/3600/24)</f>
        <v>9.3101851851851838E-2</v>
      </c>
      <c r="U18" s="20">
        <f>INDEX('2020_Road Weights'!$A:$CX,MATCH("F",'2020_Road Weights'!$A:$A,FALSE),MATCH(BQs_over_time_AG20!$A18,'2020_Road Weights'!$1:$1,FALSE))</f>
        <v>1</v>
      </c>
      <c r="V18" s="19">
        <f>IFERROR(BQs_over_time_AG20!$T18/BQs_over_time_AG20!$U18,"")</f>
        <v>9.3101851851851838E-2</v>
      </c>
      <c r="W18" s="19">
        <v>0.15277777777777746</v>
      </c>
      <c r="X18" s="21">
        <f>Table1419[[#This Row],[Qualifying_Time_Women_03_12]]*1440</f>
        <v>219.99999999999955</v>
      </c>
      <c r="Y18" s="20">
        <f>IFERROR(BQs_over_time_AG20!$V18/BQs_over_time_AG20!$W18,"")</f>
        <v>0.6093939393939406</v>
      </c>
      <c r="Z18" s="19">
        <f>Table1419[[#This Row],[Qualifying_Time_Women_03_12]]*Table1419[[#This Row],[Age_Factor_Women]]</f>
        <v>0.15277777777777746</v>
      </c>
      <c r="AA18" s="21">
        <f>Table1419[[#This Row],[AG_Time_Women_03_12]]*1440</f>
        <v>219.99999999999955</v>
      </c>
      <c r="AB18" s="19">
        <v>0.149305555555556</v>
      </c>
      <c r="AC18" s="21">
        <f>Table1419[[#This Row],[Qualifying_Time_Women_13_19]]*1440</f>
        <v>215.00000000000063</v>
      </c>
      <c r="AD18" s="23">
        <f>IFERROR(BQs_over_time_AG20!$V18/BQs_over_time_AG20!$AB18,"")</f>
        <v>0.62356589147286634</v>
      </c>
      <c r="AE18" s="19">
        <f>Table1419[[#This Row],[Qualifying_Time_Women_13_19]]*Table1419[[#This Row],[Age_Factor_Women]]</f>
        <v>0.149305555555556</v>
      </c>
      <c r="AF18" s="21">
        <f>Table1419[[#This Row],[AG_Time_Women_13_19]]*1440</f>
        <v>215.00000000000063</v>
      </c>
      <c r="AG18" s="19">
        <v>0.14583333333333301</v>
      </c>
      <c r="AH18" s="21">
        <f>Table1419[[#This Row],[Qualifying_Time_Women_2020]]*1440</f>
        <v>209.99999999999955</v>
      </c>
      <c r="AI18" s="24">
        <f>IFERROR(BQs_over_time_AG20!$V18/BQs_over_time_AG20!$AG18,"")</f>
        <v>0.63841269841269976</v>
      </c>
      <c r="AJ18" s="19">
        <f>Table1419[[#This Row],[Qualifying_Time_Women_2020]]*Table1419[[#This Row],[Age_Factor_Women]]</f>
        <v>0.14583333333333301</v>
      </c>
      <c r="AK18" s="25">
        <f>Table1419[[#This Row],[AG_Time_Women_2020]]*1440</f>
        <v>209.99999999999955</v>
      </c>
      <c r="AL18" s="26">
        <f t="shared" si="0"/>
        <v>0.6</v>
      </c>
      <c r="AM18" s="27">
        <f t="shared" si="1"/>
        <v>9.9999999999999978E-2</v>
      </c>
      <c r="AN18" s="27">
        <f t="shared" si="2"/>
        <v>0.10000000000000009</v>
      </c>
      <c r="AO18" s="27">
        <f t="shared" si="3"/>
        <v>9.9999999999999978E-2</v>
      </c>
      <c r="AP18" s="27">
        <f t="shared" si="4"/>
        <v>9.9999999999999978E-2</v>
      </c>
      <c r="AQ18" s="28">
        <v>0.68</v>
      </c>
      <c r="AR18" s="29">
        <f>Table1419[[#This Row],[Age Best_Men_20]]/Table1419[[#This Row],[Proposed_uniform_AG%]]</f>
        <v>0.12423406862745097</v>
      </c>
      <c r="AS18" s="29">
        <f t="shared" si="6"/>
        <v>0.1242706841092214</v>
      </c>
      <c r="AT18" s="29">
        <f>CEILING(Table1419[[#This Row],[Proposed_QT_M_Agegrouped]],"00:01:00")</f>
        <v>0.12430555555555556</v>
      </c>
      <c r="AU18" s="30">
        <f>Table1419[[#This Row],[Proposed_QT_M_Agegrouped_roundedup]]*1440</f>
        <v>179</v>
      </c>
      <c r="AV18" s="30">
        <f>Table1419[[#This Row],[Proposed_QT_M_Agegrouped_roundedup_min]]-Table1419[[#This Row],[QT_Men_2020_min]]</f>
        <v>-1</v>
      </c>
      <c r="AW18" s="40">
        <f>(Table1419[[#This Row],[Proposed_QT_M_Agegrouped_roundedup_min]]-Table1419[[#This Row],[QT_Men_2020_min]])/Table1419[[#This Row],[QT_Men_2020_min]]</f>
        <v>-5.5555555555555558E-3</v>
      </c>
      <c r="AX18" s="32">
        <f>Table1419[[#This Row],[Age Best_Women]]/Table1419[[#This Row],[Proposed_uniform_AG%]]</f>
        <v>0.13691448801742917</v>
      </c>
      <c r="AY18" s="29">
        <f t="shared" si="5"/>
        <v>0.13733031240034807</v>
      </c>
      <c r="AZ18" s="33">
        <f>CEILING(Table1419[[#This Row],[Proposed_QT_W_Agegrouped]],"00:01:00")</f>
        <v>0.13750000000000001</v>
      </c>
      <c r="BA18" s="34">
        <f>Table1419[[#This Row],[Proposed_QT_W_Agegrouped_roundedup]]*1440</f>
        <v>198.00000000000003</v>
      </c>
      <c r="BB18" s="34">
        <f>Table1419[[#This Row],[Proposed_QT_W_Agegrouped_roundedup_min]]-Table1419[[#This Row],[Qualifying_Time_Women_2020_min]]</f>
        <v>-11.999999999999517</v>
      </c>
      <c r="BC18" s="41">
        <f>(Table1419[[#This Row],[Proposed_QT_W_Agegrouped_roundedup_min]]-Table1419[[#This Row],[Qualifying_Time_Women_2020_min]])/Table1419[[#This Row],[Qualifying_Time_Women_2020_min]]</f>
        <v>-5.7142857142854969E-2</v>
      </c>
      <c r="BD18" s="36" t="s">
        <v>73</v>
      </c>
      <c r="BE18" s="37">
        <f>Table1419[[#This Row],[Age Best_Men_20]]/Table1419[[#This Row],[Proposed_QT_M_Agegrouped_roundedup]]</f>
        <v>0.67960893854748594</v>
      </c>
      <c r="BF18" s="38">
        <f>Table1419[[#This Row],[Age Best_Women]]/Table1419[[#This Row],[Proposed_QT_W_Agegrouped_roundedup]]</f>
        <v>0.67710437710437699</v>
      </c>
    </row>
    <row r="19" spans="1:86" x14ac:dyDescent="0.55000000000000004">
      <c r="A19" s="18">
        <v>31</v>
      </c>
      <c r="B19" s="19">
        <f>IF(BQs_over_time_AG20!$A19="","",SUMIF('2020_Road Weights'!$A:$A,"M",'2020_Road Weights'!$F:$F)/3600/24)</f>
        <v>8.4479166666666661E-2</v>
      </c>
      <c r="C19" s="20">
        <f>IF(A19="","",INDEX('2020_Road Weights'!$A:$CX,MATCH("M",'2020_Road Weights'!$A:$A,FALSE),MATCH(BQs_over_time_AG20!$A19,'2020_Road Weights'!$1:$1,FALSE)))</f>
        <v>1</v>
      </c>
      <c r="D19" s="19">
        <f>IFERROR(BQs_over_time_AG20!$B19/BQs_over_time_AG20!$C19,"")</f>
        <v>8.4479166666666661E-2</v>
      </c>
      <c r="E19" s="19">
        <v>0.13194444444444445</v>
      </c>
      <c r="F19" s="21">
        <f>Table1419[[#This Row],[QT_Men_03_12]]*1440</f>
        <v>190</v>
      </c>
      <c r="G19" s="20">
        <f>IFERROR(BQs_over_time_AG20!$D19/BQs_over_time_AG20!$E19,"")</f>
        <v>0.64026315789473676</v>
      </c>
      <c r="H19" s="19">
        <f>IFERROR(Table1419[[#This Row],[QT_Men_03_12]]*Table1419[[#This Row],[Age_Factor_Men_20]],"")</f>
        <v>0.13194444444444445</v>
      </c>
      <c r="I19" s="21">
        <f>Table1419[[#This Row],[AG_Time_Men_03_12]]*1440</f>
        <v>190</v>
      </c>
      <c r="J19" s="19">
        <v>0.12847222222222199</v>
      </c>
      <c r="K19" s="21">
        <f>Table1419[[#This Row],[QT_Men_13_19]]*1440</f>
        <v>184.99999999999966</v>
      </c>
      <c r="L19" s="20">
        <f>IFERROR(BQs_over_time_AG20!$D19/BQs_over_time_AG20!$J19,"")</f>
        <v>0.65756756756756873</v>
      </c>
      <c r="M19" s="19">
        <f>Table1419[[#This Row],[QT_Men_13_19]]*Table1419[[#This Row],[Age_Factor_Men_20]]</f>
        <v>0.12847222222222199</v>
      </c>
      <c r="N19" s="21">
        <f>Table1419[[#This Row],[AG_Time_Men_13_19]]*1440</f>
        <v>184.99999999999966</v>
      </c>
      <c r="O19" s="19">
        <v>0.125</v>
      </c>
      <c r="P19" s="21">
        <f>Table1419[[#This Row],[QT_Men_2020]]*1440</f>
        <v>180</v>
      </c>
      <c r="Q19" s="22">
        <f>IFERROR(BQs_over_time_AG20!$D19/BQs_over_time_AG20!$O19,"")</f>
        <v>0.67583333333333329</v>
      </c>
      <c r="R19" s="19">
        <f>Table1419[[#This Row],[QT_Men_2020]]*Table1419[[#This Row],[Age_Factor_Men_20]]</f>
        <v>0.125</v>
      </c>
      <c r="S19" s="21">
        <f>Table1419[[#This Row],[AG_Time_Men_2020]]*1440</f>
        <v>180</v>
      </c>
      <c r="T19" s="19">
        <f>IF(BQs_over_time_AG20!$A19="","",SUMIF('2020_Road Weights'!$A:$A,"F",'2020_Road Weights'!$F:$F)/3600/24)</f>
        <v>9.3101851851851838E-2</v>
      </c>
      <c r="U19" s="20">
        <f>INDEX('2020_Road Weights'!$A:$CX,MATCH("F",'2020_Road Weights'!$A:$A,FALSE),MATCH(BQs_over_time_AG20!$A19,'2020_Road Weights'!$1:$1,FALSE))</f>
        <v>1</v>
      </c>
      <c r="V19" s="19">
        <f>IFERROR(BQs_over_time_AG20!$T19/BQs_over_time_AG20!$U19,"")</f>
        <v>9.3101851851851838E-2</v>
      </c>
      <c r="W19" s="19">
        <v>0.15277777777777746</v>
      </c>
      <c r="X19" s="21">
        <f>Table1419[[#This Row],[Qualifying_Time_Women_03_12]]*1440</f>
        <v>219.99999999999955</v>
      </c>
      <c r="Y19" s="20">
        <f>IFERROR(BQs_over_time_AG20!$V19/BQs_over_time_AG20!$W19,"")</f>
        <v>0.6093939393939406</v>
      </c>
      <c r="Z19" s="19">
        <f>Table1419[[#This Row],[Qualifying_Time_Women_03_12]]*Table1419[[#This Row],[Age_Factor_Women]]</f>
        <v>0.15277777777777746</v>
      </c>
      <c r="AA19" s="21">
        <f>Table1419[[#This Row],[AG_Time_Women_03_12]]*1440</f>
        <v>219.99999999999955</v>
      </c>
      <c r="AB19" s="19">
        <v>0.149305555555556</v>
      </c>
      <c r="AC19" s="21">
        <f>Table1419[[#This Row],[Qualifying_Time_Women_13_19]]*1440</f>
        <v>215.00000000000063</v>
      </c>
      <c r="AD19" s="23">
        <f>IFERROR(BQs_over_time_AG20!$V19/BQs_over_time_AG20!$AB19,"")</f>
        <v>0.62356589147286634</v>
      </c>
      <c r="AE19" s="19">
        <f>Table1419[[#This Row],[Qualifying_Time_Women_13_19]]*Table1419[[#This Row],[Age_Factor_Women]]</f>
        <v>0.149305555555556</v>
      </c>
      <c r="AF19" s="21">
        <f>Table1419[[#This Row],[AG_Time_Women_13_19]]*1440</f>
        <v>215.00000000000063</v>
      </c>
      <c r="AG19" s="19">
        <v>0.14583333333333301</v>
      </c>
      <c r="AH19" s="21">
        <f>Table1419[[#This Row],[Qualifying_Time_Women_2020]]*1440</f>
        <v>209.99999999999955</v>
      </c>
      <c r="AI19" s="24">
        <f>IFERROR(BQs_over_time_AG20!$V19/BQs_over_time_AG20!$AG19,"")</f>
        <v>0.63841269841269976</v>
      </c>
      <c r="AJ19" s="19">
        <f>Table1419[[#This Row],[Qualifying_Time_Women_2020]]*Table1419[[#This Row],[Age_Factor_Women]]</f>
        <v>0.14583333333333301</v>
      </c>
      <c r="AK19" s="25">
        <f>Table1419[[#This Row],[AG_Time_Women_2020]]*1440</f>
        <v>209.99999999999955</v>
      </c>
      <c r="AL19" s="26">
        <f t="shared" si="0"/>
        <v>0.6</v>
      </c>
      <c r="AM19" s="27">
        <f t="shared" si="1"/>
        <v>9.9999999999999978E-2</v>
      </c>
      <c r="AN19" s="27">
        <f t="shared" si="2"/>
        <v>0.10000000000000009</v>
      </c>
      <c r="AO19" s="27">
        <f t="shared" si="3"/>
        <v>9.9999999999999978E-2</v>
      </c>
      <c r="AP19" s="27">
        <f t="shared" si="4"/>
        <v>9.9999999999999978E-2</v>
      </c>
      <c r="AQ19" s="28">
        <v>0.68</v>
      </c>
      <c r="AR19" s="29">
        <f>Table1419[[#This Row],[Age Best_Men_20]]/Table1419[[#This Row],[Proposed_uniform_AG%]]</f>
        <v>0.12423406862745097</v>
      </c>
      <c r="AS19" s="29">
        <f t="shared" si="6"/>
        <v>0.1242706841092214</v>
      </c>
      <c r="AT19" s="29">
        <f>CEILING(Table1419[[#This Row],[Proposed_QT_M_Agegrouped]],"00:01:00")</f>
        <v>0.12430555555555556</v>
      </c>
      <c r="AU19" s="30">
        <f>Table1419[[#This Row],[Proposed_QT_M_Agegrouped_roundedup]]*1440</f>
        <v>179</v>
      </c>
      <c r="AV19" s="30">
        <f>Table1419[[#This Row],[Proposed_QT_M_Agegrouped_roundedup_min]]-Table1419[[#This Row],[QT_Men_2020_min]]</f>
        <v>-1</v>
      </c>
      <c r="AW19" s="40">
        <f>(Table1419[[#This Row],[Proposed_QT_M_Agegrouped_roundedup_min]]-Table1419[[#This Row],[QT_Men_2020_min]])/Table1419[[#This Row],[QT_Men_2020_min]]</f>
        <v>-5.5555555555555558E-3</v>
      </c>
      <c r="AX19" s="32">
        <f>Table1419[[#This Row],[Age Best_Women]]/Table1419[[#This Row],[Proposed_uniform_AG%]]</f>
        <v>0.13691448801742917</v>
      </c>
      <c r="AY19" s="29">
        <f t="shared" si="5"/>
        <v>0.13733031240034807</v>
      </c>
      <c r="AZ19" s="33">
        <f>CEILING(Table1419[[#This Row],[Proposed_QT_W_Agegrouped]],"00:01:00")</f>
        <v>0.13750000000000001</v>
      </c>
      <c r="BA19" s="34">
        <f>Table1419[[#This Row],[Proposed_QT_W_Agegrouped_roundedup]]*1440</f>
        <v>198.00000000000003</v>
      </c>
      <c r="BB19" s="34">
        <f>Table1419[[#This Row],[Proposed_QT_W_Agegrouped_roundedup_min]]-Table1419[[#This Row],[Qualifying_Time_Women_2020_min]]</f>
        <v>-11.999999999999517</v>
      </c>
      <c r="BC19" s="41">
        <f>(Table1419[[#This Row],[Proposed_QT_W_Agegrouped_roundedup_min]]-Table1419[[#This Row],[Qualifying_Time_Women_2020_min]])/Table1419[[#This Row],[Qualifying_Time_Women_2020_min]]</f>
        <v>-5.7142857142854969E-2</v>
      </c>
      <c r="BD19" s="36" t="s">
        <v>73</v>
      </c>
      <c r="BE19" s="37">
        <f>Table1419[[#This Row],[Age Best_Men_20]]/Table1419[[#This Row],[Proposed_QT_M_Agegrouped_roundedup]]</f>
        <v>0.67960893854748594</v>
      </c>
      <c r="BF19" s="38">
        <f>Table1419[[#This Row],[Age Best_Women]]/Table1419[[#This Row],[Proposed_QT_W_Agegrouped_roundedup]]</f>
        <v>0.67710437710437699</v>
      </c>
    </row>
    <row r="20" spans="1:86" x14ac:dyDescent="0.55000000000000004">
      <c r="A20" s="18">
        <v>32</v>
      </c>
      <c r="B20" s="19">
        <f>IF(BQs_over_time_AG20!$A20="","",SUMIF('2020_Road Weights'!$A:$A,"M",'2020_Road Weights'!$F:$F)/3600/24)</f>
        <v>8.4479166666666661E-2</v>
      </c>
      <c r="C20" s="20">
        <f>IF(A20="","",INDEX('2020_Road Weights'!$A:$CX,MATCH("M",'2020_Road Weights'!$A:$A,FALSE),MATCH(BQs_over_time_AG20!$A20,'2020_Road Weights'!$1:$1,FALSE)))</f>
        <v>0.99980000000000002</v>
      </c>
      <c r="D20" s="19">
        <f>IFERROR(BQs_over_time_AG20!$B20/BQs_over_time_AG20!$C20,"")</f>
        <v>8.4496065879842625E-2</v>
      </c>
      <c r="E20" s="19">
        <v>0.13194444444444445</v>
      </c>
      <c r="F20" s="21">
        <f>Table1419[[#This Row],[QT_Men_03_12]]*1440</f>
        <v>190</v>
      </c>
      <c r="G20" s="20">
        <f>IFERROR(BQs_over_time_AG20!$D20/BQs_over_time_AG20!$E20,"")</f>
        <v>0.64039123614196514</v>
      </c>
      <c r="H20" s="19">
        <f>IFERROR(Table1419[[#This Row],[QT_Men_03_12]]*Table1419[[#This Row],[Age_Factor_Men_20]],"")</f>
        <v>0.13191805555555555</v>
      </c>
      <c r="I20" s="21">
        <f>Table1419[[#This Row],[AG_Time_Men_03_12]]*1440</f>
        <v>189.96199999999999</v>
      </c>
      <c r="J20" s="19">
        <v>0.12847222222222199</v>
      </c>
      <c r="K20" s="21">
        <f>Table1419[[#This Row],[QT_Men_13_19]]*1440</f>
        <v>184.99999999999966</v>
      </c>
      <c r="L20" s="20">
        <f>IFERROR(BQs_over_time_AG20!$D20/BQs_over_time_AG20!$J20,"")</f>
        <v>0.65769910738904647</v>
      </c>
      <c r="M20" s="19">
        <f>Table1419[[#This Row],[QT_Men_13_19]]*Table1419[[#This Row],[Age_Factor_Men_20]]</f>
        <v>0.12844652777777754</v>
      </c>
      <c r="N20" s="21">
        <f>Table1419[[#This Row],[AG_Time_Men_13_19]]*1440</f>
        <v>184.96299999999965</v>
      </c>
      <c r="O20" s="19">
        <v>0.125</v>
      </c>
      <c r="P20" s="21">
        <f>Table1419[[#This Row],[QT_Men_2020]]*1440</f>
        <v>180</v>
      </c>
      <c r="Q20" s="22">
        <f>IFERROR(BQs_over_time_AG20!$D20/BQs_over_time_AG20!$O20,"")</f>
        <v>0.675968527038741</v>
      </c>
      <c r="R20" s="19">
        <f>Table1419[[#This Row],[QT_Men_2020]]*Table1419[[#This Row],[Age_Factor_Men_20]]</f>
        <v>0.124975</v>
      </c>
      <c r="S20" s="21">
        <f>Table1419[[#This Row],[AG_Time_Men_2020]]*1440</f>
        <v>179.964</v>
      </c>
      <c r="T20" s="19">
        <f>IF(BQs_over_time_AG20!$A20="","",SUMIF('2020_Road Weights'!$A:$A,"F",'2020_Road Weights'!$F:$F)/3600/24)</f>
        <v>9.3101851851851838E-2</v>
      </c>
      <c r="U20" s="20">
        <f>INDEX('2020_Road Weights'!$A:$CX,MATCH("F",'2020_Road Weights'!$A:$A,FALSE),MATCH(BQs_over_time_AG20!$A20,'2020_Road Weights'!$1:$1,FALSE))</f>
        <v>0.99990000000000001</v>
      </c>
      <c r="V20" s="19">
        <f>IFERROR(BQs_over_time_AG20!$T20/BQs_over_time_AG20!$U20,"")</f>
        <v>9.3111162968148656E-2</v>
      </c>
      <c r="W20" s="19">
        <v>0.15277777777777746</v>
      </c>
      <c r="X20" s="21">
        <f>Table1419[[#This Row],[Qualifying_Time_Women_03_12]]*1440</f>
        <v>219.99999999999955</v>
      </c>
      <c r="Y20" s="20">
        <f>IFERROR(BQs_over_time_AG20!$V20/BQs_over_time_AG20!$W20,"")</f>
        <v>0.60945488488242883</v>
      </c>
      <c r="Z20" s="19">
        <f>Table1419[[#This Row],[Qualifying_Time_Women_03_12]]*Table1419[[#This Row],[Age_Factor_Women]]</f>
        <v>0.15276249999999969</v>
      </c>
      <c r="AA20" s="21">
        <f>Table1419[[#This Row],[AG_Time_Women_03_12]]*1440</f>
        <v>219.97799999999955</v>
      </c>
      <c r="AB20" s="19">
        <v>0.149305555555556</v>
      </c>
      <c r="AC20" s="21">
        <f>Table1419[[#This Row],[Qualifying_Time_Women_13_19]]*1440</f>
        <v>215.00000000000063</v>
      </c>
      <c r="AD20" s="23">
        <f>IFERROR(BQs_over_time_AG20!$V20/BQs_over_time_AG20!$AB20,"")</f>
        <v>0.62362825429829616</v>
      </c>
      <c r="AE20" s="19">
        <f>Table1419[[#This Row],[Qualifying_Time_Women_13_19]]*Table1419[[#This Row],[Age_Factor_Women]]</f>
        <v>0.14929062500000045</v>
      </c>
      <c r="AF20" s="21">
        <f>Table1419[[#This Row],[AG_Time_Women_13_19]]*1440</f>
        <v>214.97850000000065</v>
      </c>
      <c r="AG20" s="19">
        <v>0.14583333333333301</v>
      </c>
      <c r="AH20" s="21">
        <f>Table1419[[#This Row],[Qualifying_Time_Women_2020]]*1440</f>
        <v>209.99999999999955</v>
      </c>
      <c r="AI20" s="24">
        <f>IFERROR(BQs_over_time_AG20!$V20/BQs_over_time_AG20!$AG20,"")</f>
        <v>0.63847654606730653</v>
      </c>
      <c r="AJ20" s="19">
        <f>Table1419[[#This Row],[Qualifying_Time_Women_2020]]*Table1419[[#This Row],[Age_Factor_Women]]</f>
        <v>0.14581874999999969</v>
      </c>
      <c r="AK20" s="25">
        <f>Table1419[[#This Row],[AG_Time_Women_2020]]*1440</f>
        <v>209.97899999999956</v>
      </c>
      <c r="AL20" s="26">
        <f t="shared" si="0"/>
        <v>0.6</v>
      </c>
      <c r="AM20" s="27">
        <f t="shared" si="1"/>
        <v>9.9999999999999978E-2</v>
      </c>
      <c r="AN20" s="27">
        <f t="shared" si="2"/>
        <v>0.10000000000000009</v>
      </c>
      <c r="AO20" s="27">
        <f t="shared" si="3"/>
        <v>9.9999999999999978E-2</v>
      </c>
      <c r="AP20" s="27">
        <f t="shared" si="4"/>
        <v>9.9999999999999978E-2</v>
      </c>
      <c r="AQ20" s="28">
        <v>0.68</v>
      </c>
      <c r="AR20" s="29">
        <f>Table1419[[#This Row],[Age Best_Men_20]]/Table1419[[#This Row],[Proposed_uniform_AG%]]</f>
        <v>0.12425892041153326</v>
      </c>
      <c r="AS20" s="29">
        <f t="shared" si="6"/>
        <v>0.1242706841092214</v>
      </c>
      <c r="AT20" s="29">
        <f>CEILING(Table1419[[#This Row],[Proposed_QT_M_Agegrouped]],"00:01:00")</f>
        <v>0.12430555555555556</v>
      </c>
      <c r="AU20" s="30">
        <f>Table1419[[#This Row],[Proposed_QT_M_Agegrouped_roundedup]]*1440</f>
        <v>179</v>
      </c>
      <c r="AV20" s="30">
        <f>Table1419[[#This Row],[Proposed_QT_M_Agegrouped_roundedup_min]]-Table1419[[#This Row],[QT_Men_2020_min]]</f>
        <v>-1</v>
      </c>
      <c r="AW20" s="40">
        <f>(Table1419[[#This Row],[Proposed_QT_M_Agegrouped_roundedup_min]]-Table1419[[#This Row],[QT_Men_2020_min]])/Table1419[[#This Row],[QT_Men_2020_min]]</f>
        <v>-5.5555555555555558E-3</v>
      </c>
      <c r="AX20" s="32">
        <f>Table1419[[#This Row],[Age Best_Women]]/Table1419[[#This Row],[Proposed_uniform_AG%]]</f>
        <v>0.13692818083551273</v>
      </c>
      <c r="AY20" s="29">
        <f t="shared" si="5"/>
        <v>0.13733031240034807</v>
      </c>
      <c r="AZ20" s="33">
        <f>CEILING(Table1419[[#This Row],[Proposed_QT_W_Agegrouped]],"00:01:00")</f>
        <v>0.13750000000000001</v>
      </c>
      <c r="BA20" s="34">
        <f>Table1419[[#This Row],[Proposed_QT_W_Agegrouped_roundedup]]*1440</f>
        <v>198.00000000000003</v>
      </c>
      <c r="BB20" s="34">
        <f>Table1419[[#This Row],[Proposed_QT_W_Agegrouped_roundedup_min]]-Table1419[[#This Row],[Qualifying_Time_Women_2020_min]]</f>
        <v>-11.999999999999517</v>
      </c>
      <c r="BC20" s="41">
        <f>(Table1419[[#This Row],[Proposed_QT_W_Agegrouped_roundedup_min]]-Table1419[[#This Row],[Qualifying_Time_Women_2020_min]])/Table1419[[#This Row],[Qualifying_Time_Women_2020_min]]</f>
        <v>-5.7142857142854969E-2</v>
      </c>
      <c r="BD20" s="36" t="s">
        <v>73</v>
      </c>
      <c r="BE20" s="37">
        <f>Table1419[[#This Row],[Age Best_Men_20]]/Table1419[[#This Row],[Proposed_QT_M_Agegrouped_roundedup]]</f>
        <v>0.67974488752499096</v>
      </c>
      <c r="BF20" s="38">
        <f>Table1419[[#This Row],[Age Best_Women]]/Table1419[[#This Row],[Proposed_QT_W_Agegrouped_roundedup]]</f>
        <v>0.67717209431380831</v>
      </c>
    </row>
    <row r="21" spans="1:86" x14ac:dyDescent="0.55000000000000004">
      <c r="A21" s="18">
        <v>33</v>
      </c>
      <c r="B21" s="19">
        <f>IF(BQs_over_time_AG20!$A21="","",SUMIF('2020_Road Weights'!$A:$A,"M",'2020_Road Weights'!$F:$F)/3600/24)</f>
        <v>8.4479166666666661E-2</v>
      </c>
      <c r="C21" s="20">
        <f>IF(A21="","",INDEX('2020_Road Weights'!$A:$CX,MATCH("M",'2020_Road Weights'!$A:$A,FALSE),MATCH(BQs_over_time_AG20!$A21,'2020_Road Weights'!$1:$1,FALSE)))</f>
        <v>0.99880000000000002</v>
      </c>
      <c r="D21" s="19">
        <f>IFERROR(BQs_over_time_AG20!$B21/BQs_over_time_AG20!$C21,"")</f>
        <v>8.4580663462822045E-2</v>
      </c>
      <c r="E21" s="19">
        <v>0.13194444444444445</v>
      </c>
      <c r="F21" s="21">
        <f>Table1419[[#This Row],[QT_Men_03_12]]*1440</f>
        <v>190</v>
      </c>
      <c r="G21" s="20">
        <f>IFERROR(BQs_over_time_AG20!$D21/BQs_over_time_AG20!$E21,"")</f>
        <v>0.64103239677086177</v>
      </c>
      <c r="H21" s="19">
        <f>IFERROR(Table1419[[#This Row],[QT_Men_03_12]]*Table1419[[#This Row],[Age_Factor_Men_20]],"")</f>
        <v>0.1317861111111111</v>
      </c>
      <c r="I21" s="21">
        <f>Table1419[[#This Row],[AG_Time_Men_03_12]]*1440</f>
        <v>189.77199999999999</v>
      </c>
      <c r="J21" s="19">
        <v>0.12847222222222199</v>
      </c>
      <c r="K21" s="21">
        <f>Table1419[[#This Row],[QT_Men_13_19]]*1440</f>
        <v>184.99999999999966</v>
      </c>
      <c r="L21" s="20">
        <f>IFERROR(BQs_over_time_AG20!$D21/BQs_over_time_AG20!$J21,"")</f>
        <v>0.65835759668358906</v>
      </c>
      <c r="M21" s="19">
        <f>Table1419[[#This Row],[QT_Men_13_19]]*Table1419[[#This Row],[Age_Factor_Men_20]]</f>
        <v>0.12831805555555531</v>
      </c>
      <c r="N21" s="21">
        <f>Table1419[[#This Row],[AG_Time_Men_13_19]]*1440</f>
        <v>184.77799999999965</v>
      </c>
      <c r="O21" s="19">
        <v>0.125</v>
      </c>
      <c r="P21" s="21">
        <f>Table1419[[#This Row],[QT_Men_2020]]*1440</f>
        <v>180</v>
      </c>
      <c r="Q21" s="22">
        <f>IFERROR(BQs_over_time_AG20!$D21/BQs_over_time_AG20!$O21,"")</f>
        <v>0.67664530770257636</v>
      </c>
      <c r="R21" s="19">
        <f>Table1419[[#This Row],[QT_Men_2020]]*Table1419[[#This Row],[Age_Factor_Men_20]]</f>
        <v>0.12485</v>
      </c>
      <c r="S21" s="21">
        <f>Table1419[[#This Row],[AG_Time_Men_2020]]*1440</f>
        <v>179.78399999999999</v>
      </c>
      <c r="T21" s="19">
        <f>IF(BQs_over_time_AG20!$A21="","",SUMIF('2020_Road Weights'!$A:$A,"F",'2020_Road Weights'!$F:$F)/3600/24)</f>
        <v>9.3101851851851838E-2</v>
      </c>
      <c r="U21" s="20">
        <f>INDEX('2020_Road Weights'!$A:$CX,MATCH("F",'2020_Road Weights'!$A:$A,FALSE),MATCH(BQs_over_time_AG20!$A21,'2020_Road Weights'!$1:$1,FALSE))</f>
        <v>0.99929999999999997</v>
      </c>
      <c r="V21" s="19">
        <f>IFERROR(BQs_over_time_AG20!$T21/BQs_over_time_AG20!$U21,"")</f>
        <v>9.3167068800011854E-2</v>
      </c>
      <c r="W21" s="19">
        <v>0.15277777777777746</v>
      </c>
      <c r="X21" s="21">
        <f>Table1419[[#This Row],[Qualifying_Time_Women_03_12]]*1440</f>
        <v>219.99999999999955</v>
      </c>
      <c r="Y21" s="20">
        <f>IFERROR(BQs_over_time_AG20!$V21/BQs_over_time_AG20!$W21,"")</f>
        <v>0.60982081396371524</v>
      </c>
      <c r="Z21" s="19">
        <f>Table1419[[#This Row],[Qualifying_Time_Women_03_12]]*Table1419[[#This Row],[Age_Factor_Women]]</f>
        <v>0.15267083333333301</v>
      </c>
      <c r="AA21" s="21">
        <f>Table1419[[#This Row],[AG_Time_Women_03_12]]*1440</f>
        <v>219.84599999999952</v>
      </c>
      <c r="AB21" s="19">
        <v>0.149305555555556</v>
      </c>
      <c r="AC21" s="21">
        <f>Table1419[[#This Row],[Qualifying_Time_Women_13_19]]*1440</f>
        <v>215.00000000000063</v>
      </c>
      <c r="AD21" s="23">
        <f>IFERROR(BQs_over_time_AG20!$V21/BQs_over_time_AG20!$AB21,"")</f>
        <v>0.62400269335821712</v>
      </c>
      <c r="AE21" s="19">
        <f>Table1419[[#This Row],[Qualifying_Time_Women_13_19]]*Table1419[[#This Row],[Age_Factor_Women]]</f>
        <v>0.14920104166666709</v>
      </c>
      <c r="AF21" s="21">
        <f>Table1419[[#This Row],[AG_Time_Women_13_19]]*1440</f>
        <v>214.8495000000006</v>
      </c>
      <c r="AG21" s="19">
        <v>0.14583333333333301</v>
      </c>
      <c r="AH21" s="21">
        <f>Table1419[[#This Row],[Qualifying_Time_Women_2020]]*1440</f>
        <v>209.99999999999955</v>
      </c>
      <c r="AI21" s="24">
        <f>IFERROR(BQs_over_time_AG20!$V21/BQs_over_time_AG20!$AG21,"")</f>
        <v>0.63885990034293982</v>
      </c>
      <c r="AJ21" s="19">
        <f>Table1419[[#This Row],[Qualifying_Time_Women_2020]]*Table1419[[#This Row],[Age_Factor_Women]]</f>
        <v>0.14573124999999967</v>
      </c>
      <c r="AK21" s="25">
        <f>Table1419[[#This Row],[AG_Time_Women_2020]]*1440</f>
        <v>209.85299999999953</v>
      </c>
      <c r="AL21" s="26">
        <f t="shared" si="0"/>
        <v>0.6</v>
      </c>
      <c r="AM21" s="27">
        <f t="shared" si="1"/>
        <v>9.9999999999999978E-2</v>
      </c>
      <c r="AN21" s="27">
        <f t="shared" si="2"/>
        <v>0.10000000000000009</v>
      </c>
      <c r="AO21" s="27">
        <f t="shared" si="3"/>
        <v>9.9999999999999978E-2</v>
      </c>
      <c r="AP21" s="27">
        <f t="shared" si="4"/>
        <v>9.9999999999999978E-2</v>
      </c>
      <c r="AQ21" s="28">
        <v>0.68</v>
      </c>
      <c r="AR21" s="29">
        <f>Table1419[[#This Row],[Age Best_Men_20]]/Table1419[[#This Row],[Proposed_uniform_AG%]]</f>
        <v>0.12438332862179712</v>
      </c>
      <c r="AS21" s="29">
        <f t="shared" si="6"/>
        <v>0.1242706841092214</v>
      </c>
      <c r="AT21" s="29">
        <f>CEILING(Table1419[[#This Row],[Proposed_QT_M_Agegrouped]],"00:01:00")</f>
        <v>0.12430555555555556</v>
      </c>
      <c r="AU21" s="30">
        <f>Table1419[[#This Row],[Proposed_QT_M_Agegrouped_roundedup]]*1440</f>
        <v>179</v>
      </c>
      <c r="AV21" s="30">
        <f>Table1419[[#This Row],[Proposed_QT_M_Agegrouped_roundedup_min]]-Table1419[[#This Row],[QT_Men_2020_min]]</f>
        <v>-1</v>
      </c>
      <c r="AW21" s="40">
        <f>(Table1419[[#This Row],[Proposed_QT_M_Agegrouped_roundedup_min]]-Table1419[[#This Row],[QT_Men_2020_min]])/Table1419[[#This Row],[QT_Men_2020_min]]</f>
        <v>-5.5555555555555558E-3</v>
      </c>
      <c r="AX21" s="32">
        <f>Table1419[[#This Row],[Age Best_Women]]/Table1419[[#This Row],[Proposed_uniform_AG%]]</f>
        <v>0.13701039529413506</v>
      </c>
      <c r="AY21" s="29">
        <f t="shared" si="5"/>
        <v>0.13733031240034807</v>
      </c>
      <c r="AZ21" s="33">
        <f>CEILING(Table1419[[#This Row],[Proposed_QT_W_Agegrouped]],"00:01:00")</f>
        <v>0.13750000000000001</v>
      </c>
      <c r="BA21" s="34">
        <f>Table1419[[#This Row],[Proposed_QT_W_Agegrouped_roundedup]]*1440</f>
        <v>198.00000000000003</v>
      </c>
      <c r="BB21" s="34">
        <f>Table1419[[#This Row],[Proposed_QT_W_Agegrouped_roundedup_min]]-Table1419[[#This Row],[Qualifying_Time_Women_2020_min]]</f>
        <v>-11.999999999999517</v>
      </c>
      <c r="BC21" s="41">
        <f>(Table1419[[#This Row],[Proposed_QT_W_Agegrouped_roundedup_min]]-Table1419[[#This Row],[Qualifying_Time_Women_2020_min]])/Table1419[[#This Row],[Qualifying_Time_Women_2020_min]]</f>
        <v>-5.7142857142854969E-2</v>
      </c>
      <c r="BD21" s="36" t="s">
        <v>73</v>
      </c>
      <c r="BE21" s="37">
        <f>Table1419[[#This Row],[Age Best_Men_20]]/Table1419[[#This Row],[Proposed_QT_M_Agegrouped_roundedup]]</f>
        <v>0.68042544908638958</v>
      </c>
      <c r="BF21" s="38">
        <f>Table1419[[#This Row],[Age Best_Women]]/Table1419[[#This Row],[Proposed_QT_W_Agegrouped_roundedup]]</f>
        <v>0.67757868218190431</v>
      </c>
    </row>
    <row r="22" spans="1:86" x14ac:dyDescent="0.55000000000000004">
      <c r="A22" s="18">
        <v>34</v>
      </c>
      <c r="B22" s="19">
        <f>IF(BQs_over_time_AG20!$A22="","",SUMIF('2020_Road Weights'!$A:$A,"M",'2020_Road Weights'!$F:$F)/3600/24)</f>
        <v>8.4479166666666661E-2</v>
      </c>
      <c r="C22" s="20">
        <f>IF(A22="","",INDEX('2020_Road Weights'!$A:$CX,MATCH("M",'2020_Road Weights'!$A:$A,FALSE),MATCH(BQs_over_time_AG20!$A22,'2020_Road Weights'!$1:$1,FALSE)))</f>
        <v>0.99709999999999999</v>
      </c>
      <c r="D22" s="19">
        <f>IFERROR(BQs_over_time_AG20!$B22/BQs_over_time_AG20!$C22,"")</f>
        <v>8.472486878614649E-2</v>
      </c>
      <c r="E22" s="19">
        <v>0.13194444444444445</v>
      </c>
      <c r="F22" s="21">
        <f>Table1419[[#This Row],[QT_Men_03_12]]*1440</f>
        <v>190</v>
      </c>
      <c r="G22" s="20">
        <f>IFERROR(BQs_over_time_AG20!$D22/BQs_over_time_AG20!$E22,"")</f>
        <v>0.64212532132658395</v>
      </c>
      <c r="H22" s="19">
        <f>IFERROR(Table1419[[#This Row],[QT_Men_03_12]]*Table1419[[#This Row],[Age_Factor_Men_20]],"")</f>
        <v>0.13156180555555555</v>
      </c>
      <c r="I22" s="21">
        <f>Table1419[[#This Row],[AG_Time_Men_03_12]]*1440</f>
        <v>189.44899999999998</v>
      </c>
      <c r="J22" s="19">
        <v>0.12847222222222199</v>
      </c>
      <c r="K22" s="21">
        <f>Table1419[[#This Row],[QT_Men_13_19]]*1440</f>
        <v>184.99999999999966</v>
      </c>
      <c r="L22" s="20">
        <f>IFERROR(BQs_over_time_AG20!$D22/BQs_over_time_AG20!$J22,"")</f>
        <v>0.65948005974081714</v>
      </c>
      <c r="M22" s="19">
        <f>Table1419[[#This Row],[QT_Men_13_19]]*Table1419[[#This Row],[Age_Factor_Men_20]]</f>
        <v>0.12809965277777755</v>
      </c>
      <c r="N22" s="21">
        <f>Table1419[[#This Row],[AG_Time_Men_13_19]]*1440</f>
        <v>184.46349999999967</v>
      </c>
      <c r="O22" s="19">
        <v>0.125</v>
      </c>
      <c r="P22" s="21">
        <f>Table1419[[#This Row],[QT_Men_2020]]*1440</f>
        <v>180</v>
      </c>
      <c r="Q22" s="22">
        <f>IFERROR(BQs_over_time_AG20!$D22/BQs_over_time_AG20!$O22,"")</f>
        <v>0.67779895028917192</v>
      </c>
      <c r="R22" s="19">
        <f>Table1419[[#This Row],[QT_Men_2020]]*Table1419[[#This Row],[Age_Factor_Men_20]]</f>
        <v>0.1246375</v>
      </c>
      <c r="S22" s="21">
        <f>Table1419[[#This Row],[AG_Time_Men_2020]]*1440</f>
        <v>179.47800000000001</v>
      </c>
      <c r="T22" s="19">
        <f>IF(BQs_over_time_AG20!$A22="","",SUMIF('2020_Road Weights'!$A:$A,"F",'2020_Road Weights'!$F:$F)/3600/24)</f>
        <v>9.3101851851851838E-2</v>
      </c>
      <c r="U22" s="20">
        <f>INDEX('2020_Road Weights'!$A:$CX,MATCH("F",'2020_Road Weights'!$A:$A,FALSE),MATCH(BQs_over_time_AG20!$A22,'2020_Road Weights'!$1:$1,FALSE))</f>
        <v>0.99809999999999999</v>
      </c>
      <c r="V22" s="19">
        <f>IFERROR(BQs_over_time_AG20!$T22/BQs_over_time_AG20!$U22,"")</f>
        <v>9.3279082107856764E-2</v>
      </c>
      <c r="W22" s="19">
        <v>0.15277777777777746</v>
      </c>
      <c r="X22" s="21">
        <f>Table1419[[#This Row],[Qualifying_Time_Women_03_12]]*1440</f>
        <v>219.99999999999955</v>
      </c>
      <c r="Y22" s="20">
        <f>IFERROR(BQs_over_time_AG20!$V22/BQs_over_time_AG20!$W22,"")</f>
        <v>0.61055399197870008</v>
      </c>
      <c r="Z22" s="19">
        <f>Table1419[[#This Row],[Qualifying_Time_Women_03_12]]*Table1419[[#This Row],[Age_Factor_Women]]</f>
        <v>0.15248749999999966</v>
      </c>
      <c r="AA22" s="21">
        <f>Table1419[[#This Row],[AG_Time_Women_03_12]]*1440</f>
        <v>219.58199999999951</v>
      </c>
      <c r="AB22" s="19">
        <v>0.149305555555556</v>
      </c>
      <c r="AC22" s="21">
        <f>Table1419[[#This Row],[Qualifying_Time_Women_13_19]]*1440</f>
        <v>215.00000000000063</v>
      </c>
      <c r="AD22" s="23">
        <f>IFERROR(BQs_over_time_AG20!$V22/BQs_over_time_AG20!$AB22,"")</f>
        <v>0.62475292202471322</v>
      </c>
      <c r="AE22" s="19">
        <f>Table1419[[#This Row],[Qualifying_Time_Women_13_19]]*Table1419[[#This Row],[Age_Factor_Women]]</f>
        <v>0.14902187500000044</v>
      </c>
      <c r="AF22" s="21">
        <f>Table1419[[#This Row],[AG_Time_Women_13_19]]*1440</f>
        <v>214.59150000000065</v>
      </c>
      <c r="AG22" s="19">
        <v>0.14583333333333301</v>
      </c>
      <c r="AH22" s="21">
        <f>Table1419[[#This Row],[Qualifying_Time_Women_2020]]*1440</f>
        <v>209.99999999999955</v>
      </c>
      <c r="AI22" s="24">
        <f>IFERROR(BQs_over_time_AG20!$V22/BQs_over_time_AG20!$AG22,"")</f>
        <v>0.63962799159673356</v>
      </c>
      <c r="AJ22" s="19">
        <f>Table1419[[#This Row],[Qualifying_Time_Women_2020]]*Table1419[[#This Row],[Age_Factor_Women]]</f>
        <v>0.14555624999999967</v>
      </c>
      <c r="AK22" s="25">
        <f>Table1419[[#This Row],[AG_Time_Women_2020]]*1440</f>
        <v>209.60099999999952</v>
      </c>
      <c r="AL22" s="26">
        <f t="shared" si="0"/>
        <v>0.6</v>
      </c>
      <c r="AM22" s="27">
        <f t="shared" si="1"/>
        <v>9.9999999999999978E-2</v>
      </c>
      <c r="AN22" s="27">
        <f t="shared" si="2"/>
        <v>0.10000000000000009</v>
      </c>
      <c r="AO22" s="27">
        <f t="shared" si="3"/>
        <v>9.9999999999999978E-2</v>
      </c>
      <c r="AP22" s="27">
        <f t="shared" si="4"/>
        <v>9.9999999999999978E-2</v>
      </c>
      <c r="AQ22" s="28">
        <v>0.68</v>
      </c>
      <c r="AR22" s="29">
        <f>Table1419[[#This Row],[Age Best_Men_20]]/Table1419[[#This Row],[Proposed_uniform_AG%]]</f>
        <v>0.12459539527374483</v>
      </c>
      <c r="AS22" s="29">
        <f t="shared" si="6"/>
        <v>0.1242706841092214</v>
      </c>
      <c r="AT22" s="29">
        <f>CEILING(Table1419[[#This Row],[Proposed_QT_M_Agegrouped]],"00:01:00")</f>
        <v>0.12430555555555556</v>
      </c>
      <c r="AU22" s="30">
        <f>Table1419[[#This Row],[Proposed_QT_M_Agegrouped_roundedup]]*1440</f>
        <v>179</v>
      </c>
      <c r="AV22" s="30">
        <f>Table1419[[#This Row],[Proposed_QT_M_Agegrouped_roundedup_min]]-Table1419[[#This Row],[QT_Men_2020_min]]</f>
        <v>-1</v>
      </c>
      <c r="AW22" s="40">
        <f>(Table1419[[#This Row],[Proposed_QT_M_Agegrouped_roundedup_min]]-Table1419[[#This Row],[QT_Men_2020_min]])/Table1419[[#This Row],[QT_Men_2020_min]]</f>
        <v>-5.5555555555555558E-3</v>
      </c>
      <c r="AX22" s="32">
        <f>Table1419[[#This Row],[Age Best_Women]]/Table1419[[#This Row],[Proposed_uniform_AG%]]</f>
        <v>0.13717512074684818</v>
      </c>
      <c r="AY22" s="29">
        <f t="shared" si="5"/>
        <v>0.13733031240034807</v>
      </c>
      <c r="AZ22" s="33">
        <f>CEILING(Table1419[[#This Row],[Proposed_QT_W_Agegrouped]],"00:01:00")</f>
        <v>0.13750000000000001</v>
      </c>
      <c r="BA22" s="34">
        <f>Table1419[[#This Row],[Proposed_QT_W_Agegrouped_roundedup]]*1440</f>
        <v>198.00000000000003</v>
      </c>
      <c r="BB22" s="34">
        <f>Table1419[[#This Row],[Proposed_QT_W_Agegrouped_roundedup_min]]-Table1419[[#This Row],[Qualifying_Time_Women_2020_min]]</f>
        <v>-11.999999999999517</v>
      </c>
      <c r="BC22" s="41">
        <f>(Table1419[[#This Row],[Proposed_QT_W_Agegrouped_roundedup_min]]-Table1419[[#This Row],[Qualifying_Time_Women_2020_min]])/Table1419[[#This Row],[Qualifying_Time_Women_2020_min]]</f>
        <v>-5.7142857142854969E-2</v>
      </c>
      <c r="BD22" s="36" t="s">
        <v>73</v>
      </c>
      <c r="BE22" s="37">
        <f>Table1419[[#This Row],[Age Best_Men_20]]/Table1419[[#This Row],[Proposed_QT_M_Agegrouped_roundedup]]</f>
        <v>0.68158553660363652</v>
      </c>
      <c r="BF22" s="38">
        <f>Table1419[[#This Row],[Age Best_Women]]/Table1419[[#This Row],[Proposed_QT_W_Agegrouped_roundedup]]</f>
        <v>0.67839332442077638</v>
      </c>
    </row>
    <row r="23" spans="1:86" s="39" customFormat="1" x14ac:dyDescent="0.55000000000000004">
      <c r="A23" s="18">
        <v>35</v>
      </c>
      <c r="B23" s="19">
        <f>IF(BQs_over_time_AG20!$A23="","",SUMIF('2020_Road Weights'!$A:$A,"M",'2020_Road Weights'!$F:$F)/3600/24)</f>
        <v>8.4479166666666661E-2</v>
      </c>
      <c r="C23" s="20">
        <f>IF(A23="","",INDEX('2020_Road Weights'!$A:$CX,MATCH("M",'2020_Road Weights'!$A:$A,FALSE),MATCH(BQs_over_time_AG20!$A23,'2020_Road Weights'!$1:$1,FALSE)))</f>
        <v>0.99450000000000005</v>
      </c>
      <c r="D23" s="19">
        <f>IFERROR(BQs_over_time_AG20!$B23/BQs_over_time_AG20!$C23,"")</f>
        <v>8.4946371711077578E-2</v>
      </c>
      <c r="E23" s="19">
        <v>0.13541666666666669</v>
      </c>
      <c r="F23" s="21">
        <f>Table1419[[#This Row],[QT_Men_03_12]]*1440</f>
        <v>195.00000000000003</v>
      </c>
      <c r="G23" s="20">
        <f>IFERROR(BQs_over_time_AG20!$D23/BQs_over_time_AG20!$E23,"")</f>
        <v>0.62729628340488053</v>
      </c>
      <c r="H23" s="19">
        <f>IFERROR(Table1419[[#This Row],[QT_Men_03_12]]*Table1419[[#This Row],[Age_Factor_Men_20]],"")</f>
        <v>0.13467187500000002</v>
      </c>
      <c r="I23" s="21">
        <f>Table1419[[#This Row],[AG_Time_Men_03_12]]*1440</f>
        <v>193.92750000000004</v>
      </c>
      <c r="J23" s="19">
        <v>0.13194444444444445</v>
      </c>
      <c r="K23" s="21">
        <f>Table1419[[#This Row],[QT_Men_13_19]]*1440</f>
        <v>190</v>
      </c>
      <c r="L23" s="20">
        <f>IFERROR(BQs_over_time_AG20!$D23/BQs_over_time_AG20!$J23,"")</f>
        <v>0.64380408033658798</v>
      </c>
      <c r="M23" s="19">
        <f>Table1419[[#This Row],[QT_Men_13_19]]*Table1419[[#This Row],[Age_Factor_Men_20]]</f>
        <v>0.13121875000000002</v>
      </c>
      <c r="N23" s="21">
        <f>Table1419[[#This Row],[AG_Time_Men_13_19]]*1440</f>
        <v>188.95500000000004</v>
      </c>
      <c r="O23" s="19">
        <v>0.12847222222222224</v>
      </c>
      <c r="P23" s="21">
        <f>Table1419[[#This Row],[QT_Men_2020]]*1440</f>
        <v>185.00000000000003</v>
      </c>
      <c r="Q23" s="22">
        <f>IFERROR(BQs_over_time_AG20!$D23/BQs_over_time_AG20!$O23,"")</f>
        <v>0.66120419061595515</v>
      </c>
      <c r="R23" s="19">
        <f>Table1419[[#This Row],[QT_Men_2020]]*Table1419[[#This Row],[Age_Factor_Men_20]]</f>
        <v>0.12776562500000002</v>
      </c>
      <c r="S23" s="21">
        <f>Table1419[[#This Row],[AG_Time_Men_2020]]*1440</f>
        <v>183.98250000000004</v>
      </c>
      <c r="T23" s="19">
        <f>IF(BQs_over_time_AG20!$A23="","",SUMIF('2020_Road Weights'!$A:$A,"F",'2020_Road Weights'!$F:$F)/3600/24)</f>
        <v>9.3101851851851838E-2</v>
      </c>
      <c r="U23" s="20">
        <f>INDEX('2020_Road Weights'!$A:$CX,MATCH("F",'2020_Road Weights'!$A:$A,FALSE),MATCH(BQs_over_time_AG20!$A23,'2020_Road Weights'!$1:$1,FALSE))</f>
        <v>0.99609999999999999</v>
      </c>
      <c r="V23" s="19">
        <f>IFERROR(BQs_over_time_AG20!$T23/BQs_over_time_AG20!$U23,"")</f>
        <v>9.3466370697572368E-2</v>
      </c>
      <c r="W23" s="19">
        <v>0.15625</v>
      </c>
      <c r="X23" s="21">
        <f>Table1419[[#This Row],[Qualifying_Time_Women_03_12]]*1440</f>
        <v>225</v>
      </c>
      <c r="Y23" s="20">
        <f>IFERROR(BQs_over_time_AG20!$V23/BQs_over_time_AG20!$W23,"")</f>
        <v>0.59818477246446311</v>
      </c>
      <c r="Z23" s="19">
        <f>Table1419[[#This Row],[Qualifying_Time_Women_03_12]]*Table1419[[#This Row],[Age_Factor_Women]]</f>
        <v>0.155640625</v>
      </c>
      <c r="AA23" s="21">
        <f>Table1419[[#This Row],[AG_Time_Women_03_12]]*1440</f>
        <v>224.1225</v>
      </c>
      <c r="AB23" s="19">
        <v>0.15277777777777776</v>
      </c>
      <c r="AC23" s="21">
        <f>Table1419[[#This Row],[Qualifying_Time_Women_13_19]]*1440</f>
        <v>219.99999999999997</v>
      </c>
      <c r="AD23" s="23">
        <f>IFERROR(BQs_over_time_AG20!$V23/BQs_over_time_AG20!$AB23,"")</f>
        <v>0.6117798809295647</v>
      </c>
      <c r="AE23" s="19">
        <f>Table1419[[#This Row],[Qualifying_Time_Women_13_19]]*Table1419[[#This Row],[Age_Factor_Women]]</f>
        <v>0.15218194444444444</v>
      </c>
      <c r="AF23" s="21">
        <f>Table1419[[#This Row],[AG_Time_Women_13_19]]*1440</f>
        <v>219.142</v>
      </c>
      <c r="AG23" s="19">
        <v>0.14930555555555555</v>
      </c>
      <c r="AH23" s="21">
        <f>Table1419[[#This Row],[Qualifying_Time_Women_2020]]*1440</f>
        <v>215</v>
      </c>
      <c r="AI23" s="24">
        <f>IFERROR(BQs_over_time_AG20!$V23/BQs_over_time_AG20!$AG23,"")</f>
        <v>0.62600732002094983</v>
      </c>
      <c r="AJ23" s="19">
        <f>Table1419[[#This Row],[Qualifying_Time_Women_2020]]*Table1419[[#This Row],[Age_Factor_Women]]</f>
        <v>0.14872326388888887</v>
      </c>
      <c r="AK23" s="25">
        <f>Table1419[[#This Row],[AG_Time_Women_2020]]*1440</f>
        <v>214.16149999999999</v>
      </c>
      <c r="AL23" s="26">
        <f t="shared" si="0"/>
        <v>0.6</v>
      </c>
      <c r="AM23" s="27">
        <f t="shared" si="1"/>
        <v>9.9999999999999978E-2</v>
      </c>
      <c r="AN23" s="27">
        <f t="shared" si="2"/>
        <v>0.10000000000000009</v>
      </c>
      <c r="AO23" s="27">
        <f t="shared" si="3"/>
        <v>9.9999999999999978E-2</v>
      </c>
      <c r="AP23" s="27">
        <f t="shared" si="4"/>
        <v>9.9999999999999978E-2</v>
      </c>
      <c r="AQ23" s="28">
        <v>0.68</v>
      </c>
      <c r="AR23" s="29">
        <f>Table1419[[#This Row],[Age Best_Men_20]]/Table1419[[#This Row],[Proposed_uniform_AG%]]</f>
        <v>0.12492113486923172</v>
      </c>
      <c r="AS23" s="29">
        <f>AVERAGE($AR$23:$AR$27)</f>
        <v>0.12598307941151576</v>
      </c>
      <c r="AT23" s="29">
        <f>CEILING(Table1419[[#This Row],[Proposed_QT_M_Agegrouped]],"00:01:00")</f>
        <v>0.12638888888888888</v>
      </c>
      <c r="AU23" s="30">
        <f>Table1419[[#This Row],[Proposed_QT_M_Agegrouped_roundedup]]*1440</f>
        <v>182</v>
      </c>
      <c r="AV23" s="30">
        <f>Table1419[[#This Row],[Proposed_QT_M_Agegrouped_roundedup_min]]-Table1419[[#This Row],[QT_Men_2020_min]]</f>
        <v>-3.0000000000000284</v>
      </c>
      <c r="AW23" s="40">
        <f>(Table1419[[#This Row],[Proposed_QT_M_Agegrouped_roundedup_min]]-Table1419[[#This Row],[QT_Men_2020_min]])/Table1419[[#This Row],[QT_Men_2020_min]]</f>
        <v>-1.6216216216216366E-2</v>
      </c>
      <c r="AX23" s="32">
        <f>Table1419[[#This Row],[Age Best_Women]]/Table1419[[#This Row],[Proposed_uniform_AG%]]</f>
        <v>0.13745054514348876</v>
      </c>
      <c r="AY23" s="29">
        <f>AVERAGE($AX$23:$AX$27)</f>
        <v>0.13837116485709078</v>
      </c>
      <c r="AZ23" s="33">
        <f>CEILING(Table1419[[#This Row],[Proposed_QT_W_Agegrouped]],"00:01:00")</f>
        <v>0.1388888888888889</v>
      </c>
      <c r="BA23" s="34">
        <f>Table1419[[#This Row],[Proposed_QT_W_Agegrouped_roundedup]]*1440</f>
        <v>200</v>
      </c>
      <c r="BB23" s="34">
        <f>Table1419[[#This Row],[Proposed_QT_W_Agegrouped_roundedup_min]]-Table1419[[#This Row],[Qualifying_Time_Women_2020_min]]</f>
        <v>-15</v>
      </c>
      <c r="BC23" s="41">
        <f>(Table1419[[#This Row],[Proposed_QT_W_Agegrouped_roundedup_min]]-Table1419[[#This Row],[Qualifying_Time_Women_2020_min]])/Table1419[[#This Row],[Qualifying_Time_Women_2020_min]]</f>
        <v>-6.9767441860465115E-2</v>
      </c>
      <c r="BD23" s="36" t="s">
        <v>74</v>
      </c>
      <c r="BE23" s="37">
        <f>Table1419[[#This Row],[Age Best_Men_20]]/Table1419[[#This Row],[Proposed_QT_M_Agegrouped_roundedup]]</f>
        <v>0.67210316079094345</v>
      </c>
      <c r="BF23" s="38">
        <f>Table1419[[#This Row],[Age Best_Women]]/Table1419[[#This Row],[Proposed_QT_W_Agegrouped_roundedup]]</f>
        <v>0.67295786902252097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</row>
    <row r="24" spans="1:86" x14ac:dyDescent="0.55000000000000004">
      <c r="A24" s="18">
        <v>36</v>
      </c>
      <c r="B24" s="19">
        <f>IF(BQs_over_time_AG20!$A24="","",SUMIF('2020_Road Weights'!$A:$A,"M",'2020_Road Weights'!$F:$F)/3600/24)</f>
        <v>8.4479166666666661E-2</v>
      </c>
      <c r="C24" s="20">
        <f>IF(A24="","",INDEX('2020_Road Weights'!$A:$CX,MATCH("M",'2020_Road Weights'!$A:$A,FALSE),MATCH(BQs_over_time_AG20!$A24,'2020_Road Weights'!$1:$1,FALSE)))</f>
        <v>0.99109999999999998</v>
      </c>
      <c r="D24" s="19">
        <f>IFERROR(BQs_over_time_AG20!$B24/BQs_over_time_AG20!$C24,"")</f>
        <v>8.523778293478626E-2</v>
      </c>
      <c r="E24" s="19">
        <v>0.13541666666666669</v>
      </c>
      <c r="F24" s="21">
        <f>Table1419[[#This Row],[QT_Men_03_12]]*1440</f>
        <v>195.00000000000003</v>
      </c>
      <c r="G24" s="20">
        <f>IFERROR(BQs_over_time_AG20!$D24/BQs_over_time_AG20!$E24,"")</f>
        <v>0.62944824321072923</v>
      </c>
      <c r="H24" s="19">
        <f>IFERROR(Table1419[[#This Row],[QT_Men_03_12]]*Table1419[[#This Row],[Age_Factor_Men_20]],"")</f>
        <v>0.13421145833333334</v>
      </c>
      <c r="I24" s="21">
        <f>Table1419[[#This Row],[AG_Time_Men_03_12]]*1440</f>
        <v>193.2645</v>
      </c>
      <c r="J24" s="19">
        <v>0.13194444444444445</v>
      </c>
      <c r="K24" s="21">
        <f>Table1419[[#This Row],[QT_Men_13_19]]*1440</f>
        <v>190</v>
      </c>
      <c r="L24" s="20">
        <f>IFERROR(BQs_over_time_AG20!$D24/BQs_over_time_AG20!$J24,"")</f>
        <v>0.64601267066364321</v>
      </c>
      <c r="M24" s="19">
        <f>Table1419[[#This Row],[QT_Men_13_19]]*Table1419[[#This Row],[Age_Factor_Men_20]]</f>
        <v>0.13077013888888889</v>
      </c>
      <c r="N24" s="21">
        <f>Table1419[[#This Row],[AG_Time_Men_13_19]]*1440</f>
        <v>188.309</v>
      </c>
      <c r="O24" s="19">
        <v>0.12847222222222224</v>
      </c>
      <c r="P24" s="21">
        <f>Table1419[[#This Row],[QT_Men_2020]]*1440</f>
        <v>185.00000000000003</v>
      </c>
      <c r="Q24" s="22">
        <f>IFERROR(BQs_over_time_AG20!$D24/BQs_over_time_AG20!$O24,"")</f>
        <v>0.66347247257347131</v>
      </c>
      <c r="R24" s="19">
        <f>Table1419[[#This Row],[QT_Men_2020]]*Table1419[[#This Row],[Age_Factor_Men_20]]</f>
        <v>0.12732881944444446</v>
      </c>
      <c r="S24" s="21">
        <f>Table1419[[#This Row],[AG_Time_Men_2020]]*1440</f>
        <v>183.35350000000003</v>
      </c>
      <c r="T24" s="19">
        <f>IF(BQs_over_time_AG20!$A24="","",SUMIF('2020_Road Weights'!$A:$A,"F",'2020_Road Weights'!$F:$F)/3600/24)</f>
        <v>9.3101851851851838E-2</v>
      </c>
      <c r="U24" s="20">
        <f>INDEX('2020_Road Weights'!$A:$CX,MATCH("F",'2020_Road Weights'!$A:$A,FALSE),MATCH(BQs_over_time_AG20!$A24,'2020_Road Weights'!$1:$1,FALSE))</f>
        <v>0.99350000000000005</v>
      </c>
      <c r="V24" s="19">
        <f>IFERROR(BQs_over_time_AG20!$T24/BQs_over_time_AG20!$U24,"")</f>
        <v>9.3710973177505624E-2</v>
      </c>
      <c r="W24" s="19">
        <v>0.15625</v>
      </c>
      <c r="X24" s="21">
        <f>Table1419[[#This Row],[Qualifying_Time_Women_03_12]]*1440</f>
        <v>225</v>
      </c>
      <c r="Y24" s="20">
        <f>IFERROR(BQs_over_time_AG20!$V24/BQs_over_time_AG20!$W24,"")</f>
        <v>0.59975022833603597</v>
      </c>
      <c r="Z24" s="19">
        <f>Table1419[[#This Row],[Qualifying_Time_Women_03_12]]*Table1419[[#This Row],[Age_Factor_Women]]</f>
        <v>0.15523437500000001</v>
      </c>
      <c r="AA24" s="21">
        <f>Table1419[[#This Row],[AG_Time_Women_03_12]]*1440</f>
        <v>223.53750000000002</v>
      </c>
      <c r="AB24" s="19">
        <v>0.15277777777777776</v>
      </c>
      <c r="AC24" s="21">
        <f>Table1419[[#This Row],[Qualifying_Time_Women_13_19]]*1440</f>
        <v>219.99999999999997</v>
      </c>
      <c r="AD24" s="23">
        <f>IFERROR(BQs_over_time_AG20!$V24/BQs_over_time_AG20!$AB24,"")</f>
        <v>0.61338091534367323</v>
      </c>
      <c r="AE24" s="19">
        <f>Table1419[[#This Row],[Qualifying_Time_Women_13_19]]*Table1419[[#This Row],[Age_Factor_Women]]</f>
        <v>0.15178472222222222</v>
      </c>
      <c r="AF24" s="21">
        <f>Table1419[[#This Row],[AG_Time_Women_13_19]]*1440</f>
        <v>218.57</v>
      </c>
      <c r="AG24" s="19">
        <v>0.14930555555555555</v>
      </c>
      <c r="AH24" s="21">
        <f>Table1419[[#This Row],[Qualifying_Time_Women_2020]]*1440</f>
        <v>215</v>
      </c>
      <c r="AI24" s="24">
        <f>IFERROR(BQs_over_time_AG20!$V24/BQs_over_time_AG20!$AG24,"")</f>
        <v>0.62764558779352608</v>
      </c>
      <c r="AJ24" s="19">
        <f>Table1419[[#This Row],[Qualifying_Time_Women_2020]]*Table1419[[#This Row],[Age_Factor_Women]]</f>
        <v>0.14833506944444444</v>
      </c>
      <c r="AK24" s="25">
        <f>Table1419[[#This Row],[AG_Time_Women_2020]]*1440</f>
        <v>213.60249999999999</v>
      </c>
      <c r="AL24" s="26">
        <f t="shared" si="0"/>
        <v>0.6</v>
      </c>
      <c r="AM24" s="27">
        <f t="shared" si="1"/>
        <v>9.9999999999999978E-2</v>
      </c>
      <c r="AN24" s="27">
        <f t="shared" si="2"/>
        <v>0.10000000000000009</v>
      </c>
      <c r="AO24" s="27">
        <f t="shared" si="3"/>
        <v>9.9999999999999978E-2</v>
      </c>
      <c r="AP24" s="27">
        <f t="shared" si="4"/>
        <v>9.9999999999999978E-2</v>
      </c>
      <c r="AQ24" s="28">
        <v>0.68</v>
      </c>
      <c r="AR24" s="29">
        <f>Table1419[[#This Row],[Age Best_Men_20]]/Table1419[[#This Row],[Proposed_uniform_AG%]]</f>
        <v>0.12534968078645037</v>
      </c>
      <c r="AS24" s="29">
        <f t="shared" ref="AS24:AS27" si="7">AVERAGE($AR$23:$AR$27)</f>
        <v>0.12598307941151576</v>
      </c>
      <c r="AT24" s="29">
        <f>CEILING(Table1419[[#This Row],[Proposed_QT_M_Agegrouped]],"00:01:00")</f>
        <v>0.12638888888888888</v>
      </c>
      <c r="AU24" s="30">
        <f>Table1419[[#This Row],[Proposed_QT_M_Agegrouped_roundedup]]*1440</f>
        <v>182</v>
      </c>
      <c r="AV24" s="30">
        <f>Table1419[[#This Row],[Proposed_QT_M_Agegrouped_roundedup_min]]-Table1419[[#This Row],[QT_Men_2020_min]]</f>
        <v>-3.0000000000000284</v>
      </c>
      <c r="AW24" s="40">
        <f>(Table1419[[#This Row],[Proposed_QT_M_Agegrouped_roundedup_min]]-Table1419[[#This Row],[QT_Men_2020_min]])/Table1419[[#This Row],[QT_Men_2020_min]]</f>
        <v>-1.6216216216216366E-2</v>
      </c>
      <c r="AX24" s="32">
        <f>Table1419[[#This Row],[Age Best_Women]]/Table1419[[#This Row],[Proposed_uniform_AG%]]</f>
        <v>0.13781025467280239</v>
      </c>
      <c r="AY24" s="29">
        <f>AVERAGE($AX$23:$AX$27)</f>
        <v>0.13837116485709078</v>
      </c>
      <c r="AZ24" s="33">
        <f>CEILING(Table1419[[#This Row],[Proposed_QT_W_Agegrouped]],"00:01:00")</f>
        <v>0.1388888888888889</v>
      </c>
      <c r="BA24" s="34">
        <f>Table1419[[#This Row],[Proposed_QT_W_Agegrouped_roundedup]]*1440</f>
        <v>200</v>
      </c>
      <c r="BB24" s="34">
        <f>Table1419[[#This Row],[Proposed_QT_W_Agegrouped_roundedup_min]]-Table1419[[#This Row],[Qualifying_Time_Women_2020_min]]</f>
        <v>-15</v>
      </c>
      <c r="BC24" s="41">
        <f>(Table1419[[#This Row],[Proposed_QT_W_Agegrouped_roundedup_min]]-Table1419[[#This Row],[Qualifying_Time_Women_2020_min]])/Table1419[[#This Row],[Qualifying_Time_Women_2020_min]]</f>
        <v>-6.9767441860465115E-2</v>
      </c>
      <c r="BD24" s="36" t="s">
        <v>74</v>
      </c>
      <c r="BE24" s="37">
        <f>Table1419[[#This Row],[Age Best_Men_20]]/Table1419[[#This Row],[Proposed_QT_M_Agegrouped_roundedup]]</f>
        <v>0.67440883201149571</v>
      </c>
      <c r="BF24" s="38">
        <f>Table1419[[#This Row],[Age Best_Women]]/Table1419[[#This Row],[Proposed_QT_W_Agegrouped_roundedup]]</f>
        <v>0.67471900687804043</v>
      </c>
    </row>
    <row r="25" spans="1:86" x14ac:dyDescent="0.55000000000000004">
      <c r="A25" s="18">
        <v>37</v>
      </c>
      <c r="B25" s="19">
        <f>IF(BQs_over_time_AG20!$A25="","",SUMIF('2020_Road Weights'!$A:$A,"M",'2020_Road Weights'!$F:$F)/3600/24)</f>
        <v>8.4479166666666661E-2</v>
      </c>
      <c r="C25" s="20">
        <f>IF(A25="","",INDEX('2020_Road Weights'!$A:$CX,MATCH("M",'2020_Road Weights'!$A:$A,FALSE),MATCH(BQs_over_time_AG20!$A25,'2020_Road Weights'!$1:$1,FALSE)))</f>
        <v>0.98699999999999999</v>
      </c>
      <c r="D25" s="19">
        <f>IFERROR(BQs_over_time_AG20!$B25/BQs_over_time_AG20!$C25,"")</f>
        <v>8.5591860857818294E-2</v>
      </c>
      <c r="E25" s="19">
        <v>0.13541666666666644</v>
      </c>
      <c r="F25" s="21">
        <f>Table1419[[#This Row],[QT_Men_03_12]]*1440</f>
        <v>194.99999999999966</v>
      </c>
      <c r="G25" s="20">
        <f>IFERROR(BQs_over_time_AG20!$D25/BQs_over_time_AG20!$E25,"")</f>
        <v>0.6320629724885054</v>
      </c>
      <c r="H25" s="19">
        <f>IFERROR(Table1419[[#This Row],[QT_Men_03_12]]*Table1419[[#This Row],[Age_Factor_Men_20]],"")</f>
        <v>0.13365624999999978</v>
      </c>
      <c r="I25" s="21">
        <f>Table1419[[#This Row],[AG_Time_Men_03_12]]*1440</f>
        <v>192.46499999999969</v>
      </c>
      <c r="J25" s="19">
        <v>0.13194444444444445</v>
      </c>
      <c r="K25" s="21">
        <f>Table1419[[#This Row],[QT_Men_13_19]]*1440</f>
        <v>190</v>
      </c>
      <c r="L25" s="20">
        <f>IFERROR(BQs_over_time_AG20!$D25/BQs_over_time_AG20!$J25,"")</f>
        <v>0.6486962086066228</v>
      </c>
      <c r="M25" s="19">
        <f>Table1419[[#This Row],[QT_Men_13_19]]*Table1419[[#This Row],[Age_Factor_Men_20]]</f>
        <v>0.13022916666666667</v>
      </c>
      <c r="N25" s="21">
        <f>Table1419[[#This Row],[AG_Time_Men_13_19]]*1440</f>
        <v>187.53</v>
      </c>
      <c r="O25" s="19">
        <v>0.12847222222222199</v>
      </c>
      <c r="P25" s="21">
        <f>Table1419[[#This Row],[QT_Men_2020]]*1440</f>
        <v>184.99999999999966</v>
      </c>
      <c r="Q25" s="22">
        <f>IFERROR(BQs_over_time_AG20!$D25/BQs_over_time_AG20!$O25,"")</f>
        <v>0.66622853856896525</v>
      </c>
      <c r="R25" s="19">
        <f>Table1419[[#This Row],[QT_Men_2020]]*Table1419[[#This Row],[Age_Factor_Men_20]]</f>
        <v>0.12680208333333309</v>
      </c>
      <c r="S25" s="21">
        <f>Table1419[[#This Row],[AG_Time_Men_2020]]*1440</f>
        <v>182.59499999999966</v>
      </c>
      <c r="T25" s="19">
        <f>IF(BQs_over_time_AG20!$A25="","",SUMIF('2020_Road Weights'!$A:$A,"F",'2020_Road Weights'!$F:$F)/3600/24)</f>
        <v>9.3101851851851838E-2</v>
      </c>
      <c r="U25" s="20">
        <f>INDEX('2020_Road Weights'!$A:$CX,MATCH("F",'2020_Road Weights'!$A:$A,FALSE),MATCH(BQs_over_time_AG20!$A25,'2020_Road Weights'!$1:$1,FALSE))</f>
        <v>0.99019999999999997</v>
      </c>
      <c r="V25" s="19">
        <f>IFERROR(BQs_over_time_AG20!$T25/BQs_over_time_AG20!$U25,"")</f>
        <v>9.4023279995810782E-2</v>
      </c>
      <c r="W25" s="19">
        <v>0.15625000000000044</v>
      </c>
      <c r="X25" s="21">
        <f>Table1419[[#This Row],[Qualifying_Time_Women_03_12]]*1440</f>
        <v>225.00000000000063</v>
      </c>
      <c r="Y25" s="20">
        <f>IFERROR(BQs_over_time_AG20!$V25/BQs_over_time_AG20!$W25,"")</f>
        <v>0.60174899197318732</v>
      </c>
      <c r="Z25" s="19">
        <f>Table1419[[#This Row],[Qualifying_Time_Women_03_12]]*Table1419[[#This Row],[Age_Factor_Women]]</f>
        <v>0.15471875000000043</v>
      </c>
      <c r="AA25" s="21">
        <f>Table1419[[#This Row],[AG_Time_Women_03_12]]*1440</f>
        <v>222.79500000000061</v>
      </c>
      <c r="AB25" s="19">
        <v>0.15277777777777776</v>
      </c>
      <c r="AC25" s="21">
        <f>Table1419[[#This Row],[Qualifying_Time_Women_13_19]]*1440</f>
        <v>219.99999999999997</v>
      </c>
      <c r="AD25" s="23">
        <f>IFERROR(BQs_over_time_AG20!$V25/BQs_over_time_AG20!$AB25,"")</f>
        <v>0.61542510542712514</v>
      </c>
      <c r="AE25" s="19">
        <f>Table1419[[#This Row],[Qualifying_Time_Women_13_19]]*Table1419[[#This Row],[Age_Factor_Women]]</f>
        <v>0.15128055555555553</v>
      </c>
      <c r="AF25" s="21">
        <f>Table1419[[#This Row],[AG_Time_Women_13_19]]*1440</f>
        <v>217.84399999999997</v>
      </c>
      <c r="AG25" s="19">
        <v>0.149305555555556</v>
      </c>
      <c r="AH25" s="21">
        <f>Table1419[[#This Row],[Qualifying_Time_Women_2020]]*1440</f>
        <v>215.00000000000063</v>
      </c>
      <c r="AI25" s="24">
        <f>IFERROR(BQs_over_time_AG20!$V25/BQs_over_time_AG20!$AG25,"")</f>
        <v>0.62973731718124248</v>
      </c>
      <c r="AJ25" s="19">
        <f>Table1419[[#This Row],[Qualifying_Time_Women_2020]]*Table1419[[#This Row],[Age_Factor_Women]]</f>
        <v>0.14784236111111154</v>
      </c>
      <c r="AK25" s="25">
        <f>Table1419[[#This Row],[AG_Time_Women_2020]]*1440</f>
        <v>212.89300000000063</v>
      </c>
      <c r="AL25" s="26">
        <f t="shared" si="0"/>
        <v>0.6</v>
      </c>
      <c r="AM25" s="27">
        <f t="shared" si="1"/>
        <v>9.9999999999999978E-2</v>
      </c>
      <c r="AN25" s="27">
        <f t="shared" si="2"/>
        <v>0.10000000000000009</v>
      </c>
      <c r="AO25" s="27">
        <f t="shared" si="3"/>
        <v>9.9999999999999978E-2</v>
      </c>
      <c r="AP25" s="27">
        <f t="shared" si="4"/>
        <v>9.9999999999999978E-2</v>
      </c>
      <c r="AQ25" s="28">
        <v>0.68</v>
      </c>
      <c r="AR25" s="29">
        <f>Table1419[[#This Row],[Age Best_Men_20]]/Table1419[[#This Row],[Proposed_uniform_AG%]]</f>
        <v>0.12587038361443867</v>
      </c>
      <c r="AS25" s="29">
        <f t="shared" si="7"/>
        <v>0.12598307941151576</v>
      </c>
      <c r="AT25" s="29">
        <f>CEILING(Table1419[[#This Row],[Proposed_QT_M_Agegrouped]],"00:01:00")</f>
        <v>0.12638888888888888</v>
      </c>
      <c r="AU25" s="30">
        <f>Table1419[[#This Row],[Proposed_QT_M_Agegrouped_roundedup]]*1440</f>
        <v>182</v>
      </c>
      <c r="AV25" s="30">
        <f>Table1419[[#This Row],[Proposed_QT_M_Agegrouped_roundedup_min]]-Table1419[[#This Row],[QT_Men_2020_min]]</f>
        <v>-2.9999999999996589</v>
      </c>
      <c r="AW25" s="40">
        <f>(Table1419[[#This Row],[Proposed_QT_M_Agegrouped_roundedup_min]]-Table1419[[#This Row],[QT_Men_2020_min]])/Table1419[[#This Row],[QT_Men_2020_min]]</f>
        <v>-1.6216216216214403E-2</v>
      </c>
      <c r="AX25" s="32">
        <f>Table1419[[#This Row],[Age Best_Women]]/Table1419[[#This Row],[Proposed_uniform_AG%]]</f>
        <v>0.13826952940560408</v>
      </c>
      <c r="AY25" s="29">
        <f>AVERAGE($AX$23:$AX$27)</f>
        <v>0.13837116485709078</v>
      </c>
      <c r="AZ25" s="33">
        <f>CEILING(Table1419[[#This Row],[Proposed_QT_W_Agegrouped]],"00:01:00")</f>
        <v>0.1388888888888889</v>
      </c>
      <c r="BA25" s="34">
        <f>Table1419[[#This Row],[Proposed_QT_W_Agegrouped_roundedup]]*1440</f>
        <v>200</v>
      </c>
      <c r="BB25" s="34">
        <f>Table1419[[#This Row],[Proposed_QT_W_Agegrouped_roundedup_min]]-Table1419[[#This Row],[Qualifying_Time_Women_2020_min]]</f>
        <v>-15.000000000000625</v>
      </c>
      <c r="BC25" s="41">
        <f>(Table1419[[#This Row],[Proposed_QT_W_Agegrouped_roundedup_min]]-Table1419[[#This Row],[Qualifying_Time_Women_2020_min]])/Table1419[[#This Row],[Qualifying_Time_Women_2020_min]]</f>
        <v>-6.9767441860467821E-2</v>
      </c>
      <c r="BD25" s="36" t="s">
        <v>74</v>
      </c>
      <c r="BE25" s="37">
        <f>Table1419[[#This Row],[Age Best_Men_20]]/Table1419[[#This Row],[Proposed_QT_M_Agegrouped_roundedup]]</f>
        <v>0.67721032766625466</v>
      </c>
      <c r="BF25" s="38">
        <f>Table1419[[#This Row],[Age Best_Women]]/Table1419[[#This Row],[Proposed_QT_W_Agegrouped_roundedup]]</f>
        <v>0.67696761596983757</v>
      </c>
    </row>
    <row r="26" spans="1:86" x14ac:dyDescent="0.55000000000000004">
      <c r="A26" s="18">
        <v>38</v>
      </c>
      <c r="B26" s="19">
        <f>IF(BQs_over_time_AG20!$A26="","",SUMIF('2020_Road Weights'!$A:$A,"M",'2020_Road Weights'!$F:$F)/3600/24)</f>
        <v>8.4479166666666661E-2</v>
      </c>
      <c r="C26" s="20">
        <f>IF(A26="","",INDEX('2020_Road Weights'!$A:$CX,MATCH("M",'2020_Road Weights'!$A:$A,FALSE),MATCH(BQs_over_time_AG20!$A26,'2020_Road Weights'!$1:$1,FALSE)))</f>
        <v>0.98199999999999998</v>
      </c>
      <c r="D26" s="19">
        <f>IFERROR(BQs_over_time_AG20!$B26/BQs_over_time_AG20!$C26,"")</f>
        <v>8.6027664630006787E-2</v>
      </c>
      <c r="E26" s="19">
        <v>0.13541666666666644</v>
      </c>
      <c r="F26" s="21">
        <f>Table1419[[#This Row],[QT_Men_03_12]]*1440</f>
        <v>194.99999999999966</v>
      </c>
      <c r="G26" s="20">
        <f>IFERROR(BQs_over_time_AG20!$D26/BQs_over_time_AG20!$E26,"")</f>
        <v>0.63528121572928198</v>
      </c>
      <c r="H26" s="19">
        <f>IFERROR(Table1419[[#This Row],[QT_Men_03_12]]*Table1419[[#This Row],[Age_Factor_Men_20]],"")</f>
        <v>0.13297916666666643</v>
      </c>
      <c r="I26" s="21">
        <f>Table1419[[#This Row],[AG_Time_Men_03_12]]*1440</f>
        <v>191.48999999999967</v>
      </c>
      <c r="J26" s="19">
        <v>0.13194444444444445</v>
      </c>
      <c r="K26" s="21">
        <f>Table1419[[#This Row],[QT_Men_13_19]]*1440</f>
        <v>190</v>
      </c>
      <c r="L26" s="20">
        <f>IFERROR(BQs_over_time_AG20!$D26/BQs_over_time_AG20!$J26,"")</f>
        <v>0.65199914245899881</v>
      </c>
      <c r="M26" s="19">
        <f>Table1419[[#This Row],[QT_Men_13_19]]*Table1419[[#This Row],[Age_Factor_Men_20]]</f>
        <v>0.12956944444444443</v>
      </c>
      <c r="N26" s="21">
        <f>Table1419[[#This Row],[AG_Time_Men_13_19]]*1440</f>
        <v>186.57999999999998</v>
      </c>
      <c r="O26" s="19">
        <v>0.12847222222222199</v>
      </c>
      <c r="P26" s="21">
        <f>Table1419[[#This Row],[QT_Men_2020]]*1440</f>
        <v>184.99999999999966</v>
      </c>
      <c r="Q26" s="22">
        <f>IFERROR(BQs_over_time_AG20!$D26/BQs_over_time_AG20!$O26,"")</f>
        <v>0.66962074090383783</v>
      </c>
      <c r="R26" s="19">
        <f>Table1419[[#This Row],[QT_Men_2020]]*Table1419[[#This Row],[Age_Factor_Men_20]]</f>
        <v>0.12615972222222199</v>
      </c>
      <c r="S26" s="21">
        <f>Table1419[[#This Row],[AG_Time_Men_2020]]*1440</f>
        <v>181.66999999999967</v>
      </c>
      <c r="T26" s="19">
        <f>IF(BQs_over_time_AG20!$A26="","",SUMIF('2020_Road Weights'!$A:$A,"F",'2020_Road Weights'!$F:$F)/3600/24)</f>
        <v>9.3101851851851838E-2</v>
      </c>
      <c r="U26" s="20">
        <f>INDEX('2020_Road Weights'!$A:$CX,MATCH("F",'2020_Road Weights'!$A:$A,FALSE),MATCH(BQs_over_time_AG20!$A26,'2020_Road Weights'!$1:$1,FALSE))</f>
        <v>0.98619999999999997</v>
      </c>
      <c r="V26" s="19">
        <f>IFERROR(BQs_over_time_AG20!$T26/BQs_over_time_AG20!$U26,"")</f>
        <v>9.4404635826254149E-2</v>
      </c>
      <c r="W26" s="19">
        <v>0.15625000000000044</v>
      </c>
      <c r="X26" s="21">
        <f>Table1419[[#This Row],[Qualifying_Time_Women_03_12]]*1440</f>
        <v>225.00000000000063</v>
      </c>
      <c r="Y26" s="20">
        <f>IFERROR(BQs_over_time_AG20!$V26/BQs_over_time_AG20!$W26,"")</f>
        <v>0.60418966928802487</v>
      </c>
      <c r="Z26" s="19">
        <f>Table1419[[#This Row],[Qualifying_Time_Women_03_12]]*Table1419[[#This Row],[Age_Factor_Women]]</f>
        <v>0.15409375000000045</v>
      </c>
      <c r="AA26" s="21">
        <f>Table1419[[#This Row],[AG_Time_Women_03_12]]*1440</f>
        <v>221.89500000000064</v>
      </c>
      <c r="AB26" s="19">
        <v>0.15277777777777776</v>
      </c>
      <c r="AC26" s="21">
        <f>Table1419[[#This Row],[Qualifying_Time_Women_13_19]]*1440</f>
        <v>219.99999999999997</v>
      </c>
      <c r="AD26" s="23">
        <f>IFERROR(BQs_over_time_AG20!$V26/BQs_over_time_AG20!$AB26,"")</f>
        <v>0.61792125268093634</v>
      </c>
      <c r="AE26" s="19">
        <f>Table1419[[#This Row],[Qualifying_Time_Women_13_19]]*Table1419[[#This Row],[Age_Factor_Women]]</f>
        <v>0.15066944444444441</v>
      </c>
      <c r="AF26" s="21">
        <f>Table1419[[#This Row],[AG_Time_Women_13_19]]*1440</f>
        <v>216.96399999999994</v>
      </c>
      <c r="AG26" s="19">
        <v>0.149305555555556</v>
      </c>
      <c r="AH26" s="21">
        <f>Table1419[[#This Row],[Qualifying_Time_Women_2020]]*1440</f>
        <v>215.00000000000063</v>
      </c>
      <c r="AI26" s="24">
        <f>IFERROR(BQs_over_time_AG20!$V26/BQs_over_time_AG20!$AG26,"")</f>
        <v>0.63229151437118869</v>
      </c>
      <c r="AJ26" s="19">
        <f>Table1419[[#This Row],[Qualifying_Time_Women_2020]]*Table1419[[#This Row],[Age_Factor_Women]]</f>
        <v>0.14724513888888932</v>
      </c>
      <c r="AK26" s="25">
        <f>Table1419[[#This Row],[AG_Time_Women_2020]]*1440</f>
        <v>212.03300000000061</v>
      </c>
      <c r="AL26" s="26">
        <f t="shared" si="0"/>
        <v>0.6</v>
      </c>
      <c r="AM26" s="27">
        <f t="shared" si="1"/>
        <v>9.9999999999999978E-2</v>
      </c>
      <c r="AN26" s="27">
        <f t="shared" si="2"/>
        <v>0.10000000000000009</v>
      </c>
      <c r="AO26" s="27">
        <f t="shared" si="3"/>
        <v>9.9999999999999978E-2</v>
      </c>
      <c r="AP26" s="27">
        <f t="shared" si="4"/>
        <v>9.9999999999999978E-2</v>
      </c>
      <c r="AQ26" s="28">
        <v>0.68</v>
      </c>
      <c r="AR26" s="29">
        <f>Table1419[[#This Row],[Age Best_Men_20]]/Table1419[[#This Row],[Proposed_uniform_AG%]]</f>
        <v>0.12651127151471586</v>
      </c>
      <c r="AS26" s="29">
        <f t="shared" si="7"/>
        <v>0.12598307941151576</v>
      </c>
      <c r="AT26" s="29">
        <f>CEILING(Table1419[[#This Row],[Proposed_QT_M_Agegrouped]],"00:01:00")</f>
        <v>0.12638888888888888</v>
      </c>
      <c r="AU26" s="30">
        <f>Table1419[[#This Row],[Proposed_QT_M_Agegrouped_roundedup]]*1440</f>
        <v>182</v>
      </c>
      <c r="AV26" s="30">
        <f>Table1419[[#This Row],[Proposed_QT_M_Agegrouped_roundedup_min]]-Table1419[[#This Row],[QT_Men_2020_min]]</f>
        <v>-2.9999999999996589</v>
      </c>
      <c r="AW26" s="40">
        <f>(Table1419[[#This Row],[Proposed_QT_M_Agegrouped_roundedup_min]]-Table1419[[#This Row],[QT_Men_2020_min]])/Table1419[[#This Row],[QT_Men_2020_min]]</f>
        <v>-1.6216216216214403E-2</v>
      </c>
      <c r="AX26" s="32">
        <f>Table1419[[#This Row],[Age Best_Women]]/Table1419[[#This Row],[Proposed_uniform_AG%]]</f>
        <v>0.13883034680331491</v>
      </c>
      <c r="AY26" s="29">
        <f>AVERAGE($AX$23:$AX$27)</f>
        <v>0.13837116485709078</v>
      </c>
      <c r="AZ26" s="33">
        <f>CEILING(Table1419[[#This Row],[Proposed_QT_W_Agegrouped]],"00:01:00")</f>
        <v>0.1388888888888889</v>
      </c>
      <c r="BA26" s="34">
        <f>Table1419[[#This Row],[Proposed_QT_W_Agegrouped_roundedup]]*1440</f>
        <v>200</v>
      </c>
      <c r="BB26" s="34">
        <f>Table1419[[#This Row],[Proposed_QT_W_Agegrouped_roundedup_min]]-Table1419[[#This Row],[Qualifying_Time_Women_2020_min]]</f>
        <v>-15.000000000000625</v>
      </c>
      <c r="BC26" s="41">
        <f>(Table1419[[#This Row],[Proposed_QT_W_Agegrouped_roundedup_min]]-Table1419[[#This Row],[Qualifying_Time_Women_2020_min]])/Table1419[[#This Row],[Qualifying_Time_Women_2020_min]]</f>
        <v>-6.9767441860467821E-2</v>
      </c>
      <c r="BD26" s="36" t="s">
        <v>74</v>
      </c>
      <c r="BE26" s="37">
        <f>Table1419[[#This Row],[Age Best_Men_20]]/Table1419[[#This Row],[Proposed_QT_M_Agegrouped_roundedup]]</f>
        <v>0.6806584454242296</v>
      </c>
      <c r="BF26" s="38">
        <f>Table1419[[#This Row],[Age Best_Women]]/Table1419[[#This Row],[Proposed_QT_W_Agegrouped_roundedup]]</f>
        <v>0.67971337794902986</v>
      </c>
    </row>
    <row r="27" spans="1:86" x14ac:dyDescent="0.55000000000000004">
      <c r="A27" s="18">
        <v>39</v>
      </c>
      <c r="B27" s="19">
        <f>IF(BQs_over_time_AG20!$A27="","",SUMIF('2020_Road Weights'!$A:$A,"M",'2020_Road Weights'!$F:$F)/3600/24)</f>
        <v>8.4479166666666661E-2</v>
      </c>
      <c r="C27" s="20">
        <f>IF(A27="","",INDEX('2020_Road Weights'!$A:$CX,MATCH("M",'2020_Road Weights'!$A:$A,FALSE),MATCH(BQs_over_time_AG20!$A27,'2020_Road Weights'!$1:$1,FALSE)))</f>
        <v>0.97619999999999996</v>
      </c>
      <c r="D27" s="19">
        <f>IFERROR(BQs_over_time_AG20!$B27/BQs_over_time_AG20!$C27,"")</f>
        <v>8.6538789865464719E-2</v>
      </c>
      <c r="E27" s="19">
        <v>0.13541666666666644</v>
      </c>
      <c r="F27" s="21">
        <f>Table1419[[#This Row],[QT_Men_03_12]]*1440</f>
        <v>194.99999999999966</v>
      </c>
      <c r="G27" s="20">
        <f>IFERROR(BQs_over_time_AG20!$D27/BQs_over_time_AG20!$E27,"")</f>
        <v>0.63905567900650984</v>
      </c>
      <c r="H27" s="19">
        <f>IFERROR(Table1419[[#This Row],[QT_Men_03_12]]*Table1419[[#This Row],[Age_Factor_Men_20]],"")</f>
        <v>0.13219374999999978</v>
      </c>
      <c r="I27" s="21">
        <f>Table1419[[#This Row],[AG_Time_Men_03_12]]*1440</f>
        <v>190.35899999999967</v>
      </c>
      <c r="J27" s="19">
        <v>0.13194444444444445</v>
      </c>
      <c r="K27" s="21">
        <f>Table1419[[#This Row],[QT_Men_13_19]]*1440</f>
        <v>190</v>
      </c>
      <c r="L27" s="20">
        <f>IFERROR(BQs_over_time_AG20!$D27/BQs_over_time_AG20!$J27,"")</f>
        <v>0.65587293371720623</v>
      </c>
      <c r="M27" s="19">
        <f>Table1419[[#This Row],[QT_Men_13_19]]*Table1419[[#This Row],[Age_Factor_Men_20]]</f>
        <v>0.12880416666666666</v>
      </c>
      <c r="N27" s="21">
        <f>Table1419[[#This Row],[AG_Time_Men_13_19]]*1440</f>
        <v>185.47800000000001</v>
      </c>
      <c r="O27" s="19">
        <v>0.12847222222222199</v>
      </c>
      <c r="P27" s="21">
        <f>Table1419[[#This Row],[QT_Men_2020]]*1440</f>
        <v>184.99999999999966</v>
      </c>
      <c r="Q27" s="22">
        <f>IFERROR(BQs_over_time_AG20!$D27/BQs_over_time_AG20!$O27,"")</f>
        <v>0.67359922922307791</v>
      </c>
      <c r="R27" s="19">
        <f>Table1419[[#This Row],[QT_Men_2020]]*Table1419[[#This Row],[Age_Factor_Men_20]]</f>
        <v>0.12541458333333311</v>
      </c>
      <c r="S27" s="21">
        <f>Table1419[[#This Row],[AG_Time_Men_2020]]*1440</f>
        <v>180.59699999999967</v>
      </c>
      <c r="T27" s="19">
        <f>IF(BQs_over_time_AG20!$A27="","",SUMIF('2020_Road Weights'!$A:$A,"F",'2020_Road Weights'!$F:$F)/3600/24)</f>
        <v>9.3101851851851838E-2</v>
      </c>
      <c r="U27" s="20">
        <f>INDEX('2020_Road Weights'!$A:$CX,MATCH("F",'2020_Road Weights'!$A:$A,FALSE),MATCH(BQs_over_time_AG20!$A27,'2020_Road Weights'!$1:$1,FALSE))</f>
        <v>0.98150000000000004</v>
      </c>
      <c r="V27" s="19">
        <f>IFERROR(BQs_over_time_AG20!$T27/BQs_over_time_AG20!$U27,"")</f>
        <v>9.4856700816965706E-2</v>
      </c>
      <c r="W27" s="19">
        <v>0.15625000000000044</v>
      </c>
      <c r="X27" s="21">
        <f>Table1419[[#This Row],[Qualifying_Time_Women_03_12]]*1440</f>
        <v>225.00000000000063</v>
      </c>
      <c r="Y27" s="20">
        <f>IFERROR(BQs_over_time_AG20!$V27/BQs_over_time_AG20!$W27,"")</f>
        <v>0.60708288522857878</v>
      </c>
      <c r="Z27" s="19">
        <f>Table1419[[#This Row],[Qualifying_Time_Women_03_12]]*Table1419[[#This Row],[Age_Factor_Women]]</f>
        <v>0.15335937500000044</v>
      </c>
      <c r="AA27" s="21">
        <f>Table1419[[#This Row],[AG_Time_Women_03_12]]*1440</f>
        <v>220.83750000000063</v>
      </c>
      <c r="AB27" s="19">
        <v>0.15277777777777776</v>
      </c>
      <c r="AC27" s="21">
        <f>Table1419[[#This Row],[Qualifying_Time_Women_13_19]]*1440</f>
        <v>219.99999999999997</v>
      </c>
      <c r="AD27" s="23">
        <f>IFERROR(BQs_over_time_AG20!$V27/BQs_over_time_AG20!$AB27,"")</f>
        <v>0.62088022352923011</v>
      </c>
      <c r="AE27" s="19">
        <f>Table1419[[#This Row],[Qualifying_Time_Women_13_19]]*Table1419[[#This Row],[Age_Factor_Women]]</f>
        <v>0.14995138888888887</v>
      </c>
      <c r="AF27" s="21">
        <f>Table1419[[#This Row],[AG_Time_Women_13_19]]*1440</f>
        <v>215.92999999999998</v>
      </c>
      <c r="AG27" s="19">
        <v>0.149305555555556</v>
      </c>
      <c r="AH27" s="21">
        <f>Table1419[[#This Row],[Qualifying_Time_Women_2020]]*1440</f>
        <v>215.00000000000063</v>
      </c>
      <c r="AI27" s="24">
        <f>IFERROR(BQs_over_time_AG20!$V27/BQs_over_time_AG20!$AG27,"")</f>
        <v>0.63531929849502422</v>
      </c>
      <c r="AJ27" s="19">
        <f>Table1419[[#This Row],[Qualifying_Time_Women_2020]]*Table1419[[#This Row],[Age_Factor_Women]]</f>
        <v>0.14654340277777822</v>
      </c>
      <c r="AK27" s="25">
        <f>Table1419[[#This Row],[AG_Time_Women_2020]]*1440</f>
        <v>211.02250000000063</v>
      </c>
      <c r="AL27" s="26">
        <f t="shared" si="0"/>
        <v>0.6</v>
      </c>
      <c r="AM27" s="27">
        <f t="shared" si="1"/>
        <v>9.9999999999999978E-2</v>
      </c>
      <c r="AN27" s="27">
        <f t="shared" si="2"/>
        <v>0.10000000000000009</v>
      </c>
      <c r="AO27" s="27">
        <f t="shared" si="3"/>
        <v>9.9999999999999978E-2</v>
      </c>
      <c r="AP27" s="27">
        <f t="shared" si="4"/>
        <v>9.9999999999999978E-2</v>
      </c>
      <c r="AQ27" s="28">
        <v>0.68</v>
      </c>
      <c r="AR27" s="29">
        <f>Table1419[[#This Row],[Age Best_Men_20]]/Table1419[[#This Row],[Proposed_uniform_AG%]]</f>
        <v>0.12726292627274222</v>
      </c>
      <c r="AS27" s="29">
        <f t="shared" si="7"/>
        <v>0.12598307941151576</v>
      </c>
      <c r="AT27" s="29">
        <f>CEILING(Table1419[[#This Row],[Proposed_QT_M_Agegrouped]],"00:01:00")</f>
        <v>0.12638888888888888</v>
      </c>
      <c r="AU27" s="30">
        <f>Table1419[[#This Row],[Proposed_QT_M_Agegrouped_roundedup]]*1440</f>
        <v>182</v>
      </c>
      <c r="AV27" s="30">
        <f>Table1419[[#This Row],[Proposed_QT_M_Agegrouped_roundedup_min]]-Table1419[[#This Row],[QT_Men_2020_min]]</f>
        <v>-2.9999999999996589</v>
      </c>
      <c r="AW27" s="40">
        <f>(Table1419[[#This Row],[Proposed_QT_M_Agegrouped_roundedup_min]]-Table1419[[#This Row],[QT_Men_2020_min]])/Table1419[[#This Row],[QT_Men_2020_min]]</f>
        <v>-1.6216216216214403E-2</v>
      </c>
      <c r="AX27" s="32">
        <f>Table1419[[#This Row],[Age Best_Women]]/Table1419[[#This Row],[Proposed_uniform_AG%]]</f>
        <v>0.13949514826024367</v>
      </c>
      <c r="AY27" s="29">
        <f>AVERAGE($AX$23:$AX$27)</f>
        <v>0.13837116485709078</v>
      </c>
      <c r="AZ27" s="33">
        <f>CEILING(Table1419[[#This Row],[Proposed_QT_W_Agegrouped]],"00:01:00")</f>
        <v>0.1388888888888889</v>
      </c>
      <c r="BA27" s="34">
        <f>Table1419[[#This Row],[Proposed_QT_W_Agegrouped_roundedup]]*1440</f>
        <v>200</v>
      </c>
      <c r="BB27" s="34">
        <f>Table1419[[#This Row],[Proposed_QT_W_Agegrouped_roundedup_min]]-Table1419[[#This Row],[Qualifying_Time_Women_2020_min]]</f>
        <v>-15.000000000000625</v>
      </c>
      <c r="BC27" s="41">
        <f>(Table1419[[#This Row],[Proposed_QT_W_Agegrouped_roundedup_min]]-Table1419[[#This Row],[Qualifying_Time_Women_2020_min]])/Table1419[[#This Row],[Qualifying_Time_Women_2020_min]]</f>
        <v>-6.9767441860467821E-2</v>
      </c>
      <c r="BD27" s="36" t="s">
        <v>74</v>
      </c>
      <c r="BE27" s="37">
        <f>Table1419[[#This Row],[Age Best_Men_20]]/Table1419[[#This Row],[Proposed_QT_M_Agegrouped_roundedup]]</f>
        <v>0.6847025132212593</v>
      </c>
      <c r="BF27" s="38">
        <f>Table1419[[#This Row],[Age Best_Women]]/Table1419[[#This Row],[Proposed_QT_W_Agegrouped_roundedup]]</f>
        <v>0.6829682458821531</v>
      </c>
    </row>
    <row r="28" spans="1:86" s="39" customFormat="1" x14ac:dyDescent="0.55000000000000004">
      <c r="A28" s="18">
        <v>40</v>
      </c>
      <c r="B28" s="19">
        <f>IF(BQs_over_time_AG20!$A28="","",SUMIF('2020_Road Weights'!$A:$A,"M",'2020_Road Weights'!$F:$F)/3600/24)</f>
        <v>8.4479166666666661E-2</v>
      </c>
      <c r="C28" s="20">
        <f>IF(A28="","",INDEX('2020_Road Weights'!$A:$CX,MATCH("M",'2020_Road Weights'!$A:$A,FALSE),MATCH(BQs_over_time_AG20!$A28,'2020_Road Weights'!$1:$1,FALSE)))</f>
        <v>0.96960000000000002</v>
      </c>
      <c r="D28" s="19">
        <f>IFERROR(BQs_over_time_AG20!$B28/BQs_over_time_AG20!$C28,"")</f>
        <v>8.712785341034103E-2</v>
      </c>
      <c r="E28" s="19">
        <v>0.1388888888888889</v>
      </c>
      <c r="F28" s="21">
        <f>Table1419[[#This Row],[QT_Men_03_12]]*1440</f>
        <v>200</v>
      </c>
      <c r="G28" s="20">
        <f>IFERROR(BQs_over_time_AG20!$D28/BQs_over_time_AG20!$E28,"")</f>
        <v>0.62732054455445541</v>
      </c>
      <c r="H28" s="19">
        <f>IFERROR(Table1419[[#This Row],[QT_Men_03_12]]*Table1419[[#This Row],[Age_Factor_Men_20]],"")</f>
        <v>0.13466666666666668</v>
      </c>
      <c r="I28" s="21">
        <f>Table1419[[#This Row],[AG_Time_Men_03_12]]*1440</f>
        <v>193.92000000000002</v>
      </c>
      <c r="J28" s="19">
        <v>0.13541666666666666</v>
      </c>
      <c r="K28" s="21">
        <f>Table1419[[#This Row],[QT_Men_13_19]]*1440</f>
        <v>195</v>
      </c>
      <c r="L28" s="20">
        <f>IFERROR(BQs_over_time_AG20!$D28/BQs_over_time_AG20!$J28,"")</f>
        <v>0.64340568672251841</v>
      </c>
      <c r="M28" s="19">
        <f>Table1419[[#This Row],[QT_Men_13_19]]*Table1419[[#This Row],[Age_Factor_Men_20]]</f>
        <v>0.1313</v>
      </c>
      <c r="N28" s="21">
        <f>Table1419[[#This Row],[AG_Time_Men_13_19]]*1440</f>
        <v>189.072</v>
      </c>
      <c r="O28" s="19">
        <v>0.13194444444444445</v>
      </c>
      <c r="P28" s="21">
        <f>Table1419[[#This Row],[QT_Men_2020]]*1440</f>
        <v>190</v>
      </c>
      <c r="Q28" s="22">
        <f>IFERROR(BQs_over_time_AG20!$D28/BQs_over_time_AG20!$O28,"")</f>
        <v>0.6603374153204794</v>
      </c>
      <c r="R28" s="19">
        <f>Table1419[[#This Row],[QT_Men_2020]]*Table1419[[#This Row],[Age_Factor_Men_20]]</f>
        <v>0.12793333333333334</v>
      </c>
      <c r="S28" s="21">
        <f>Table1419[[#This Row],[AG_Time_Men_2020]]*1440</f>
        <v>184.22400000000002</v>
      </c>
      <c r="T28" s="19">
        <f>IF(BQs_over_time_AG20!$A28="","",SUMIF('2020_Road Weights'!$A:$A,"F",'2020_Road Weights'!$F:$F)/3600/24)</f>
        <v>9.3101851851851838E-2</v>
      </c>
      <c r="U28" s="20">
        <f>INDEX('2020_Road Weights'!$A:$CX,MATCH("F",'2020_Road Weights'!$A:$A,FALSE),MATCH(BQs_over_time_AG20!$A28,'2020_Road Weights'!$1:$1,FALSE))</f>
        <v>0.97619999999999996</v>
      </c>
      <c r="V28" s="19">
        <f>IFERROR(BQs_over_time_AG20!$T28/BQs_over_time_AG20!$U28,"")</f>
        <v>9.5371698270694374E-2</v>
      </c>
      <c r="W28" s="19">
        <v>0.15972222222222221</v>
      </c>
      <c r="X28" s="21">
        <f>Table1419[[#This Row],[Qualifying_Time_Women_03_12]]*1440</f>
        <v>229.99999999999997</v>
      </c>
      <c r="Y28" s="20">
        <f>IFERROR(BQs_over_time_AG20!$V28/BQs_over_time_AG20!$W28,"")</f>
        <v>0.59710976308608654</v>
      </c>
      <c r="Z28" s="19">
        <f>Table1419[[#This Row],[Qualifying_Time_Women_03_12]]*Table1419[[#This Row],[Age_Factor_Women]]</f>
        <v>0.15592083333333331</v>
      </c>
      <c r="AA28" s="21">
        <f>Table1419[[#This Row],[AG_Time_Women_03_12]]*1440</f>
        <v>224.52599999999998</v>
      </c>
      <c r="AB28" s="19">
        <v>0.15625</v>
      </c>
      <c r="AC28" s="21">
        <f>Table1419[[#This Row],[Qualifying_Time_Women_13_19]]*1440</f>
        <v>225</v>
      </c>
      <c r="AD28" s="23">
        <f>IFERROR(BQs_over_time_AG20!$V28/BQs_over_time_AG20!$AB28,"")</f>
        <v>0.61037886893244397</v>
      </c>
      <c r="AE28" s="19">
        <f>Table1419[[#This Row],[Qualifying_Time_Women_13_19]]*Table1419[[#This Row],[Age_Factor_Women]]</f>
        <v>0.15253125000000001</v>
      </c>
      <c r="AF28" s="21">
        <f>Table1419[[#This Row],[AG_Time_Women_13_19]]*1440</f>
        <v>219.64500000000001</v>
      </c>
      <c r="AG28" s="19">
        <v>0.15277777777777776</v>
      </c>
      <c r="AH28" s="21">
        <f>Table1419[[#This Row],[Qualifying_Time_Women_2020]]*1440</f>
        <v>219.99999999999997</v>
      </c>
      <c r="AI28" s="24">
        <f>IFERROR(BQs_over_time_AG20!$V28/BQs_over_time_AG20!$AG28,"")</f>
        <v>0.62425111595363592</v>
      </c>
      <c r="AJ28" s="19">
        <f>Table1419[[#This Row],[Qualifying_Time_Women_2020]]*Table1419[[#This Row],[Age_Factor_Women]]</f>
        <v>0.14914166666666664</v>
      </c>
      <c r="AK28" s="25">
        <f>Table1419[[#This Row],[AG_Time_Women_2020]]*1440</f>
        <v>214.76399999999998</v>
      </c>
      <c r="AL28" s="26">
        <f t="shared" si="0"/>
        <v>0.6</v>
      </c>
      <c r="AM28" s="27">
        <f t="shared" si="1"/>
        <v>9.9999999999999978E-2</v>
      </c>
      <c r="AN28" s="27">
        <f t="shared" si="2"/>
        <v>0.10000000000000009</v>
      </c>
      <c r="AO28" s="27">
        <f t="shared" si="3"/>
        <v>9.9999999999999978E-2</v>
      </c>
      <c r="AP28" s="27">
        <f t="shared" si="4"/>
        <v>9.9999999999999978E-2</v>
      </c>
      <c r="AQ28" s="28">
        <v>0.68</v>
      </c>
      <c r="AR28" s="29">
        <f>Table1419[[#This Row],[Age Best_Men_20]]/Table1419[[#This Row],[Proposed_uniform_AG%]]</f>
        <v>0.12812919619167798</v>
      </c>
      <c r="AS28" s="29">
        <f>AVERAGE($AR$28:$AR$32)</f>
        <v>0.13018676964753256</v>
      </c>
      <c r="AT28" s="29">
        <f>CEILING(Table1419[[#This Row],[Proposed_QT_M_Agegrouped]],"00:01:00")</f>
        <v>0.13055555555555556</v>
      </c>
      <c r="AU28" s="30">
        <f>Table1419[[#This Row],[Proposed_QT_M_Agegrouped_roundedup]]*1440</f>
        <v>188</v>
      </c>
      <c r="AV28" s="30">
        <f>Table1419[[#This Row],[Proposed_QT_M_Agegrouped_roundedup_min]]-Table1419[[#This Row],[QT_Men_2020_min]]</f>
        <v>-2</v>
      </c>
      <c r="AW28" s="40">
        <f>(Table1419[[#This Row],[Proposed_QT_M_Agegrouped_roundedup_min]]-Table1419[[#This Row],[QT_Men_2020_min]])/Table1419[[#This Row],[QT_Men_2020_min]]</f>
        <v>-1.0526315789473684E-2</v>
      </c>
      <c r="AX28" s="32">
        <f>Table1419[[#This Row],[Age Best_Women]]/Table1419[[#This Row],[Proposed_uniform_AG%]]</f>
        <v>0.14025249745690349</v>
      </c>
      <c r="AY28" s="29">
        <f>AVERAGE($AX$28:$AX$32)</f>
        <v>0.14221073547337931</v>
      </c>
      <c r="AZ28" s="33">
        <f>CEILING(Table1419[[#This Row],[Proposed_QT_W_Agegrouped]],"00:01:00")</f>
        <v>0.1423611111111111</v>
      </c>
      <c r="BA28" s="34">
        <f>Table1419[[#This Row],[Proposed_QT_W_Agegrouped_roundedup]]*1440</f>
        <v>205</v>
      </c>
      <c r="BB28" s="34">
        <f>Table1419[[#This Row],[Proposed_QT_W_Agegrouped_roundedup_min]]-Table1419[[#This Row],[Qualifying_Time_Women_2020_min]]</f>
        <v>-14.999999999999972</v>
      </c>
      <c r="BC28" s="41">
        <f>(Table1419[[#This Row],[Proposed_QT_W_Agegrouped_roundedup_min]]-Table1419[[#This Row],[Qualifying_Time_Women_2020_min]])/Table1419[[#This Row],[Qualifying_Time_Women_2020_min]]</f>
        <v>-6.8181818181818066E-2</v>
      </c>
      <c r="BD28" s="36" t="s">
        <v>75</v>
      </c>
      <c r="BE28" s="37">
        <f>Table1419[[#This Row],[Age Best_Men_20]]/Table1419[[#This Row],[Proposed_QT_M_Agegrouped_roundedup]]</f>
        <v>0.66736228144091003</v>
      </c>
      <c r="BF28" s="38">
        <f>Table1419[[#This Row],[Age Best_Women]]/Table1419[[#This Row],[Proposed_QT_W_Agegrouped_roundedup]]</f>
        <v>0.66992802687707276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</row>
    <row r="29" spans="1:86" x14ac:dyDescent="0.55000000000000004">
      <c r="A29" s="18">
        <v>41</v>
      </c>
      <c r="B29" s="19">
        <f>IF(BQs_over_time_AG20!$A29="","",SUMIF('2020_Road Weights'!$A:$A,"M",'2020_Road Weights'!$F:$F)/3600/24)</f>
        <v>8.4479166666666661E-2</v>
      </c>
      <c r="C29" s="20">
        <f>IF(A29="","",INDEX('2020_Road Weights'!$A:$CX,MATCH("M",'2020_Road Weights'!$A:$A,FALSE),MATCH(BQs_over_time_AG20!$A29,'2020_Road Weights'!$1:$1,FALSE)))</f>
        <v>0.96230000000000004</v>
      </c>
      <c r="D29" s="19">
        <f>IFERROR(BQs_over_time_AG20!$B29/BQs_over_time_AG20!$C29,"")</f>
        <v>8.7788804600090045E-2</v>
      </c>
      <c r="E29" s="19">
        <v>0.1388888888888889</v>
      </c>
      <c r="F29" s="21">
        <f>Table1419[[#This Row],[QT_Men_03_12]]*1440</f>
        <v>200</v>
      </c>
      <c r="G29" s="20">
        <f>IFERROR(BQs_over_time_AG20!$D29/BQs_over_time_AG20!$E29,"")</f>
        <v>0.63207939312064831</v>
      </c>
      <c r="H29" s="19">
        <f>IFERROR(Table1419[[#This Row],[QT_Men_03_12]]*Table1419[[#This Row],[Age_Factor_Men_20]],"")</f>
        <v>0.13365277777777779</v>
      </c>
      <c r="I29" s="21">
        <f>Table1419[[#This Row],[AG_Time_Men_03_12]]*1440</f>
        <v>192.46</v>
      </c>
      <c r="J29" s="19">
        <v>0.13541666666666666</v>
      </c>
      <c r="K29" s="21">
        <f>Table1419[[#This Row],[QT_Men_13_19]]*1440</f>
        <v>195</v>
      </c>
      <c r="L29" s="20">
        <f>IFERROR(BQs_over_time_AG20!$D29/BQs_over_time_AG20!$J29,"")</f>
        <v>0.64828655704681881</v>
      </c>
      <c r="M29" s="19">
        <f>Table1419[[#This Row],[QT_Men_13_19]]*Table1419[[#This Row],[Age_Factor_Men_20]]</f>
        <v>0.13031145833333332</v>
      </c>
      <c r="N29" s="21">
        <f>Table1419[[#This Row],[AG_Time_Men_13_19]]*1440</f>
        <v>187.64849999999998</v>
      </c>
      <c r="O29" s="19">
        <v>0.13194444444444445</v>
      </c>
      <c r="P29" s="21">
        <f>Table1419[[#This Row],[QT_Men_2020]]*1440</f>
        <v>190</v>
      </c>
      <c r="Q29" s="22">
        <f>IFERROR(BQs_over_time_AG20!$D29/BQs_over_time_AG20!$O29,"")</f>
        <v>0.66534672960068242</v>
      </c>
      <c r="R29" s="19">
        <f>Table1419[[#This Row],[QT_Men_2020]]*Table1419[[#This Row],[Age_Factor_Men_20]]</f>
        <v>0.12697013888888889</v>
      </c>
      <c r="S29" s="21">
        <f>Table1419[[#This Row],[AG_Time_Men_2020]]*1440</f>
        <v>182.83699999999999</v>
      </c>
      <c r="T29" s="19">
        <f>IF(BQs_over_time_AG20!$A29="","",SUMIF('2020_Road Weights'!$A:$A,"F",'2020_Road Weights'!$F:$F)/3600/24)</f>
        <v>9.3101851851851838E-2</v>
      </c>
      <c r="U29" s="20">
        <f>INDEX('2020_Road Weights'!$A:$CX,MATCH("F",'2020_Road Weights'!$A:$A,FALSE),MATCH(BQs_over_time_AG20!$A29,'2020_Road Weights'!$1:$1,FALSE))</f>
        <v>0.97019999999999995</v>
      </c>
      <c r="V29" s="19">
        <f>IFERROR(BQs_over_time_AG20!$T29/BQs_over_time_AG20!$U29,"")</f>
        <v>9.596150469166341E-2</v>
      </c>
      <c r="W29" s="19">
        <v>0.15972222222222221</v>
      </c>
      <c r="X29" s="21">
        <f>Table1419[[#This Row],[Qualifying_Time_Women_03_12]]*1440</f>
        <v>229.99999999999997</v>
      </c>
      <c r="Y29" s="20">
        <f>IFERROR(BQs_over_time_AG20!$V29/BQs_over_time_AG20!$W29,"")</f>
        <v>0.6008024641565014</v>
      </c>
      <c r="Z29" s="19">
        <f>Table1419[[#This Row],[Qualifying_Time_Women_03_12]]*Table1419[[#This Row],[Age_Factor_Women]]</f>
        <v>0.15496249999999998</v>
      </c>
      <c r="AA29" s="21">
        <f>Table1419[[#This Row],[AG_Time_Women_03_12]]*1440</f>
        <v>223.14599999999996</v>
      </c>
      <c r="AB29" s="19">
        <v>0.15625</v>
      </c>
      <c r="AC29" s="21">
        <f>Table1419[[#This Row],[Qualifying_Time_Women_13_19]]*1440</f>
        <v>225</v>
      </c>
      <c r="AD29" s="23">
        <f>IFERROR(BQs_over_time_AG20!$V29/BQs_over_time_AG20!$AB29,"")</f>
        <v>0.6141536300266458</v>
      </c>
      <c r="AE29" s="19">
        <f>Table1419[[#This Row],[Qualifying_Time_Women_13_19]]*Table1419[[#This Row],[Age_Factor_Women]]</f>
        <v>0.15159375</v>
      </c>
      <c r="AF29" s="21">
        <f>Table1419[[#This Row],[AG_Time_Women_13_19]]*1440</f>
        <v>218.29499999999999</v>
      </c>
      <c r="AG29" s="19">
        <v>0.15277777777777776</v>
      </c>
      <c r="AH29" s="21">
        <f>Table1419[[#This Row],[Qualifying_Time_Women_2020]]*1440</f>
        <v>219.99999999999997</v>
      </c>
      <c r="AI29" s="24">
        <f>IFERROR(BQs_over_time_AG20!$V29/BQs_over_time_AG20!$AG29,"")</f>
        <v>0.62811166707270605</v>
      </c>
      <c r="AJ29" s="19">
        <f>Table1419[[#This Row],[Qualifying_Time_Women_2020]]*Table1419[[#This Row],[Age_Factor_Women]]</f>
        <v>0.14822499999999997</v>
      </c>
      <c r="AK29" s="25">
        <f>Table1419[[#This Row],[AG_Time_Women_2020]]*1440</f>
        <v>213.44399999999996</v>
      </c>
      <c r="AL29" s="26">
        <f t="shared" si="0"/>
        <v>0.6</v>
      </c>
      <c r="AM29" s="27">
        <f t="shared" si="1"/>
        <v>9.9999999999999978E-2</v>
      </c>
      <c r="AN29" s="27">
        <f t="shared" si="2"/>
        <v>0.10000000000000009</v>
      </c>
      <c r="AO29" s="27">
        <f t="shared" si="3"/>
        <v>9.9999999999999978E-2</v>
      </c>
      <c r="AP29" s="27">
        <f t="shared" si="4"/>
        <v>9.9999999999999978E-2</v>
      </c>
      <c r="AQ29" s="28">
        <v>0.68</v>
      </c>
      <c r="AR29" s="29">
        <f>Table1419[[#This Row],[Age Best_Men_20]]/Table1419[[#This Row],[Proposed_uniform_AG%]]</f>
        <v>0.12910118323542652</v>
      </c>
      <c r="AS29" s="29">
        <f t="shared" ref="AS29:AS32" si="8">AVERAGE($AR$28:$AR$32)</f>
        <v>0.13018676964753256</v>
      </c>
      <c r="AT29" s="29">
        <f>CEILING(Table1419[[#This Row],[Proposed_QT_M_Agegrouped]],"00:01:00")</f>
        <v>0.13055555555555556</v>
      </c>
      <c r="AU29" s="30">
        <f>Table1419[[#This Row],[Proposed_QT_M_Agegrouped_roundedup]]*1440</f>
        <v>188</v>
      </c>
      <c r="AV29" s="30">
        <f>Table1419[[#This Row],[Proposed_QT_M_Agegrouped_roundedup_min]]-Table1419[[#This Row],[QT_Men_2020_min]]</f>
        <v>-2</v>
      </c>
      <c r="AW29" s="40">
        <f>(Table1419[[#This Row],[Proposed_QT_M_Agegrouped_roundedup_min]]-Table1419[[#This Row],[QT_Men_2020_min]])/Table1419[[#This Row],[QT_Men_2020_min]]</f>
        <v>-1.0526315789473684E-2</v>
      </c>
      <c r="AX29" s="32">
        <f>Table1419[[#This Row],[Age Best_Women]]/Table1419[[#This Row],[Proposed_uniform_AG%]]</f>
        <v>0.14111985984068148</v>
      </c>
      <c r="AY29" s="29">
        <f>AVERAGE($AX$28:$AX$32)</f>
        <v>0.14221073547337931</v>
      </c>
      <c r="AZ29" s="33">
        <f>CEILING(Table1419[[#This Row],[Proposed_QT_W_Agegrouped]],"00:01:00")</f>
        <v>0.1423611111111111</v>
      </c>
      <c r="BA29" s="34">
        <f>Table1419[[#This Row],[Proposed_QT_W_Agegrouped_roundedup]]*1440</f>
        <v>205</v>
      </c>
      <c r="BB29" s="34">
        <f>Table1419[[#This Row],[Proposed_QT_W_Agegrouped_roundedup_min]]-Table1419[[#This Row],[Qualifying_Time_Women_2020_min]]</f>
        <v>-14.999999999999972</v>
      </c>
      <c r="BC29" s="41">
        <f>(Table1419[[#This Row],[Proposed_QT_W_Agegrouped_roundedup_min]]-Table1419[[#This Row],[Qualifying_Time_Women_2020_min]])/Table1419[[#This Row],[Qualifying_Time_Women_2020_min]]</f>
        <v>-6.8181818181818066E-2</v>
      </c>
      <c r="BD29" s="36" t="s">
        <v>75</v>
      </c>
      <c r="BE29" s="37">
        <f>Table1419[[#This Row],[Age Best_Men_20]]/Table1419[[#This Row],[Proposed_QT_M_Agegrouped_roundedup]]</f>
        <v>0.67242488629856201</v>
      </c>
      <c r="BF29" s="38">
        <f>Table1419[[#This Row],[Age Best_Women]]/Table1419[[#This Row],[Proposed_QT_W_Agegrouped_roundedup]]</f>
        <v>0.67407105734631867</v>
      </c>
    </row>
    <row r="30" spans="1:86" x14ac:dyDescent="0.55000000000000004">
      <c r="A30" s="18">
        <v>42</v>
      </c>
      <c r="B30" s="19">
        <f>IF(BQs_over_time_AG20!$A30="","",SUMIF('2020_Road Weights'!$A:$A,"M",'2020_Road Weights'!$F:$F)/3600/24)</f>
        <v>8.4479166666666661E-2</v>
      </c>
      <c r="C30" s="20">
        <f>IF(A30="","",INDEX('2020_Road Weights'!$A:$CX,MATCH("M",'2020_Road Weights'!$A:$A,FALSE),MATCH(BQs_over_time_AG20!$A30,'2020_Road Weights'!$1:$1,FALSE)))</f>
        <v>0.95450000000000002</v>
      </c>
      <c r="D30" s="19">
        <f>IFERROR(BQs_over_time_AG20!$B30/BQs_over_time_AG20!$C30,"")</f>
        <v>8.8506198707874975E-2</v>
      </c>
      <c r="E30" s="19">
        <v>0.1388888888888889</v>
      </c>
      <c r="F30" s="21">
        <f>Table1419[[#This Row],[QT_Men_03_12]]*1440</f>
        <v>200</v>
      </c>
      <c r="G30" s="20">
        <f>IFERROR(BQs_over_time_AG20!$D30/BQs_over_time_AG20!$E30,"")</f>
        <v>0.63724463069669979</v>
      </c>
      <c r="H30" s="19">
        <f>IFERROR(Table1419[[#This Row],[QT_Men_03_12]]*Table1419[[#This Row],[Age_Factor_Men_20]],"")</f>
        <v>0.13256944444444446</v>
      </c>
      <c r="I30" s="21">
        <f>Table1419[[#This Row],[AG_Time_Men_03_12]]*1440</f>
        <v>190.90000000000003</v>
      </c>
      <c r="J30" s="19">
        <v>0.13541666666666666</v>
      </c>
      <c r="K30" s="21">
        <f>Table1419[[#This Row],[QT_Men_13_19]]*1440</f>
        <v>195</v>
      </c>
      <c r="L30" s="20">
        <f>IFERROR(BQs_over_time_AG20!$D30/BQs_over_time_AG20!$J30,"")</f>
        <v>0.65358423661199982</v>
      </c>
      <c r="M30" s="19">
        <f>Table1419[[#This Row],[QT_Men_13_19]]*Table1419[[#This Row],[Age_Factor_Men_20]]</f>
        <v>0.12925520833333332</v>
      </c>
      <c r="N30" s="21">
        <f>Table1419[[#This Row],[AG_Time_Men_13_19]]*1440</f>
        <v>186.12749999999997</v>
      </c>
      <c r="O30" s="19">
        <v>0.13194444444444445</v>
      </c>
      <c r="P30" s="21">
        <f>Table1419[[#This Row],[QT_Men_2020]]*1440</f>
        <v>190</v>
      </c>
      <c r="Q30" s="22">
        <f>IFERROR(BQs_over_time_AG20!$D30/BQs_over_time_AG20!$O30,"")</f>
        <v>0.67078382178599982</v>
      </c>
      <c r="R30" s="19">
        <f>Table1419[[#This Row],[QT_Men_2020]]*Table1419[[#This Row],[Age_Factor_Men_20]]</f>
        <v>0.12594097222222222</v>
      </c>
      <c r="S30" s="21">
        <f>Table1419[[#This Row],[AG_Time_Men_2020]]*1440</f>
        <v>181.35500000000002</v>
      </c>
      <c r="T30" s="19">
        <f>IF(BQs_over_time_AG20!$A30="","",SUMIF('2020_Road Weights'!$A:$A,"F",'2020_Road Weights'!$F:$F)/3600/24)</f>
        <v>9.3101851851851838E-2</v>
      </c>
      <c r="U30" s="20">
        <f>INDEX('2020_Road Weights'!$A:$CX,MATCH("F",'2020_Road Weights'!$A:$A,FALSE),MATCH(BQs_over_time_AG20!$A30,'2020_Road Weights'!$1:$1,FALSE))</f>
        <v>0.96350000000000002</v>
      </c>
      <c r="V30" s="19">
        <f>IFERROR(BQs_over_time_AG20!$T30/BQs_over_time_AG20!$U30,"")</f>
        <v>9.6628803167464278E-2</v>
      </c>
      <c r="W30" s="19">
        <v>0.15972222222222221</v>
      </c>
      <c r="X30" s="21">
        <f>Table1419[[#This Row],[Qualifying_Time_Women_03_12]]*1440</f>
        <v>229.99999999999997</v>
      </c>
      <c r="Y30" s="20">
        <f>IFERROR(BQs_over_time_AG20!$V30/BQs_over_time_AG20!$W30,"")</f>
        <v>0.60498033287455899</v>
      </c>
      <c r="Z30" s="19">
        <f>Table1419[[#This Row],[Qualifying_Time_Women_03_12]]*Table1419[[#This Row],[Age_Factor_Women]]</f>
        <v>0.1538923611111111</v>
      </c>
      <c r="AA30" s="21">
        <f>Table1419[[#This Row],[AG_Time_Women_03_12]]*1440</f>
        <v>221.60499999999999</v>
      </c>
      <c r="AB30" s="19">
        <v>0.15625</v>
      </c>
      <c r="AC30" s="21">
        <f>Table1419[[#This Row],[Qualifying_Time_Women_13_19]]*1440</f>
        <v>225</v>
      </c>
      <c r="AD30" s="23">
        <f>IFERROR(BQs_over_time_AG20!$V30/BQs_over_time_AG20!$AB30,"")</f>
        <v>0.6184243402717714</v>
      </c>
      <c r="AE30" s="19">
        <f>Table1419[[#This Row],[Qualifying_Time_Women_13_19]]*Table1419[[#This Row],[Age_Factor_Women]]</f>
        <v>0.150546875</v>
      </c>
      <c r="AF30" s="21">
        <f>Table1419[[#This Row],[AG_Time_Women_13_19]]*1440</f>
        <v>216.78749999999999</v>
      </c>
      <c r="AG30" s="19">
        <v>0.15277777777777776</v>
      </c>
      <c r="AH30" s="21">
        <f>Table1419[[#This Row],[Qualifying_Time_Women_2020]]*1440</f>
        <v>219.99999999999997</v>
      </c>
      <c r="AI30" s="24">
        <f>IFERROR(BQs_over_time_AG20!$V30/BQs_over_time_AG20!$AG30,"")</f>
        <v>0.63247943891431169</v>
      </c>
      <c r="AJ30" s="19">
        <f>Table1419[[#This Row],[Qualifying_Time_Women_2020]]*Table1419[[#This Row],[Age_Factor_Women]]</f>
        <v>0.14720138888888887</v>
      </c>
      <c r="AK30" s="25">
        <f>Table1419[[#This Row],[AG_Time_Women_2020]]*1440</f>
        <v>211.96999999999997</v>
      </c>
      <c r="AL30" s="26">
        <f t="shared" si="0"/>
        <v>0.6</v>
      </c>
      <c r="AM30" s="27">
        <f t="shared" si="1"/>
        <v>9.9999999999999978E-2</v>
      </c>
      <c r="AN30" s="27">
        <f t="shared" si="2"/>
        <v>0.10000000000000009</v>
      </c>
      <c r="AO30" s="27">
        <f t="shared" si="3"/>
        <v>9.9999999999999978E-2</v>
      </c>
      <c r="AP30" s="27">
        <f t="shared" si="4"/>
        <v>9.9999999999999978E-2</v>
      </c>
      <c r="AQ30" s="28">
        <v>0.68</v>
      </c>
      <c r="AR30" s="29">
        <f>Table1419[[#This Row],[Age Best_Men_20]]/Table1419[[#This Row],[Proposed_uniform_AG%]]</f>
        <v>0.13015617457040438</v>
      </c>
      <c r="AS30" s="29">
        <f t="shared" si="8"/>
        <v>0.13018676964753256</v>
      </c>
      <c r="AT30" s="29">
        <f>CEILING(Table1419[[#This Row],[Proposed_QT_M_Agegrouped]],"00:01:00")</f>
        <v>0.13055555555555556</v>
      </c>
      <c r="AU30" s="30">
        <f>Table1419[[#This Row],[Proposed_QT_M_Agegrouped_roundedup]]*1440</f>
        <v>188</v>
      </c>
      <c r="AV30" s="30">
        <f>Table1419[[#This Row],[Proposed_QT_M_Agegrouped_roundedup_min]]-Table1419[[#This Row],[QT_Men_2020_min]]</f>
        <v>-2</v>
      </c>
      <c r="AW30" s="40">
        <f>(Table1419[[#This Row],[Proposed_QT_M_Agegrouped_roundedup_min]]-Table1419[[#This Row],[QT_Men_2020_min]])/Table1419[[#This Row],[QT_Men_2020_min]]</f>
        <v>-1.0526315789473684E-2</v>
      </c>
      <c r="AX30" s="32">
        <f>Table1419[[#This Row],[Age Best_Women]]/Table1419[[#This Row],[Proposed_uniform_AG%]]</f>
        <v>0.14210118112862394</v>
      </c>
      <c r="AY30" s="29">
        <f>AVERAGE($AX$28:$AX$32)</f>
        <v>0.14221073547337931</v>
      </c>
      <c r="AZ30" s="33">
        <f>CEILING(Table1419[[#This Row],[Proposed_QT_W_Agegrouped]],"00:01:00")</f>
        <v>0.1423611111111111</v>
      </c>
      <c r="BA30" s="34">
        <f>Table1419[[#This Row],[Proposed_QT_W_Agegrouped_roundedup]]*1440</f>
        <v>205</v>
      </c>
      <c r="BB30" s="34">
        <f>Table1419[[#This Row],[Proposed_QT_W_Agegrouped_roundedup_min]]-Table1419[[#This Row],[Qualifying_Time_Women_2020_min]]</f>
        <v>-14.999999999999972</v>
      </c>
      <c r="BC30" s="41">
        <f>(Table1419[[#This Row],[Proposed_QT_W_Agegrouped_roundedup_min]]-Table1419[[#This Row],[Qualifying_Time_Women_2020_min]])/Table1419[[#This Row],[Qualifying_Time_Women_2020_min]]</f>
        <v>-6.8181818181818066E-2</v>
      </c>
      <c r="BD30" s="36" t="s">
        <v>75</v>
      </c>
      <c r="BE30" s="37">
        <f>Table1419[[#This Row],[Age Best_Men_20]]/Table1419[[#This Row],[Proposed_QT_M_Agegrouped_roundedup]]</f>
        <v>0.67791981989010619</v>
      </c>
      <c r="BF30" s="38">
        <f>Table1419[[#This Row],[Age Best_Women]]/Table1419[[#This Row],[Proposed_QT_W_Agegrouped_roundedup]]</f>
        <v>0.67875842224950522</v>
      </c>
    </row>
    <row r="31" spans="1:86" x14ac:dyDescent="0.55000000000000004">
      <c r="A31" s="18">
        <v>43</v>
      </c>
      <c r="B31" s="19">
        <f>IF(BQs_over_time_AG20!$A31="","",SUMIF('2020_Road Weights'!$A:$A,"M",'2020_Road Weights'!$F:$F)/3600/24)</f>
        <v>8.4479166666666661E-2</v>
      </c>
      <c r="C31" s="20">
        <f>IF(A31="","",INDEX('2020_Road Weights'!$A:$CX,MATCH("M",'2020_Road Weights'!$A:$A,FALSE),MATCH(BQs_over_time_AG20!$A31,'2020_Road Weights'!$1:$1,FALSE)))</f>
        <v>0.94669999999999999</v>
      </c>
      <c r="D31" s="19">
        <f>IFERROR(BQs_over_time_AG20!$B31/BQs_over_time_AG20!$C31,"")</f>
        <v>8.9235414245977251E-2</v>
      </c>
      <c r="E31" s="19">
        <v>0.1388888888888889</v>
      </c>
      <c r="F31" s="21">
        <f>Table1419[[#This Row],[QT_Men_03_12]]*1440</f>
        <v>200</v>
      </c>
      <c r="G31" s="20">
        <f>IFERROR(BQs_over_time_AG20!$D31/BQs_over_time_AG20!$E31,"")</f>
        <v>0.64249498257103621</v>
      </c>
      <c r="H31" s="19">
        <f>IFERROR(Table1419[[#This Row],[QT_Men_03_12]]*Table1419[[#This Row],[Age_Factor_Men_20]],"")</f>
        <v>0.13148611111111111</v>
      </c>
      <c r="I31" s="21">
        <f>Table1419[[#This Row],[AG_Time_Men_03_12]]*1440</f>
        <v>189.34</v>
      </c>
      <c r="J31" s="19">
        <v>0.13541666666666666</v>
      </c>
      <c r="K31" s="21">
        <f>Table1419[[#This Row],[QT_Men_13_19]]*1440</f>
        <v>195</v>
      </c>
      <c r="L31" s="20">
        <f>IFERROR(BQs_over_time_AG20!$D31/BQs_over_time_AG20!$J31,"")</f>
        <v>0.65896921289337052</v>
      </c>
      <c r="M31" s="19">
        <f>Table1419[[#This Row],[QT_Men_13_19]]*Table1419[[#This Row],[Age_Factor_Men_20]]</f>
        <v>0.12819895833333333</v>
      </c>
      <c r="N31" s="21">
        <f>Table1419[[#This Row],[AG_Time_Men_13_19]]*1440</f>
        <v>184.60650000000001</v>
      </c>
      <c r="O31" s="19">
        <v>0.13194444444444445</v>
      </c>
      <c r="P31" s="21">
        <f>Table1419[[#This Row],[QT_Men_2020]]*1440</f>
        <v>190</v>
      </c>
      <c r="Q31" s="22">
        <f>IFERROR(BQs_over_time_AG20!$D31/BQs_over_time_AG20!$O31,"")</f>
        <v>0.67631050796951175</v>
      </c>
      <c r="R31" s="19">
        <f>Table1419[[#This Row],[QT_Men_2020]]*Table1419[[#This Row],[Age_Factor_Men_20]]</f>
        <v>0.12491180555555556</v>
      </c>
      <c r="S31" s="21">
        <f>Table1419[[#This Row],[AG_Time_Men_2020]]*1440</f>
        <v>179.87300000000002</v>
      </c>
      <c r="T31" s="19">
        <f>IF(BQs_over_time_AG20!$A31="","",SUMIF('2020_Road Weights'!$A:$A,"F",'2020_Road Weights'!$F:$F)/3600/24)</f>
        <v>9.3101851851851838E-2</v>
      </c>
      <c r="U31" s="20">
        <f>INDEX('2020_Road Weights'!$A:$CX,MATCH("F",'2020_Road Weights'!$A:$A,FALSE),MATCH(BQs_over_time_AG20!$A31,'2020_Road Weights'!$1:$1,FALSE))</f>
        <v>0.95620000000000005</v>
      </c>
      <c r="V31" s="19">
        <f>IFERROR(BQs_over_time_AG20!$T31/BQs_over_time_AG20!$U31,"")</f>
        <v>9.7366504760355396E-2</v>
      </c>
      <c r="W31" s="19">
        <v>0.15972222222222221</v>
      </c>
      <c r="X31" s="21">
        <f>Table1419[[#This Row],[Qualifying_Time_Women_03_12]]*1440</f>
        <v>229.99999999999997</v>
      </c>
      <c r="Y31" s="20">
        <f>IFERROR(BQs_over_time_AG20!$V31/BQs_over_time_AG20!$W31,"")</f>
        <v>0.60959898632570342</v>
      </c>
      <c r="Z31" s="19">
        <f>Table1419[[#This Row],[Qualifying_Time_Women_03_12]]*Table1419[[#This Row],[Age_Factor_Women]]</f>
        <v>0.1527263888888889</v>
      </c>
      <c r="AA31" s="21">
        <f>Table1419[[#This Row],[AG_Time_Women_03_12]]*1440</f>
        <v>219.92600000000002</v>
      </c>
      <c r="AB31" s="19">
        <v>0.15625</v>
      </c>
      <c r="AC31" s="21">
        <f>Table1419[[#This Row],[Qualifying_Time_Women_13_19]]*1440</f>
        <v>225</v>
      </c>
      <c r="AD31" s="23">
        <f>IFERROR(BQs_over_time_AG20!$V31/BQs_over_time_AG20!$AB31,"")</f>
        <v>0.62314563046627458</v>
      </c>
      <c r="AE31" s="19">
        <f>Table1419[[#This Row],[Qualifying_Time_Women_13_19]]*Table1419[[#This Row],[Age_Factor_Women]]</f>
        <v>0.14940625000000002</v>
      </c>
      <c r="AF31" s="21">
        <f>Table1419[[#This Row],[AG_Time_Women_13_19]]*1440</f>
        <v>215.14500000000004</v>
      </c>
      <c r="AG31" s="19">
        <v>0.15277777777777776</v>
      </c>
      <c r="AH31" s="21">
        <f>Table1419[[#This Row],[Qualifying_Time_Women_2020]]*1440</f>
        <v>219.99999999999997</v>
      </c>
      <c r="AI31" s="24">
        <f>IFERROR(BQs_over_time_AG20!$V31/BQs_over_time_AG20!$AG31,"")</f>
        <v>0.63730803115868995</v>
      </c>
      <c r="AJ31" s="19">
        <f>Table1419[[#This Row],[Qualifying_Time_Women_2020]]*Table1419[[#This Row],[Age_Factor_Women]]</f>
        <v>0.14608611111111111</v>
      </c>
      <c r="AK31" s="25">
        <f>Table1419[[#This Row],[AG_Time_Women_2020]]*1440</f>
        <v>210.364</v>
      </c>
      <c r="AL31" s="26">
        <f t="shared" si="0"/>
        <v>0.6</v>
      </c>
      <c r="AM31" s="27">
        <f t="shared" si="1"/>
        <v>9.9999999999999978E-2</v>
      </c>
      <c r="AN31" s="27">
        <f t="shared" si="2"/>
        <v>0.10000000000000009</v>
      </c>
      <c r="AO31" s="27">
        <f t="shared" si="3"/>
        <v>9.9999999999999978E-2</v>
      </c>
      <c r="AP31" s="27">
        <f t="shared" si="4"/>
        <v>9.9999999999999978E-2</v>
      </c>
      <c r="AQ31" s="28">
        <v>0.68</v>
      </c>
      <c r="AR31" s="29">
        <f>Table1419[[#This Row],[Age Best_Men_20]]/Table1419[[#This Row],[Proposed_uniform_AG%]]</f>
        <v>0.13122855036173126</v>
      </c>
      <c r="AS31" s="29">
        <f t="shared" si="8"/>
        <v>0.13018676964753256</v>
      </c>
      <c r="AT31" s="29">
        <f>CEILING(Table1419[[#This Row],[Proposed_QT_M_Agegrouped]],"00:01:00")</f>
        <v>0.13055555555555556</v>
      </c>
      <c r="AU31" s="30">
        <f>Table1419[[#This Row],[Proposed_QT_M_Agegrouped_roundedup]]*1440</f>
        <v>188</v>
      </c>
      <c r="AV31" s="30">
        <f>Table1419[[#This Row],[Proposed_QT_M_Agegrouped_roundedup_min]]-Table1419[[#This Row],[QT_Men_2020_min]]</f>
        <v>-2</v>
      </c>
      <c r="AW31" s="40">
        <f>(Table1419[[#This Row],[Proposed_QT_M_Agegrouped_roundedup_min]]-Table1419[[#This Row],[QT_Men_2020_min]])/Table1419[[#This Row],[QT_Men_2020_min]]</f>
        <v>-1.0526315789473684E-2</v>
      </c>
      <c r="AX31" s="32">
        <f>Table1419[[#This Row],[Age Best_Women]]/Table1419[[#This Row],[Proposed_uniform_AG%]]</f>
        <v>0.14318603641228733</v>
      </c>
      <c r="AY31" s="29">
        <f>AVERAGE($AX$28:$AX$32)</f>
        <v>0.14221073547337931</v>
      </c>
      <c r="AZ31" s="33">
        <f>CEILING(Table1419[[#This Row],[Proposed_QT_W_Agegrouped]],"00:01:00")</f>
        <v>0.1423611111111111</v>
      </c>
      <c r="BA31" s="34">
        <f>Table1419[[#This Row],[Proposed_QT_W_Agegrouped_roundedup]]*1440</f>
        <v>205</v>
      </c>
      <c r="BB31" s="34">
        <f>Table1419[[#This Row],[Proposed_QT_W_Agegrouped_roundedup_min]]-Table1419[[#This Row],[Qualifying_Time_Women_2020_min]]</f>
        <v>-14.999999999999972</v>
      </c>
      <c r="BC31" s="41">
        <f>(Table1419[[#This Row],[Proposed_QT_W_Agegrouped_roundedup_min]]-Table1419[[#This Row],[Qualifying_Time_Women_2020_min]])/Table1419[[#This Row],[Qualifying_Time_Women_2020_min]]</f>
        <v>-6.8181818181818066E-2</v>
      </c>
      <c r="BD31" s="36" t="s">
        <v>75</v>
      </c>
      <c r="BE31" s="37">
        <f>Table1419[[#This Row],[Age Best_Men_20]]/Table1419[[#This Row],[Proposed_QT_M_Agegrouped_roundedup]]</f>
        <v>0.68350530060748527</v>
      </c>
      <c r="BF31" s="38">
        <f>Table1419[[#This Row],[Age Best_Women]]/Table1419[[#This Row],[Proposed_QT_W_Agegrouped_roundedup]]</f>
        <v>0.68394032612152089</v>
      </c>
    </row>
    <row r="32" spans="1:86" x14ac:dyDescent="0.55000000000000004">
      <c r="A32" s="18">
        <v>44</v>
      </c>
      <c r="B32" s="19">
        <f>IF(BQs_over_time_AG20!$A32="","",SUMIF('2020_Road Weights'!$A:$A,"M",'2020_Road Weights'!$F:$F)/3600/24)</f>
        <v>8.4479166666666661E-2</v>
      </c>
      <c r="C32" s="20">
        <f>IF(A32="","",INDEX('2020_Road Weights'!$A:$CX,MATCH("M",'2020_Road Weights'!$A:$A,FALSE),MATCH(BQs_over_time_AG20!$A32,'2020_Road Weights'!$1:$1,FALSE)))</f>
        <v>0.93889999999999996</v>
      </c>
      <c r="D32" s="19">
        <f>IFERROR(BQs_over_time_AG20!$B32/BQs_over_time_AG20!$C32,"")</f>
        <v>8.9976745837327371E-2</v>
      </c>
      <c r="E32" s="19">
        <v>0.1388888888888889</v>
      </c>
      <c r="F32" s="21">
        <f>Table1419[[#This Row],[QT_Men_03_12]]*1440</f>
        <v>200</v>
      </c>
      <c r="G32" s="20">
        <f>IFERROR(BQs_over_time_AG20!$D32/BQs_over_time_AG20!$E32,"")</f>
        <v>0.64783257002875705</v>
      </c>
      <c r="H32" s="19">
        <f>IFERROR(Table1419[[#This Row],[QT_Men_03_12]]*Table1419[[#This Row],[Age_Factor_Men_20]],"")</f>
        <v>0.13040277777777778</v>
      </c>
      <c r="I32" s="21">
        <f>Table1419[[#This Row],[AG_Time_Men_03_12]]*1440</f>
        <v>187.78</v>
      </c>
      <c r="J32" s="19">
        <v>0.13541666666666666</v>
      </c>
      <c r="K32" s="21">
        <f>Table1419[[#This Row],[QT_Men_13_19]]*1440</f>
        <v>195</v>
      </c>
      <c r="L32" s="20">
        <f>IFERROR(BQs_over_time_AG20!$D32/BQs_over_time_AG20!$J32,"")</f>
        <v>0.66444366156795598</v>
      </c>
      <c r="M32" s="19">
        <f>Table1419[[#This Row],[QT_Men_13_19]]*Table1419[[#This Row],[Age_Factor_Men_20]]</f>
        <v>0.12714270833333333</v>
      </c>
      <c r="N32" s="21">
        <f>Table1419[[#This Row],[AG_Time_Men_13_19]]*1440</f>
        <v>183.0855</v>
      </c>
      <c r="O32" s="19">
        <v>0.13194444444444445</v>
      </c>
      <c r="P32" s="21">
        <f>Table1419[[#This Row],[QT_Men_2020]]*1440</f>
        <v>190</v>
      </c>
      <c r="Q32" s="22">
        <f>IFERROR(BQs_over_time_AG20!$D32/BQs_over_time_AG20!$O32,"")</f>
        <v>0.68192902108290221</v>
      </c>
      <c r="R32" s="19">
        <f>Table1419[[#This Row],[QT_Men_2020]]*Table1419[[#This Row],[Age_Factor_Men_20]]</f>
        <v>0.12388263888888888</v>
      </c>
      <c r="S32" s="21">
        <f>Table1419[[#This Row],[AG_Time_Men_2020]]*1440</f>
        <v>178.39099999999999</v>
      </c>
      <c r="T32" s="19">
        <f>IF(BQs_over_time_AG20!$A32="","",SUMIF('2020_Road Weights'!$A:$A,"F",'2020_Road Weights'!$F:$F)/3600/24)</f>
        <v>9.3101851851851838E-2</v>
      </c>
      <c r="U32" s="20">
        <f>INDEX('2020_Road Weights'!$A:$CX,MATCH("F",'2020_Road Weights'!$A:$A,FALSE),MATCH(BQs_over_time_AG20!$A32,'2020_Road Weights'!$1:$1,FALSE))</f>
        <v>0.94820000000000004</v>
      </c>
      <c r="V32" s="19">
        <f>IFERROR(BQs_over_time_AG20!$T32/BQs_over_time_AG20!$U32,"")</f>
        <v>9.818798971931221E-2</v>
      </c>
      <c r="W32" s="19">
        <v>0.15972222222222221</v>
      </c>
      <c r="X32" s="21">
        <f>Table1419[[#This Row],[Qualifying_Time_Women_03_12]]*1440</f>
        <v>229.99999999999997</v>
      </c>
      <c r="Y32" s="20">
        <f>IFERROR(BQs_over_time_AG20!$V32/BQs_over_time_AG20!$W32,"")</f>
        <v>0.61474219650352002</v>
      </c>
      <c r="Z32" s="19">
        <f>Table1419[[#This Row],[Qualifying_Time_Women_03_12]]*Table1419[[#This Row],[Age_Factor_Women]]</f>
        <v>0.1514486111111111</v>
      </c>
      <c r="AA32" s="21">
        <f>Table1419[[#This Row],[AG_Time_Women_03_12]]*1440</f>
        <v>218.08599999999998</v>
      </c>
      <c r="AB32" s="19">
        <v>0.15625</v>
      </c>
      <c r="AC32" s="21">
        <f>Table1419[[#This Row],[Qualifying_Time_Women_13_19]]*1440</f>
        <v>225</v>
      </c>
      <c r="AD32" s="23">
        <f>IFERROR(BQs_over_time_AG20!$V32/BQs_over_time_AG20!$AB32,"")</f>
        <v>0.62840313420359817</v>
      </c>
      <c r="AE32" s="19">
        <f>Table1419[[#This Row],[Qualifying_Time_Women_13_19]]*Table1419[[#This Row],[Age_Factor_Women]]</f>
        <v>0.14815625000000002</v>
      </c>
      <c r="AF32" s="21">
        <f>Table1419[[#This Row],[AG_Time_Women_13_19]]*1440</f>
        <v>213.34500000000003</v>
      </c>
      <c r="AG32" s="19">
        <v>0.15277777777777776</v>
      </c>
      <c r="AH32" s="21">
        <f>Table1419[[#This Row],[Qualifying_Time_Women_2020]]*1440</f>
        <v>219.99999999999997</v>
      </c>
      <c r="AI32" s="24">
        <f>IFERROR(BQs_over_time_AG20!$V32/BQs_over_time_AG20!$AG32,"")</f>
        <v>0.64268502361731639</v>
      </c>
      <c r="AJ32" s="19">
        <f>Table1419[[#This Row],[Qualifying_Time_Women_2020]]*Table1419[[#This Row],[Age_Factor_Women]]</f>
        <v>0.14486388888888888</v>
      </c>
      <c r="AK32" s="25">
        <f>Table1419[[#This Row],[AG_Time_Women_2020]]*1440</f>
        <v>208.60399999999998</v>
      </c>
      <c r="AL32" s="26">
        <f t="shared" si="0"/>
        <v>0.6</v>
      </c>
      <c r="AM32" s="27">
        <f t="shared" si="1"/>
        <v>9.9999999999999978E-2</v>
      </c>
      <c r="AN32" s="27">
        <f t="shared" si="2"/>
        <v>0.10000000000000009</v>
      </c>
      <c r="AO32" s="27">
        <f t="shared" si="3"/>
        <v>9.9999999999999978E-2</v>
      </c>
      <c r="AP32" s="27">
        <f t="shared" si="4"/>
        <v>9.9999999999999978E-2</v>
      </c>
      <c r="AQ32" s="28">
        <v>0.68</v>
      </c>
      <c r="AR32" s="29">
        <f>Table1419[[#This Row],[Age Best_Men_20]]/Table1419[[#This Row],[Proposed_uniform_AG%]]</f>
        <v>0.1323187438784226</v>
      </c>
      <c r="AS32" s="29">
        <f t="shared" si="8"/>
        <v>0.13018676964753256</v>
      </c>
      <c r="AT32" s="29">
        <f>CEILING(Table1419[[#This Row],[Proposed_QT_M_Agegrouped]],"00:01:00")</f>
        <v>0.13055555555555556</v>
      </c>
      <c r="AU32" s="30">
        <f>Table1419[[#This Row],[Proposed_QT_M_Agegrouped_roundedup]]*1440</f>
        <v>188</v>
      </c>
      <c r="AV32" s="30">
        <f>Table1419[[#This Row],[Proposed_QT_M_Agegrouped_roundedup_min]]-Table1419[[#This Row],[QT_Men_2020_min]]</f>
        <v>-2</v>
      </c>
      <c r="AW32" s="40">
        <f>(Table1419[[#This Row],[Proposed_QT_M_Agegrouped_roundedup_min]]-Table1419[[#This Row],[QT_Men_2020_min]])/Table1419[[#This Row],[QT_Men_2020_min]]</f>
        <v>-1.0526315789473684E-2</v>
      </c>
      <c r="AX32" s="32">
        <f>Table1419[[#This Row],[Age Best_Women]]/Table1419[[#This Row],[Proposed_uniform_AG%]]</f>
        <v>0.14439410252840029</v>
      </c>
      <c r="AY32" s="29">
        <f>AVERAGE($AX$28:$AX$32)</f>
        <v>0.14221073547337931</v>
      </c>
      <c r="AZ32" s="33">
        <f>CEILING(Table1419[[#This Row],[Proposed_QT_W_Agegrouped]],"00:01:00")</f>
        <v>0.1423611111111111</v>
      </c>
      <c r="BA32" s="34">
        <f>Table1419[[#This Row],[Proposed_QT_W_Agegrouped_roundedup]]*1440</f>
        <v>205</v>
      </c>
      <c r="BB32" s="34">
        <f>Table1419[[#This Row],[Proposed_QT_W_Agegrouped_roundedup_min]]-Table1419[[#This Row],[Qualifying_Time_Women_2020_min]]</f>
        <v>-14.999999999999972</v>
      </c>
      <c r="BC32" s="41">
        <f>(Table1419[[#This Row],[Proposed_QT_W_Agegrouped_roundedup_min]]-Table1419[[#This Row],[Qualifying_Time_Women_2020_min]])/Table1419[[#This Row],[Qualifying_Time_Women_2020_min]]</f>
        <v>-6.8181818181818066E-2</v>
      </c>
      <c r="BD32" s="36" t="s">
        <v>75</v>
      </c>
      <c r="BE32" s="37">
        <f>Table1419[[#This Row],[Age Best_Men_20]]/Table1419[[#This Row],[Proposed_QT_M_Agegrouped_roundedup]]</f>
        <v>0.68918358513697553</v>
      </c>
      <c r="BF32" s="38">
        <f>Table1419[[#This Row],[Age Best_Women]]/Table1419[[#This Row],[Proposed_QT_W_Agegrouped_roundedup]]</f>
        <v>0.68971075705272966</v>
      </c>
    </row>
    <row r="33" spans="1:86" s="39" customFormat="1" x14ac:dyDescent="0.55000000000000004">
      <c r="A33" s="18">
        <v>45</v>
      </c>
      <c r="B33" s="19">
        <f>IF(BQs_over_time_AG20!$A33="","",SUMIF('2020_Road Weights'!$A:$A,"M",'2020_Road Weights'!$F:$F)/3600/24)</f>
        <v>8.4479166666666661E-2</v>
      </c>
      <c r="C33" s="20">
        <f>IF(A33="","",INDEX('2020_Road Weights'!$A:$CX,MATCH("M",'2020_Road Weights'!$A:$A,FALSE),MATCH(BQs_over_time_AG20!$A33,'2020_Road Weights'!$1:$1,FALSE)))</f>
        <v>0.93110000000000004</v>
      </c>
      <c r="D33" s="19">
        <f>IFERROR(BQs_over_time_AG20!$B33/BQs_over_time_AG20!$C33,"")</f>
        <v>9.0730497977302815E-2</v>
      </c>
      <c r="E33" s="19">
        <v>0.14583333333333334</v>
      </c>
      <c r="F33" s="21">
        <f>Table1419[[#This Row],[QT_Men_03_12]]*1440</f>
        <v>210</v>
      </c>
      <c r="G33" s="20">
        <f>IFERROR(BQs_over_time_AG20!$D33/BQs_over_time_AG20!$E33,"")</f>
        <v>0.62215198613007638</v>
      </c>
      <c r="H33" s="19">
        <f>IFERROR(Table1419[[#This Row],[QT_Men_03_12]]*Table1419[[#This Row],[Age_Factor_Men_20]],"")</f>
        <v>0.13578541666666669</v>
      </c>
      <c r="I33" s="21">
        <f>Table1419[[#This Row],[AG_Time_Men_03_12]]*1440</f>
        <v>195.53100000000003</v>
      </c>
      <c r="J33" s="19">
        <v>0.1423611111111111</v>
      </c>
      <c r="K33" s="21">
        <f>Table1419[[#This Row],[QT_Men_13_19]]*1440</f>
        <v>205</v>
      </c>
      <c r="L33" s="20">
        <f>IFERROR(BQs_over_time_AG20!$D33/BQs_over_time_AG20!$J33,"")</f>
        <v>0.63732642481617585</v>
      </c>
      <c r="M33" s="19">
        <f>Table1419[[#This Row],[QT_Men_13_19]]*Table1419[[#This Row],[Age_Factor_Men_20]]</f>
        <v>0.13255243055555554</v>
      </c>
      <c r="N33" s="21">
        <f>Table1419[[#This Row],[AG_Time_Men_13_19]]*1440</f>
        <v>190.87549999999999</v>
      </c>
      <c r="O33" s="19">
        <v>0.1388888888888889</v>
      </c>
      <c r="P33" s="21">
        <f>Table1419[[#This Row],[QT_Men_2020]]*1440</f>
        <v>200</v>
      </c>
      <c r="Q33" s="22">
        <f>IFERROR(BQs_over_time_AG20!$D33/BQs_over_time_AG20!$O33,"")</f>
        <v>0.65325958543658025</v>
      </c>
      <c r="R33" s="19">
        <f>Table1419[[#This Row],[QT_Men_2020]]*Table1419[[#This Row],[Age_Factor_Men_20]]</f>
        <v>0.12931944444444446</v>
      </c>
      <c r="S33" s="21">
        <f>Table1419[[#This Row],[AG_Time_Men_2020]]*1440</f>
        <v>186.22000000000003</v>
      </c>
      <c r="T33" s="19">
        <f>IF(BQs_over_time_AG20!$A33="","",SUMIF('2020_Road Weights'!$A:$A,"F",'2020_Road Weights'!$F:$F)/3600/24)</f>
        <v>9.3101851851851838E-2</v>
      </c>
      <c r="U33" s="20">
        <f>INDEX('2020_Road Weights'!$A:$CX,MATCH("F",'2020_Road Weights'!$A:$A,FALSE),MATCH(BQs_over_time_AG20!$A33,'2020_Road Weights'!$1:$1,FALSE))</f>
        <v>0.9395</v>
      </c>
      <c r="V33" s="19">
        <f>IFERROR(BQs_over_time_AG20!$T33/BQs_over_time_AG20!$U33,"")</f>
        <v>9.9097234541619839E-2</v>
      </c>
      <c r="W33" s="19">
        <v>0.16666666666666669</v>
      </c>
      <c r="X33" s="21">
        <f>Table1419[[#This Row],[Qualifying_Time_Women_03_12]]*1440</f>
        <v>240.00000000000003</v>
      </c>
      <c r="Y33" s="20">
        <f>IFERROR(BQs_over_time_AG20!$V33/BQs_over_time_AG20!$W33,"")</f>
        <v>0.59458340724971892</v>
      </c>
      <c r="Z33" s="19">
        <f>Table1419[[#This Row],[Qualifying_Time_Women_03_12]]*Table1419[[#This Row],[Age_Factor_Women]]</f>
        <v>0.15658333333333335</v>
      </c>
      <c r="AA33" s="21">
        <f>Table1419[[#This Row],[AG_Time_Women_03_12]]*1440</f>
        <v>225.48000000000002</v>
      </c>
      <c r="AB33" s="19">
        <v>0.16319444444444445</v>
      </c>
      <c r="AC33" s="21">
        <f>Table1419[[#This Row],[Qualifying_Time_Women_13_19]]*1440</f>
        <v>235</v>
      </c>
      <c r="AD33" s="23">
        <f>IFERROR(BQs_over_time_AG20!$V33/BQs_over_time_AG20!$AB33,"")</f>
        <v>0.60723411804226624</v>
      </c>
      <c r="AE33" s="19">
        <f>Table1419[[#This Row],[Qualifying_Time_Women_13_19]]*Table1419[[#This Row],[Age_Factor_Women]]</f>
        <v>0.15332118055555555</v>
      </c>
      <c r="AF33" s="21">
        <f>Table1419[[#This Row],[AG_Time_Women_13_19]]*1440</f>
        <v>220.7825</v>
      </c>
      <c r="AG33" s="19">
        <v>0.15972222222222224</v>
      </c>
      <c r="AH33" s="21">
        <f>Table1419[[#This Row],[Qualifying_Time_Women_2020]]*1440</f>
        <v>230.00000000000003</v>
      </c>
      <c r="AI33" s="24">
        <f>IFERROR(BQs_over_time_AG20!$V33/BQs_over_time_AG20!$AG33,"")</f>
        <v>0.62043485973883716</v>
      </c>
      <c r="AJ33" s="19">
        <f>Table1419[[#This Row],[Qualifying_Time_Women_2020]]*Table1419[[#This Row],[Age_Factor_Women]]</f>
        <v>0.1500590277777778</v>
      </c>
      <c r="AK33" s="25">
        <f>Table1419[[#This Row],[AG_Time_Women_2020]]*1440</f>
        <v>216.08500000000004</v>
      </c>
      <c r="AL33" s="26">
        <f t="shared" si="0"/>
        <v>0.6</v>
      </c>
      <c r="AM33" s="27">
        <f t="shared" si="1"/>
        <v>9.9999999999999978E-2</v>
      </c>
      <c r="AN33" s="27">
        <f t="shared" si="2"/>
        <v>0.10000000000000009</v>
      </c>
      <c r="AO33" s="27">
        <f t="shared" si="3"/>
        <v>9.9999999999999978E-2</v>
      </c>
      <c r="AP33" s="27">
        <f t="shared" si="4"/>
        <v>9.9999999999999978E-2</v>
      </c>
      <c r="AQ33" s="28">
        <v>0.68</v>
      </c>
      <c r="AR33" s="29">
        <f>Table1419[[#This Row],[Age Best_Men_20]]/Table1419[[#This Row],[Proposed_uniform_AG%]]</f>
        <v>0.13342720290779825</v>
      </c>
      <c r="AS33" s="29">
        <f>AVERAGE($AR$33:$AR$37)</f>
        <v>0.13570852894457824</v>
      </c>
      <c r="AT33" s="29">
        <f>CEILING(Table1419[[#This Row],[Proposed_QT_M_Agegrouped]],"00:01:00")</f>
        <v>0.13611111111111113</v>
      </c>
      <c r="AU33" s="30">
        <f>Table1419[[#This Row],[Proposed_QT_M_Agegrouped_roundedup]]*1440</f>
        <v>196.00000000000003</v>
      </c>
      <c r="AV33" s="30">
        <f>Table1419[[#This Row],[Proposed_QT_M_Agegrouped_roundedup_min]]-Table1419[[#This Row],[QT_Men_2020_min]]</f>
        <v>-3.9999999999999716</v>
      </c>
      <c r="AW33" s="40">
        <f>(Table1419[[#This Row],[Proposed_QT_M_Agegrouped_roundedup_min]]-Table1419[[#This Row],[QT_Men_2020_min]])/Table1419[[#This Row],[QT_Men_2020_min]]</f>
        <v>-1.9999999999999858E-2</v>
      </c>
      <c r="AX33" s="32">
        <f>Table1419[[#This Row],[Age Best_Women]]/Table1419[[#This Row],[Proposed_uniform_AG%]]</f>
        <v>0.14573122726708798</v>
      </c>
      <c r="AY33" s="29">
        <f>AVERAGE($AX$33:$AX$37)</f>
        <v>0.1489517505215055</v>
      </c>
      <c r="AZ33" s="33">
        <f>CEILING(Table1419[[#This Row],[Proposed_QT_W_Agegrouped]],"00:01:00")</f>
        <v>0.14930555555555555</v>
      </c>
      <c r="BA33" s="34">
        <f>Table1419[[#This Row],[Proposed_QT_W_Agegrouped_roundedup]]*1440</f>
        <v>215</v>
      </c>
      <c r="BB33" s="34">
        <f>Table1419[[#This Row],[Proposed_QT_W_Agegrouped_roundedup_min]]-Table1419[[#This Row],[Qualifying_Time_Women_2020_min]]</f>
        <v>-15.000000000000028</v>
      </c>
      <c r="BC33" s="41">
        <f>(Table1419[[#This Row],[Proposed_QT_W_Agegrouped_roundedup_min]]-Table1419[[#This Row],[Qualifying_Time_Women_2020_min]])/Table1419[[#This Row],[Qualifying_Time_Women_2020_min]]</f>
        <v>-6.5217391304347935E-2</v>
      </c>
      <c r="BD33" s="36" t="s">
        <v>76</v>
      </c>
      <c r="BE33" s="37">
        <f>Table1419[[#This Row],[Age Best_Men_20]]/Table1419[[#This Row],[Proposed_QT_M_Agegrouped_roundedup]]</f>
        <v>0.66659141371079611</v>
      </c>
      <c r="BF33" s="38">
        <f>Table1419[[#This Row],[Age Best_Women]]/Table1419[[#This Row],[Proposed_QT_W_Agegrouped_roundedup]]</f>
        <v>0.66372101274387241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</row>
    <row r="34" spans="1:86" x14ac:dyDescent="0.55000000000000004">
      <c r="A34" s="18">
        <v>46</v>
      </c>
      <c r="B34" s="19">
        <f>IF(BQs_over_time_AG20!$A34="","",SUMIF('2020_Road Weights'!$A:$A,"M",'2020_Road Weights'!$F:$F)/3600/24)</f>
        <v>8.4479166666666661E-2</v>
      </c>
      <c r="C34" s="20">
        <f>IF(A34="","",INDEX('2020_Road Weights'!$A:$CX,MATCH("M",'2020_Road Weights'!$A:$A,FALSE),MATCH(BQs_over_time_AG20!$A34,'2020_Road Weights'!$1:$1,FALSE)))</f>
        <v>0.9234</v>
      </c>
      <c r="D34" s="19">
        <f>IFERROR(BQs_over_time_AG20!$B34/BQs_over_time_AG20!$C34,"")</f>
        <v>9.1487076745361343E-2</v>
      </c>
      <c r="E34" s="19">
        <v>0.14583333333333334</v>
      </c>
      <c r="F34" s="21">
        <f>Table1419[[#This Row],[QT_Men_03_12]]*1440</f>
        <v>210</v>
      </c>
      <c r="G34" s="20">
        <f>IFERROR(BQs_over_time_AG20!$D34/BQs_over_time_AG20!$E34,"")</f>
        <v>0.62733995482533489</v>
      </c>
      <c r="H34" s="19">
        <f>IFERROR(Table1419[[#This Row],[QT_Men_03_12]]*Table1419[[#This Row],[Age_Factor_Men_20]],"")</f>
        <v>0.13466250000000002</v>
      </c>
      <c r="I34" s="21">
        <f>Table1419[[#This Row],[AG_Time_Men_03_12]]*1440</f>
        <v>193.91400000000002</v>
      </c>
      <c r="J34" s="19">
        <v>0.1423611111111111</v>
      </c>
      <c r="K34" s="21">
        <f>Table1419[[#This Row],[QT_Men_13_19]]*1440</f>
        <v>205</v>
      </c>
      <c r="L34" s="20">
        <f>IFERROR(BQs_over_time_AG20!$D34/BQs_over_time_AG20!$J34,"")</f>
        <v>0.64264092933326999</v>
      </c>
      <c r="M34" s="19">
        <f>Table1419[[#This Row],[QT_Men_13_19]]*Table1419[[#This Row],[Age_Factor_Men_20]]</f>
        <v>0.13145625</v>
      </c>
      <c r="N34" s="21">
        <f>Table1419[[#This Row],[AG_Time_Men_13_19]]*1440</f>
        <v>189.297</v>
      </c>
      <c r="O34" s="19">
        <v>0.1388888888888889</v>
      </c>
      <c r="P34" s="21">
        <f>Table1419[[#This Row],[QT_Men_2020]]*1440</f>
        <v>200</v>
      </c>
      <c r="Q34" s="22">
        <f>IFERROR(BQs_over_time_AG20!$D34/BQs_over_time_AG20!$O34,"")</f>
        <v>0.65870695256660161</v>
      </c>
      <c r="R34" s="19">
        <f>Table1419[[#This Row],[QT_Men_2020]]*Table1419[[#This Row],[Age_Factor_Men_20]]</f>
        <v>0.12825</v>
      </c>
      <c r="S34" s="21">
        <f>Table1419[[#This Row],[AG_Time_Men_2020]]*1440</f>
        <v>184.68</v>
      </c>
      <c r="T34" s="19">
        <f>IF(BQs_over_time_AG20!$A34="","",SUMIF('2020_Road Weights'!$A:$A,"F",'2020_Road Weights'!$F:$F)/3600/24)</f>
        <v>9.3101851851851838E-2</v>
      </c>
      <c r="U34" s="20">
        <f>INDEX('2020_Road Weights'!$A:$CX,MATCH("F",'2020_Road Weights'!$A:$A,FALSE),MATCH(BQs_over_time_AG20!$A34,'2020_Road Weights'!$1:$1,FALSE))</f>
        <v>0.93010000000000004</v>
      </c>
      <c r="V34" s="19">
        <f>IFERROR(BQs_over_time_AG20!$T34/BQs_over_time_AG20!$U34,"")</f>
        <v>0.10009875481330162</v>
      </c>
      <c r="W34" s="19">
        <v>0.16666666666666669</v>
      </c>
      <c r="X34" s="21">
        <f>Table1419[[#This Row],[Qualifying_Time_Women_03_12]]*1440</f>
        <v>240.00000000000003</v>
      </c>
      <c r="Y34" s="20">
        <f>IFERROR(BQs_over_time_AG20!$V34/BQs_over_time_AG20!$W34,"")</f>
        <v>0.60059252887980963</v>
      </c>
      <c r="Z34" s="19">
        <f>Table1419[[#This Row],[Qualifying_Time_Women_03_12]]*Table1419[[#This Row],[Age_Factor_Women]]</f>
        <v>0.15501666666666669</v>
      </c>
      <c r="AA34" s="21">
        <f>Table1419[[#This Row],[AG_Time_Women_03_12]]*1440</f>
        <v>223.22400000000005</v>
      </c>
      <c r="AB34" s="19">
        <v>0.16319444444444445</v>
      </c>
      <c r="AC34" s="21">
        <f>Table1419[[#This Row],[Qualifying_Time_Women_13_19]]*1440</f>
        <v>235</v>
      </c>
      <c r="AD34" s="23">
        <f>IFERROR(BQs_over_time_AG20!$V34/BQs_over_time_AG20!$AB34,"")</f>
        <v>0.61337109332406092</v>
      </c>
      <c r="AE34" s="19">
        <f>Table1419[[#This Row],[Qualifying_Time_Women_13_19]]*Table1419[[#This Row],[Age_Factor_Women]]</f>
        <v>0.1517871527777778</v>
      </c>
      <c r="AF34" s="21">
        <f>Table1419[[#This Row],[AG_Time_Women_13_19]]*1440</f>
        <v>218.57350000000002</v>
      </c>
      <c r="AG34" s="19">
        <v>0.15972222222222224</v>
      </c>
      <c r="AH34" s="21">
        <f>Table1419[[#This Row],[Qualifying_Time_Women_2020]]*1440</f>
        <v>230.00000000000003</v>
      </c>
      <c r="AI34" s="24">
        <f>IFERROR(BQs_over_time_AG20!$V34/BQs_over_time_AG20!$AG34,"")</f>
        <v>0.62670524752675794</v>
      </c>
      <c r="AJ34" s="19">
        <f>Table1419[[#This Row],[Qualifying_Time_Women_2020]]*Table1419[[#This Row],[Age_Factor_Women]]</f>
        <v>0.1485576388888889</v>
      </c>
      <c r="AK34" s="25">
        <f>Table1419[[#This Row],[AG_Time_Women_2020]]*1440</f>
        <v>213.923</v>
      </c>
      <c r="AL34" s="26">
        <f t="shared" si="0"/>
        <v>0.6</v>
      </c>
      <c r="AM34" s="27">
        <f t="shared" si="1"/>
        <v>9.9999999999999978E-2</v>
      </c>
      <c r="AN34" s="27">
        <f t="shared" si="2"/>
        <v>0.10000000000000009</v>
      </c>
      <c r="AO34" s="27">
        <f t="shared" si="3"/>
        <v>9.9999999999999978E-2</v>
      </c>
      <c r="AP34" s="27">
        <f t="shared" si="4"/>
        <v>9.9999999999999978E-2</v>
      </c>
      <c r="AQ34" s="28">
        <v>0.68</v>
      </c>
      <c r="AR34" s="29">
        <f>Table1419[[#This Row],[Age Best_Men_20]]/Table1419[[#This Row],[Proposed_uniform_AG%]]</f>
        <v>0.13453981874317844</v>
      </c>
      <c r="AS34" s="29">
        <f t="shared" ref="AS34:AS37" si="9">AVERAGE($AR$33:$AR$37)</f>
        <v>0.13570852894457824</v>
      </c>
      <c r="AT34" s="29">
        <f>CEILING(Table1419[[#This Row],[Proposed_QT_M_Agegrouped]],"00:01:00")</f>
        <v>0.13611111111111113</v>
      </c>
      <c r="AU34" s="30">
        <f>Table1419[[#This Row],[Proposed_QT_M_Agegrouped_roundedup]]*1440</f>
        <v>196.00000000000003</v>
      </c>
      <c r="AV34" s="30">
        <f>Table1419[[#This Row],[Proposed_QT_M_Agegrouped_roundedup_min]]-Table1419[[#This Row],[QT_Men_2020_min]]</f>
        <v>-3.9999999999999716</v>
      </c>
      <c r="AW34" s="40">
        <f>(Table1419[[#This Row],[Proposed_QT_M_Agegrouped_roundedup_min]]-Table1419[[#This Row],[QT_Men_2020_min]])/Table1419[[#This Row],[QT_Men_2020_min]]</f>
        <v>-1.9999999999999858E-2</v>
      </c>
      <c r="AX34" s="32">
        <f>Table1419[[#This Row],[Age Best_Women]]/Table1419[[#This Row],[Proposed_uniform_AG%]]</f>
        <v>0.14720405119603178</v>
      </c>
      <c r="AY34" s="29">
        <f>AVERAGE($AX$33:$AX$37)</f>
        <v>0.1489517505215055</v>
      </c>
      <c r="AZ34" s="33">
        <f>CEILING(Table1419[[#This Row],[Proposed_QT_W_Agegrouped]],"00:01:00")</f>
        <v>0.14930555555555555</v>
      </c>
      <c r="BA34" s="34">
        <f>Table1419[[#This Row],[Proposed_QT_W_Agegrouped_roundedup]]*1440</f>
        <v>215</v>
      </c>
      <c r="BB34" s="34">
        <f>Table1419[[#This Row],[Proposed_QT_W_Agegrouped_roundedup_min]]-Table1419[[#This Row],[Qualifying_Time_Women_2020_min]]</f>
        <v>-15.000000000000028</v>
      </c>
      <c r="BC34" s="41">
        <f>(Table1419[[#This Row],[Proposed_QT_W_Agegrouped_roundedup_min]]-Table1419[[#This Row],[Qualifying_Time_Women_2020_min]])/Table1419[[#This Row],[Qualifying_Time_Women_2020_min]]</f>
        <v>-6.5217391304347935E-2</v>
      </c>
      <c r="BD34" s="36" t="s">
        <v>76</v>
      </c>
      <c r="BE34" s="37">
        <f>Table1419[[#This Row],[Age Best_Men_20]]/Table1419[[#This Row],[Proposed_QT_M_Agegrouped_roundedup]]</f>
        <v>0.67214995159857305</v>
      </c>
      <c r="BF34" s="38">
        <f>Table1419[[#This Row],[Age Best_Women]]/Table1419[[#This Row],[Proposed_QT_W_Agegrouped_roundedup]]</f>
        <v>0.67042886944722946</v>
      </c>
    </row>
    <row r="35" spans="1:86" x14ac:dyDescent="0.55000000000000004">
      <c r="A35" s="18">
        <v>47</v>
      </c>
      <c r="B35" s="19">
        <f>IF(BQs_over_time_AG20!$A35="","",SUMIF('2020_Road Weights'!$A:$A,"M",'2020_Road Weights'!$F:$F)/3600/24)</f>
        <v>8.4479166666666661E-2</v>
      </c>
      <c r="C35" s="20">
        <f>IF(A35="","",INDEX('2020_Road Weights'!$A:$CX,MATCH("M",'2020_Road Weights'!$A:$A,FALSE),MATCH(BQs_over_time_AG20!$A35,'2020_Road Weights'!$1:$1,FALSE)))</f>
        <v>0.91559999999999997</v>
      </c>
      <c r="D35" s="19">
        <f>IFERROR(BQs_over_time_AG20!$B35/BQs_over_time_AG20!$C35,"")</f>
        <v>9.226645551186835E-2</v>
      </c>
      <c r="E35" s="19">
        <v>0.14583333333333334</v>
      </c>
      <c r="F35" s="21">
        <f>Table1419[[#This Row],[QT_Men_03_12]]*1440</f>
        <v>210</v>
      </c>
      <c r="G35" s="20">
        <f>IFERROR(BQs_over_time_AG20!$D35/BQs_over_time_AG20!$E35,"")</f>
        <v>0.63268426636709718</v>
      </c>
      <c r="H35" s="19">
        <f>IFERROR(Table1419[[#This Row],[QT_Men_03_12]]*Table1419[[#This Row],[Age_Factor_Men_20]],"")</f>
        <v>0.133525</v>
      </c>
      <c r="I35" s="21">
        <f>Table1419[[#This Row],[AG_Time_Men_03_12]]*1440</f>
        <v>192.27600000000001</v>
      </c>
      <c r="J35" s="19">
        <v>0.14236111111111099</v>
      </c>
      <c r="K35" s="21">
        <f>Table1419[[#This Row],[QT_Men_13_19]]*1440</f>
        <v>204.99999999999983</v>
      </c>
      <c r="L35" s="20">
        <f>IFERROR(BQs_over_time_AG20!$D35/BQs_over_time_AG20!$J35,"")</f>
        <v>0.648115589937027</v>
      </c>
      <c r="M35" s="19">
        <f>Table1419[[#This Row],[QT_Men_13_19]]*Table1419[[#This Row],[Age_Factor_Men_20]]</f>
        <v>0.13034583333333322</v>
      </c>
      <c r="N35" s="21">
        <f>Table1419[[#This Row],[AG_Time_Men_13_19]]*1440</f>
        <v>187.69799999999984</v>
      </c>
      <c r="O35" s="19">
        <v>0.1388888888888889</v>
      </c>
      <c r="P35" s="21">
        <f>Table1419[[#This Row],[QT_Men_2020]]*1440</f>
        <v>200</v>
      </c>
      <c r="Q35" s="22">
        <f>IFERROR(BQs_over_time_AG20!$D35/BQs_over_time_AG20!$O35,"")</f>
        <v>0.6643184796854521</v>
      </c>
      <c r="R35" s="19">
        <f>Table1419[[#This Row],[QT_Men_2020]]*Table1419[[#This Row],[Age_Factor_Men_20]]</f>
        <v>0.12716666666666668</v>
      </c>
      <c r="S35" s="21">
        <f>Table1419[[#This Row],[AG_Time_Men_2020]]*1440</f>
        <v>183.12</v>
      </c>
      <c r="T35" s="19">
        <f>IF(BQs_over_time_AG20!$A35="","",SUMIF('2020_Road Weights'!$A:$A,"F",'2020_Road Weights'!$F:$F)/3600/24)</f>
        <v>9.3101851851851838E-2</v>
      </c>
      <c r="U35" s="20">
        <f>INDEX('2020_Road Weights'!$A:$CX,MATCH("F",'2020_Road Weights'!$A:$A,FALSE),MATCH(BQs_over_time_AG20!$A35,'2020_Road Weights'!$1:$1,FALSE))</f>
        <v>0.92</v>
      </c>
      <c r="V35" s="19">
        <f>IFERROR(BQs_over_time_AG20!$T35/BQs_over_time_AG20!$U35,"")</f>
        <v>0.10119766505636069</v>
      </c>
      <c r="W35" s="19">
        <v>0.16666666666666669</v>
      </c>
      <c r="X35" s="21">
        <f>Table1419[[#This Row],[Qualifying_Time_Women_03_12]]*1440</f>
        <v>240.00000000000003</v>
      </c>
      <c r="Y35" s="20">
        <f>IFERROR(BQs_over_time_AG20!$V35/BQs_over_time_AG20!$W35,"")</f>
        <v>0.60718599033816401</v>
      </c>
      <c r="Z35" s="19">
        <f>Table1419[[#This Row],[Qualifying_Time_Women_03_12]]*Table1419[[#This Row],[Age_Factor_Women]]</f>
        <v>0.15333333333333335</v>
      </c>
      <c r="AA35" s="21">
        <f>Table1419[[#This Row],[AG_Time_Women_03_12]]*1440</f>
        <v>220.8</v>
      </c>
      <c r="AB35" s="19">
        <v>0.163194444444444</v>
      </c>
      <c r="AC35" s="21">
        <f>Table1419[[#This Row],[Qualifying_Time_Women_13_19]]*1440</f>
        <v>234.99999999999937</v>
      </c>
      <c r="AD35" s="23">
        <f>IFERROR(BQs_over_time_AG20!$V35/BQs_over_time_AG20!$AB35,"")</f>
        <v>0.62010484119642462</v>
      </c>
      <c r="AE35" s="19">
        <f>Table1419[[#This Row],[Qualifying_Time_Women_13_19]]*Table1419[[#This Row],[Age_Factor_Women]]</f>
        <v>0.15013888888888849</v>
      </c>
      <c r="AF35" s="21">
        <f>Table1419[[#This Row],[AG_Time_Women_13_19]]*1440</f>
        <v>216.19999999999942</v>
      </c>
      <c r="AG35" s="19">
        <v>0.15972222222222224</v>
      </c>
      <c r="AH35" s="21">
        <f>Table1419[[#This Row],[Qualifying_Time_Women_2020]]*1440</f>
        <v>230.00000000000003</v>
      </c>
      <c r="AI35" s="24">
        <f>IFERROR(BQs_over_time_AG20!$V35/BQs_over_time_AG20!$AG35,"")</f>
        <v>0.63358538122243202</v>
      </c>
      <c r="AJ35" s="19">
        <f>Table1419[[#This Row],[Qualifying_Time_Women_2020]]*Table1419[[#This Row],[Age_Factor_Women]]</f>
        <v>0.14694444444444446</v>
      </c>
      <c r="AK35" s="25">
        <f>Table1419[[#This Row],[AG_Time_Women_2020]]*1440</f>
        <v>211.60000000000002</v>
      </c>
      <c r="AL35" s="26">
        <f t="shared" si="0"/>
        <v>0.6</v>
      </c>
      <c r="AM35" s="27">
        <f t="shared" si="1"/>
        <v>9.9999999999999978E-2</v>
      </c>
      <c r="AN35" s="27">
        <f t="shared" si="2"/>
        <v>0.10000000000000009</v>
      </c>
      <c r="AO35" s="27">
        <f t="shared" si="3"/>
        <v>9.9999999999999978E-2</v>
      </c>
      <c r="AP35" s="27">
        <f t="shared" si="4"/>
        <v>9.9999999999999978E-2</v>
      </c>
      <c r="AQ35" s="28">
        <v>0.68</v>
      </c>
      <c r="AR35" s="29">
        <f>Table1419[[#This Row],[Age Best_Men_20]]/Table1419[[#This Row],[Proposed_uniform_AG%]]</f>
        <v>0.13568596398804167</v>
      </c>
      <c r="AS35" s="29">
        <f t="shared" si="9"/>
        <v>0.13570852894457824</v>
      </c>
      <c r="AT35" s="29">
        <f>CEILING(Table1419[[#This Row],[Proposed_QT_M_Agegrouped]],"00:01:00")</f>
        <v>0.13611111111111113</v>
      </c>
      <c r="AU35" s="30">
        <f>Table1419[[#This Row],[Proposed_QT_M_Agegrouped_roundedup]]*1440</f>
        <v>196.00000000000003</v>
      </c>
      <c r="AV35" s="30">
        <f>Table1419[[#This Row],[Proposed_QT_M_Agegrouped_roundedup_min]]-Table1419[[#This Row],[QT_Men_2020_min]]</f>
        <v>-3.9999999999999716</v>
      </c>
      <c r="AW35" s="40">
        <f>(Table1419[[#This Row],[Proposed_QT_M_Agegrouped_roundedup_min]]-Table1419[[#This Row],[QT_Men_2020_min]])/Table1419[[#This Row],[QT_Men_2020_min]]</f>
        <v>-1.9999999999999858E-2</v>
      </c>
      <c r="AX35" s="32">
        <f>Table1419[[#This Row],[Age Best_Women]]/Table1419[[#This Row],[Proposed_uniform_AG%]]</f>
        <v>0.14882009567111865</v>
      </c>
      <c r="AY35" s="29">
        <f>AVERAGE($AX$33:$AX$37)</f>
        <v>0.1489517505215055</v>
      </c>
      <c r="AZ35" s="33">
        <f>CEILING(Table1419[[#This Row],[Proposed_QT_W_Agegrouped]],"00:01:00")</f>
        <v>0.14930555555555555</v>
      </c>
      <c r="BA35" s="34">
        <f>Table1419[[#This Row],[Proposed_QT_W_Agegrouped_roundedup]]*1440</f>
        <v>215</v>
      </c>
      <c r="BB35" s="34">
        <f>Table1419[[#This Row],[Proposed_QT_W_Agegrouped_roundedup_min]]-Table1419[[#This Row],[Qualifying_Time_Women_2020_min]]</f>
        <v>-15.000000000000028</v>
      </c>
      <c r="BC35" s="41">
        <f>(Table1419[[#This Row],[Proposed_QT_W_Agegrouped_roundedup_min]]-Table1419[[#This Row],[Qualifying_Time_Women_2020_min]])/Table1419[[#This Row],[Qualifying_Time_Women_2020_min]]</f>
        <v>-6.5217391304347935E-2</v>
      </c>
      <c r="BD35" s="36" t="s">
        <v>76</v>
      </c>
      <c r="BE35" s="37">
        <f>Table1419[[#This Row],[Age Best_Men_20]]/Table1419[[#This Row],[Proposed_QT_M_Agegrouped_roundedup]]</f>
        <v>0.67787599967903267</v>
      </c>
      <c r="BF35" s="38">
        <f>Table1419[[#This Row],[Age Best_Women]]/Table1419[[#This Row],[Proposed_QT_W_Agegrouped_roundedup]]</f>
        <v>0.67778901247050882</v>
      </c>
    </row>
    <row r="36" spans="1:86" x14ac:dyDescent="0.55000000000000004">
      <c r="A36" s="18">
        <v>48</v>
      </c>
      <c r="B36" s="19">
        <f>IF(BQs_over_time_AG20!$A36="","",SUMIF('2020_Road Weights'!$A:$A,"M",'2020_Road Weights'!$F:$F)/3600/24)</f>
        <v>8.4479166666666661E-2</v>
      </c>
      <c r="C36" s="20">
        <f>IF(A36="","",INDEX('2020_Road Weights'!$A:$CX,MATCH("M",'2020_Road Weights'!$A:$A,FALSE),MATCH(BQs_over_time_AG20!$A36,'2020_Road Weights'!$1:$1,FALSE)))</f>
        <v>0.90780000000000005</v>
      </c>
      <c r="D36" s="19">
        <f>IFERROR(BQs_over_time_AG20!$B36/BQs_over_time_AG20!$C36,"")</f>
        <v>9.3059227436292857E-2</v>
      </c>
      <c r="E36" s="19">
        <v>0.14583333333333334</v>
      </c>
      <c r="F36" s="21">
        <f>Table1419[[#This Row],[QT_Men_03_12]]*1440</f>
        <v>210</v>
      </c>
      <c r="G36" s="20">
        <f>IFERROR(BQs_over_time_AG20!$D36/BQs_over_time_AG20!$E36,"")</f>
        <v>0.63812041670600816</v>
      </c>
      <c r="H36" s="19">
        <f>IFERROR(Table1419[[#This Row],[QT_Men_03_12]]*Table1419[[#This Row],[Age_Factor_Men_20]],"")</f>
        <v>0.13238750000000002</v>
      </c>
      <c r="I36" s="21">
        <f>Table1419[[#This Row],[AG_Time_Men_03_12]]*1440</f>
        <v>190.63800000000003</v>
      </c>
      <c r="J36" s="19">
        <v>0.14236111111111099</v>
      </c>
      <c r="K36" s="21">
        <f>Table1419[[#This Row],[QT_Men_13_19]]*1440</f>
        <v>204.99999999999983</v>
      </c>
      <c r="L36" s="20">
        <f>IFERROR(BQs_over_time_AG20!$D36/BQs_over_time_AG20!$J36,"")</f>
        <v>0.65368432930859421</v>
      </c>
      <c r="M36" s="19">
        <f>Table1419[[#This Row],[QT_Men_13_19]]*Table1419[[#This Row],[Age_Factor_Men_20]]</f>
        <v>0.12923541666666657</v>
      </c>
      <c r="N36" s="21">
        <f>Table1419[[#This Row],[AG_Time_Men_13_19]]*1440</f>
        <v>186.09899999999988</v>
      </c>
      <c r="O36" s="19">
        <v>0.1388888888888889</v>
      </c>
      <c r="P36" s="21">
        <f>Table1419[[#This Row],[QT_Men_2020]]*1440</f>
        <v>200</v>
      </c>
      <c r="Q36" s="22">
        <f>IFERROR(BQs_over_time_AG20!$D36/BQs_over_time_AG20!$O36,"")</f>
        <v>0.67002643754130853</v>
      </c>
      <c r="R36" s="19">
        <f>Table1419[[#This Row],[QT_Men_2020]]*Table1419[[#This Row],[Age_Factor_Men_20]]</f>
        <v>0.12608333333333335</v>
      </c>
      <c r="S36" s="21">
        <f>Table1419[[#This Row],[AG_Time_Men_2020]]*1440</f>
        <v>181.56000000000003</v>
      </c>
      <c r="T36" s="19">
        <f>IF(BQs_over_time_AG20!$A36="","",SUMIF('2020_Road Weights'!$A:$A,"F",'2020_Road Weights'!$F:$F)/3600/24)</f>
        <v>9.3101851851851838E-2</v>
      </c>
      <c r="U36" s="20">
        <f>INDEX('2020_Road Weights'!$A:$CX,MATCH("F",'2020_Road Weights'!$A:$A,FALSE),MATCH(BQs_over_time_AG20!$A36,'2020_Road Weights'!$1:$1,FALSE))</f>
        <v>0.9093</v>
      </c>
      <c r="V36" s="19">
        <f>IFERROR(BQs_over_time_AG20!$T36/BQs_over_time_AG20!$U36,"")</f>
        <v>0.10238848768486951</v>
      </c>
      <c r="W36" s="19">
        <v>0.16666666666666669</v>
      </c>
      <c r="X36" s="21">
        <f>Table1419[[#This Row],[Qualifying_Time_Women_03_12]]*1440</f>
        <v>240.00000000000003</v>
      </c>
      <c r="Y36" s="20">
        <f>IFERROR(BQs_over_time_AG20!$V36/BQs_over_time_AG20!$W36,"")</f>
        <v>0.61433092610921702</v>
      </c>
      <c r="Z36" s="19">
        <f>Table1419[[#This Row],[Qualifying_Time_Women_03_12]]*Table1419[[#This Row],[Age_Factor_Women]]</f>
        <v>0.15155000000000002</v>
      </c>
      <c r="AA36" s="21">
        <f>Table1419[[#This Row],[AG_Time_Women_03_12]]*1440</f>
        <v>218.23200000000003</v>
      </c>
      <c r="AB36" s="19">
        <v>0.163194444444444</v>
      </c>
      <c r="AC36" s="21">
        <f>Table1419[[#This Row],[Qualifying_Time_Women_13_19]]*1440</f>
        <v>234.99999999999937</v>
      </c>
      <c r="AD36" s="23">
        <f>IFERROR(BQs_over_time_AG20!$V36/BQs_over_time_AG20!$AB36,"")</f>
        <v>0.62740179687749997</v>
      </c>
      <c r="AE36" s="19">
        <f>Table1419[[#This Row],[Qualifying_Time_Women_13_19]]*Table1419[[#This Row],[Age_Factor_Women]]</f>
        <v>0.14839270833333293</v>
      </c>
      <c r="AF36" s="21">
        <f>Table1419[[#This Row],[AG_Time_Women_13_19]]*1440</f>
        <v>213.68549999999942</v>
      </c>
      <c r="AG36" s="19">
        <v>0.15972222222222224</v>
      </c>
      <c r="AH36" s="21">
        <f>Table1419[[#This Row],[Qualifying_Time_Women_2020]]*1440</f>
        <v>230.00000000000003</v>
      </c>
      <c r="AI36" s="24">
        <f>IFERROR(BQs_over_time_AG20!$V36/BQs_over_time_AG20!$AG36,"")</f>
        <v>0.6410409663748351</v>
      </c>
      <c r="AJ36" s="19">
        <f>Table1419[[#This Row],[Qualifying_Time_Women_2020]]*Table1419[[#This Row],[Age_Factor_Women]]</f>
        <v>0.14523541666666667</v>
      </c>
      <c r="AK36" s="25">
        <f>Table1419[[#This Row],[AG_Time_Women_2020]]*1440</f>
        <v>209.13900000000001</v>
      </c>
      <c r="AL36" s="26">
        <f t="shared" si="0"/>
        <v>0.6</v>
      </c>
      <c r="AM36" s="27">
        <f t="shared" si="1"/>
        <v>9.9999999999999978E-2</v>
      </c>
      <c r="AN36" s="27">
        <f t="shared" si="2"/>
        <v>0.10000000000000009</v>
      </c>
      <c r="AO36" s="27">
        <f t="shared" si="3"/>
        <v>9.9999999999999978E-2</v>
      </c>
      <c r="AP36" s="27">
        <f t="shared" si="4"/>
        <v>9.9999999999999978E-2</v>
      </c>
      <c r="AQ36" s="28">
        <v>0.68</v>
      </c>
      <c r="AR36" s="29">
        <f>Table1419[[#This Row],[Age Best_Men_20]]/Table1419[[#This Row],[Proposed_uniform_AG%]]</f>
        <v>0.13685180505337183</v>
      </c>
      <c r="AS36" s="29">
        <f t="shared" si="9"/>
        <v>0.13570852894457824</v>
      </c>
      <c r="AT36" s="29">
        <f>CEILING(Table1419[[#This Row],[Proposed_QT_M_Agegrouped]],"00:01:00")</f>
        <v>0.13611111111111113</v>
      </c>
      <c r="AU36" s="30">
        <f>Table1419[[#This Row],[Proposed_QT_M_Agegrouped_roundedup]]*1440</f>
        <v>196.00000000000003</v>
      </c>
      <c r="AV36" s="30">
        <f>Table1419[[#This Row],[Proposed_QT_M_Agegrouped_roundedup_min]]-Table1419[[#This Row],[QT_Men_2020_min]]</f>
        <v>-3.9999999999999716</v>
      </c>
      <c r="AW36" s="40">
        <f>(Table1419[[#This Row],[Proposed_QT_M_Agegrouped_roundedup_min]]-Table1419[[#This Row],[QT_Men_2020_min]])/Table1419[[#This Row],[QT_Men_2020_min]]</f>
        <v>-1.9999999999999858E-2</v>
      </c>
      <c r="AX36" s="32">
        <f>Table1419[[#This Row],[Age Best_Women]]/Table1419[[#This Row],[Proposed_uniform_AG%]]</f>
        <v>0.15057130541892574</v>
      </c>
      <c r="AY36" s="29">
        <f>AVERAGE($AX$33:$AX$37)</f>
        <v>0.1489517505215055</v>
      </c>
      <c r="AZ36" s="33">
        <f>CEILING(Table1419[[#This Row],[Proposed_QT_W_Agegrouped]],"00:01:00")</f>
        <v>0.14930555555555555</v>
      </c>
      <c r="BA36" s="34">
        <f>Table1419[[#This Row],[Proposed_QT_W_Agegrouped_roundedup]]*1440</f>
        <v>215</v>
      </c>
      <c r="BB36" s="34">
        <f>Table1419[[#This Row],[Proposed_QT_W_Agegrouped_roundedup_min]]-Table1419[[#This Row],[Qualifying_Time_Women_2020_min]]</f>
        <v>-15.000000000000028</v>
      </c>
      <c r="BC36" s="41">
        <f>(Table1419[[#This Row],[Proposed_QT_W_Agegrouped_roundedup_min]]-Table1419[[#This Row],[Qualifying_Time_Women_2020_min]])/Table1419[[#This Row],[Qualifying_Time_Women_2020_min]]</f>
        <v>-6.5217391304347935E-2</v>
      </c>
      <c r="BD36" s="36" t="s">
        <v>76</v>
      </c>
      <c r="BE36" s="37">
        <f>Table1419[[#This Row],[Age Best_Men_20]]/Table1419[[#This Row],[Proposed_QT_M_Agegrouped_roundedup]]</f>
        <v>0.68370044647072292</v>
      </c>
      <c r="BF36" s="38">
        <f>Table1419[[#This Row],[Age Best_Women]]/Table1419[[#This Row],[Proposed_QT_W_Agegrouped_roundedup]]</f>
        <v>0.68576475472656784</v>
      </c>
    </row>
    <row r="37" spans="1:86" x14ac:dyDescent="0.55000000000000004">
      <c r="A37" s="18">
        <v>49</v>
      </c>
      <c r="B37" s="19">
        <f>IF(BQs_over_time_AG20!$A37="","",SUMIF('2020_Road Weights'!$A:$A,"M",'2020_Road Weights'!$F:$F)/3600/24)</f>
        <v>8.4479166666666661E-2</v>
      </c>
      <c r="C37" s="20">
        <f>IF(A37="","",INDEX('2020_Road Weights'!$A:$CX,MATCH("M",'2020_Road Weights'!$A:$A,FALSE),MATCH(BQs_over_time_AG20!$A37,'2020_Road Weights'!$1:$1,FALSE)))</f>
        <v>0.9</v>
      </c>
      <c r="D37" s="19">
        <f>IFERROR(BQs_over_time_AG20!$B37/BQs_over_time_AG20!$C37,"")</f>
        <v>9.3865740740740736E-2</v>
      </c>
      <c r="E37" s="19">
        <v>0.14583333333333334</v>
      </c>
      <c r="F37" s="21">
        <f>Table1419[[#This Row],[QT_Men_03_12]]*1440</f>
        <v>210</v>
      </c>
      <c r="G37" s="20">
        <f>IFERROR(BQs_over_time_AG20!$D37/BQs_over_time_AG20!$E37,"")</f>
        <v>0.64365079365079358</v>
      </c>
      <c r="H37" s="19">
        <f>IFERROR(Table1419[[#This Row],[QT_Men_03_12]]*Table1419[[#This Row],[Age_Factor_Men_20]],"")</f>
        <v>0.13125000000000001</v>
      </c>
      <c r="I37" s="21">
        <f>Table1419[[#This Row],[AG_Time_Men_03_12]]*1440</f>
        <v>189</v>
      </c>
      <c r="J37" s="19">
        <v>0.14236111111111099</v>
      </c>
      <c r="K37" s="21">
        <f>Table1419[[#This Row],[QT_Men_13_19]]*1440</f>
        <v>204.99999999999983</v>
      </c>
      <c r="L37" s="20">
        <f>IFERROR(BQs_over_time_AG20!$D37/BQs_over_time_AG20!$J37,"")</f>
        <v>0.65934959349593547</v>
      </c>
      <c r="M37" s="19">
        <f>Table1419[[#This Row],[QT_Men_13_19]]*Table1419[[#This Row],[Age_Factor_Men_20]]</f>
        <v>0.12812499999999991</v>
      </c>
      <c r="N37" s="21">
        <f>Table1419[[#This Row],[AG_Time_Men_13_19]]*1440</f>
        <v>184.49999999999986</v>
      </c>
      <c r="O37" s="19">
        <v>0.1388888888888889</v>
      </c>
      <c r="P37" s="21">
        <f>Table1419[[#This Row],[QT_Men_2020]]*1440</f>
        <v>200</v>
      </c>
      <c r="Q37" s="22">
        <f>IFERROR(BQs_over_time_AG20!$D37/BQs_over_time_AG20!$O37,"")</f>
        <v>0.67583333333333329</v>
      </c>
      <c r="R37" s="19">
        <f>Table1419[[#This Row],[QT_Men_2020]]*Table1419[[#This Row],[Age_Factor_Men_20]]</f>
        <v>0.125</v>
      </c>
      <c r="S37" s="21">
        <f>Table1419[[#This Row],[AG_Time_Men_2020]]*1440</f>
        <v>180</v>
      </c>
      <c r="T37" s="19">
        <f>IF(BQs_over_time_AG20!$A37="","",SUMIF('2020_Road Weights'!$A:$A,"F",'2020_Road Weights'!$F:$F)/3600/24)</f>
        <v>9.3101851851851838E-2</v>
      </c>
      <c r="U37" s="20">
        <f>INDEX('2020_Road Weights'!$A:$CX,MATCH("F",'2020_Road Weights'!$A:$A,FALSE),MATCH(BQs_over_time_AG20!$A37,'2020_Road Weights'!$1:$1,FALSE))</f>
        <v>0.8982</v>
      </c>
      <c r="V37" s="19">
        <f>IFERROR(BQs_over_time_AG20!$T37/BQs_over_time_AG20!$U37,"")</f>
        <v>0.10365380967696709</v>
      </c>
      <c r="W37" s="19">
        <v>0.16666666666666669</v>
      </c>
      <c r="X37" s="21">
        <f>Table1419[[#This Row],[Qualifying_Time_Women_03_12]]*1440</f>
        <v>240.00000000000003</v>
      </c>
      <c r="Y37" s="20">
        <f>IFERROR(BQs_over_time_AG20!$V37/BQs_over_time_AG20!$W37,"")</f>
        <v>0.62192285806180247</v>
      </c>
      <c r="Z37" s="19">
        <f>Table1419[[#This Row],[Qualifying_Time_Women_03_12]]*Table1419[[#This Row],[Age_Factor_Women]]</f>
        <v>0.14970000000000003</v>
      </c>
      <c r="AA37" s="21">
        <f>Table1419[[#This Row],[AG_Time_Women_03_12]]*1440</f>
        <v>215.56800000000004</v>
      </c>
      <c r="AB37" s="19">
        <v>0.163194444444444</v>
      </c>
      <c r="AC37" s="21">
        <f>Table1419[[#This Row],[Qualifying_Time_Women_13_19]]*1440</f>
        <v>234.99999999999937</v>
      </c>
      <c r="AD37" s="23">
        <f>IFERROR(BQs_over_time_AG20!$V37/BQs_over_time_AG20!$AB37,"")</f>
        <v>0.63515525929716177</v>
      </c>
      <c r="AE37" s="19">
        <f>Table1419[[#This Row],[Qualifying_Time_Women_13_19]]*Table1419[[#This Row],[Age_Factor_Women]]</f>
        <v>0.14658124999999961</v>
      </c>
      <c r="AF37" s="21">
        <f>Table1419[[#This Row],[AG_Time_Women_13_19]]*1440</f>
        <v>211.07699999999943</v>
      </c>
      <c r="AG37" s="19">
        <v>0.15972222222222224</v>
      </c>
      <c r="AH37" s="21">
        <f>Table1419[[#This Row],[Qualifying_Time_Women_2020]]*1440</f>
        <v>230.00000000000003</v>
      </c>
      <c r="AI37" s="24">
        <f>IFERROR(BQs_over_time_AG20!$V37/BQs_over_time_AG20!$AG37,"")</f>
        <v>0.64896298232535909</v>
      </c>
      <c r="AJ37" s="19">
        <f>Table1419[[#This Row],[Qualifying_Time_Women_2020]]*Table1419[[#This Row],[Age_Factor_Women]]</f>
        <v>0.14346250000000002</v>
      </c>
      <c r="AK37" s="25">
        <f>Table1419[[#This Row],[AG_Time_Women_2020]]*1440</f>
        <v>206.58600000000004</v>
      </c>
      <c r="AL37" s="26">
        <f t="shared" si="0"/>
        <v>0.6</v>
      </c>
      <c r="AM37" s="27">
        <f t="shared" si="1"/>
        <v>9.9999999999999978E-2</v>
      </c>
      <c r="AN37" s="27">
        <f t="shared" si="2"/>
        <v>0.10000000000000009</v>
      </c>
      <c r="AO37" s="27">
        <f t="shared" si="3"/>
        <v>9.9999999999999978E-2</v>
      </c>
      <c r="AP37" s="27">
        <f t="shared" si="4"/>
        <v>9.9999999999999978E-2</v>
      </c>
      <c r="AQ37" s="28">
        <v>0.68</v>
      </c>
      <c r="AR37" s="29">
        <f>Table1419[[#This Row],[Age Best_Men_20]]/Table1419[[#This Row],[Proposed_uniform_AG%]]</f>
        <v>0.13803785403050106</v>
      </c>
      <c r="AS37" s="29">
        <f t="shared" si="9"/>
        <v>0.13570852894457824</v>
      </c>
      <c r="AT37" s="29">
        <f>CEILING(Table1419[[#This Row],[Proposed_QT_M_Agegrouped]],"00:01:00")</f>
        <v>0.13611111111111113</v>
      </c>
      <c r="AU37" s="30">
        <f>Table1419[[#This Row],[Proposed_QT_M_Agegrouped_roundedup]]*1440</f>
        <v>196.00000000000003</v>
      </c>
      <c r="AV37" s="30">
        <f>Table1419[[#This Row],[Proposed_QT_M_Agegrouped_roundedup_min]]-Table1419[[#This Row],[QT_Men_2020_min]]</f>
        <v>-3.9999999999999716</v>
      </c>
      <c r="AW37" s="40">
        <f>(Table1419[[#This Row],[Proposed_QT_M_Agegrouped_roundedup_min]]-Table1419[[#This Row],[QT_Men_2020_min]])/Table1419[[#This Row],[QT_Men_2020_min]]</f>
        <v>-1.9999999999999858E-2</v>
      </c>
      <c r="AX37" s="32">
        <f>Table1419[[#This Row],[Age Best_Women]]/Table1419[[#This Row],[Proposed_uniform_AG%]]</f>
        <v>0.15243207305436335</v>
      </c>
      <c r="AY37" s="29">
        <f>AVERAGE($AX$33:$AX$37)</f>
        <v>0.1489517505215055</v>
      </c>
      <c r="AZ37" s="33">
        <f>CEILING(Table1419[[#This Row],[Proposed_QT_W_Agegrouped]],"00:01:00")</f>
        <v>0.14930555555555555</v>
      </c>
      <c r="BA37" s="34">
        <f>Table1419[[#This Row],[Proposed_QT_W_Agegrouped_roundedup]]*1440</f>
        <v>215</v>
      </c>
      <c r="BB37" s="34">
        <f>Table1419[[#This Row],[Proposed_QT_W_Agegrouped_roundedup_min]]-Table1419[[#This Row],[Qualifying_Time_Women_2020_min]]</f>
        <v>-15.000000000000028</v>
      </c>
      <c r="BC37" s="41">
        <f>(Table1419[[#This Row],[Proposed_QT_W_Agegrouped_roundedup_min]]-Table1419[[#This Row],[Qualifying_Time_Women_2020_min]])/Table1419[[#This Row],[Qualifying_Time_Women_2020_min]]</f>
        <v>-6.5217391304347935E-2</v>
      </c>
      <c r="BD37" s="36" t="s">
        <v>76</v>
      </c>
      <c r="BE37" s="37">
        <f>Table1419[[#This Row],[Age Best_Men_20]]/Table1419[[#This Row],[Proposed_QT_M_Agegrouped_roundedup]]</f>
        <v>0.6896258503401359</v>
      </c>
      <c r="BF37" s="38">
        <f>Table1419[[#This Row],[Age Best_Women]]/Table1419[[#This Row],[Proposed_QT_W_Agegrouped_roundedup]]</f>
        <v>0.69423946946433779</v>
      </c>
    </row>
    <row r="38" spans="1:86" s="39" customFormat="1" x14ac:dyDescent="0.55000000000000004">
      <c r="A38" s="18">
        <v>50</v>
      </c>
      <c r="B38" s="19">
        <f>IF(BQs_over_time_AG20!$A38="","",SUMIF('2020_Road Weights'!$A:$A,"M",'2020_Road Weights'!$F:$F)/3600/24)</f>
        <v>8.4479166666666661E-2</v>
      </c>
      <c r="C38" s="20">
        <f>IF(A38="","",INDEX('2020_Road Weights'!$A:$CX,MATCH("M",'2020_Road Weights'!$A:$A,FALSE),MATCH(BQs_over_time_AG20!$A38,'2020_Road Weights'!$1:$1,FALSE)))</f>
        <v>0.89219999999999999</v>
      </c>
      <c r="D38" s="19">
        <f>IFERROR(BQs_over_time_AG20!$B38/BQs_over_time_AG20!$C38,"")</f>
        <v>9.4686355824553536E-2</v>
      </c>
      <c r="E38" s="19">
        <v>0.14930555555555555</v>
      </c>
      <c r="F38" s="21">
        <f>Table1419[[#This Row],[QT_Men_03_12]]*1440</f>
        <v>215</v>
      </c>
      <c r="G38" s="20">
        <f>IFERROR(BQs_over_time_AG20!$D38/BQs_over_time_AG20!$E38,"")</f>
        <v>0.6341783831970097</v>
      </c>
      <c r="H38" s="19">
        <f>IFERROR(Table1419[[#This Row],[QT_Men_03_12]]*Table1419[[#This Row],[Age_Factor_Men_20]],"")</f>
        <v>0.13321041666666666</v>
      </c>
      <c r="I38" s="21">
        <f>Table1419[[#This Row],[AG_Time_Men_03_12]]*1440</f>
        <v>191.82300000000001</v>
      </c>
      <c r="J38" s="19">
        <v>0.14583333333333334</v>
      </c>
      <c r="K38" s="21">
        <f>Table1419[[#This Row],[QT_Men_13_19]]*1440</f>
        <v>210</v>
      </c>
      <c r="L38" s="20">
        <f>IFERROR(BQs_over_time_AG20!$D38/BQs_over_time_AG20!$J38,"")</f>
        <v>0.64927786851122415</v>
      </c>
      <c r="M38" s="19">
        <f>Table1419[[#This Row],[QT_Men_13_19]]*Table1419[[#This Row],[Age_Factor_Men_20]]</f>
        <v>0.13011250000000002</v>
      </c>
      <c r="N38" s="21">
        <f>Table1419[[#This Row],[AG_Time_Men_13_19]]*1440</f>
        <v>187.36200000000002</v>
      </c>
      <c r="O38" s="19">
        <v>0.1423611111111111</v>
      </c>
      <c r="P38" s="21">
        <f>Table1419[[#This Row],[QT_Men_2020]]*1440</f>
        <v>205</v>
      </c>
      <c r="Q38" s="22">
        <f>IFERROR(BQs_over_time_AG20!$D38/BQs_over_time_AG20!$O38,"")</f>
        <v>0.6651139140846688</v>
      </c>
      <c r="R38" s="19">
        <f>Table1419[[#This Row],[QT_Men_2020]]*Table1419[[#This Row],[Age_Factor_Men_20]]</f>
        <v>0.12701458333333332</v>
      </c>
      <c r="S38" s="21">
        <f>Table1419[[#This Row],[AG_Time_Men_2020]]*1440</f>
        <v>182.90099999999998</v>
      </c>
      <c r="T38" s="19">
        <f>IF(BQs_over_time_AG20!$A38="","",SUMIF('2020_Road Weights'!$A:$A,"F",'2020_Road Weights'!$F:$F)/3600/24)</f>
        <v>9.3101851851851838E-2</v>
      </c>
      <c r="U38" s="20">
        <f>INDEX('2020_Road Weights'!$A:$CX,MATCH("F",'2020_Road Weights'!$A:$A,FALSE),MATCH(BQs_over_time_AG20!$A38,'2020_Road Weights'!$1:$1,FALSE))</f>
        <v>0.88719999999999999</v>
      </c>
      <c r="V38" s="19">
        <f>IFERROR(BQs_over_time_AG20!$T38/BQs_over_time_AG20!$U38,"")</f>
        <v>0.10493896737133886</v>
      </c>
      <c r="W38" s="19">
        <v>0.1701388888888889</v>
      </c>
      <c r="X38" s="21">
        <f>Table1419[[#This Row],[Qualifying_Time_Women_03_12]]*1440</f>
        <v>245</v>
      </c>
      <c r="Y38" s="20">
        <f>IFERROR(BQs_over_time_AG20!$V38/BQs_over_time_AG20!$W38,"")</f>
        <v>0.61678413475399163</v>
      </c>
      <c r="Z38" s="19">
        <f>Table1419[[#This Row],[Qualifying_Time_Women_03_12]]*Table1419[[#This Row],[Age_Factor_Women]]</f>
        <v>0.15094722222222223</v>
      </c>
      <c r="AA38" s="21">
        <f>Table1419[[#This Row],[AG_Time_Women_03_12]]*1440</f>
        <v>217.364</v>
      </c>
      <c r="AB38" s="19">
        <v>0.16666666666666666</v>
      </c>
      <c r="AC38" s="21">
        <f>Table1419[[#This Row],[Qualifying_Time_Women_13_19]]*1440</f>
        <v>240</v>
      </c>
      <c r="AD38" s="23">
        <f>IFERROR(BQs_over_time_AG20!$V38/BQs_over_time_AG20!$AB38,"")</f>
        <v>0.62963380422803317</v>
      </c>
      <c r="AE38" s="19">
        <f>Table1419[[#This Row],[Qualifying_Time_Women_13_19]]*Table1419[[#This Row],[Age_Factor_Women]]</f>
        <v>0.14786666666666665</v>
      </c>
      <c r="AF38" s="21">
        <f>Table1419[[#This Row],[AG_Time_Women_13_19]]*1440</f>
        <v>212.92799999999997</v>
      </c>
      <c r="AG38" s="19">
        <v>0.16319444444444445</v>
      </c>
      <c r="AH38" s="21">
        <f>Table1419[[#This Row],[Qualifying_Time_Women_2020]]*1440</f>
        <v>235</v>
      </c>
      <c r="AI38" s="24">
        <f>IFERROR(BQs_over_time_AG20!$V38/BQs_over_time_AG20!$AG38,"")</f>
        <v>0.64303026814777853</v>
      </c>
      <c r="AJ38" s="19">
        <f>Table1419[[#This Row],[Qualifying_Time_Women_2020]]*Table1419[[#This Row],[Age_Factor_Women]]</f>
        <v>0.14478611111111112</v>
      </c>
      <c r="AK38" s="25">
        <f>Table1419[[#This Row],[AG_Time_Women_2020]]*1440</f>
        <v>208.49200000000002</v>
      </c>
      <c r="AL38" s="26">
        <f t="shared" si="0"/>
        <v>0.6</v>
      </c>
      <c r="AM38" s="27">
        <f t="shared" si="1"/>
        <v>9.9999999999999978E-2</v>
      </c>
      <c r="AN38" s="27">
        <f t="shared" si="2"/>
        <v>0.10000000000000009</v>
      </c>
      <c r="AO38" s="27">
        <f t="shared" si="3"/>
        <v>9.9999999999999978E-2</v>
      </c>
      <c r="AP38" s="27">
        <f t="shared" si="4"/>
        <v>9.9999999999999978E-2</v>
      </c>
      <c r="AQ38" s="28">
        <v>0.68</v>
      </c>
      <c r="AR38" s="29">
        <f>Table1419[[#This Row],[Age Best_Men_20]]/Table1419[[#This Row],[Proposed_uniform_AG%]]</f>
        <v>0.13924464091846106</v>
      </c>
      <c r="AS38" s="29">
        <f>AVERAGE($AR$38:$AR$42)</f>
        <v>0.14173203835155318</v>
      </c>
      <c r="AT38" s="29">
        <f>CEILING(Table1419[[#This Row],[Proposed_QT_M_Agegrouped]],"00:01:00")</f>
        <v>0.1423611111111111</v>
      </c>
      <c r="AU38" s="30">
        <f>Table1419[[#This Row],[Proposed_QT_M_Agegrouped_roundedup]]*1440</f>
        <v>205</v>
      </c>
      <c r="AV38" s="30">
        <f>Table1419[[#This Row],[Proposed_QT_M_Agegrouped_roundedup_min]]-Table1419[[#This Row],[QT_Men_2020_min]]</f>
        <v>0</v>
      </c>
      <c r="AW38" s="40">
        <f>(Table1419[[#This Row],[Proposed_QT_M_Agegrouped_roundedup_min]]-Table1419[[#This Row],[QT_Men_2020_min]])/Table1419[[#This Row],[QT_Men_2020_min]]</f>
        <v>0</v>
      </c>
      <c r="AX38" s="32">
        <f>Table1419[[#This Row],[Age Best_Women]]/Table1419[[#This Row],[Proposed_uniform_AG%]]</f>
        <v>0.15432201084020419</v>
      </c>
      <c r="AY38" s="29">
        <f>AVERAGE($AX$38:$AX$42)</f>
        <v>0.15832353410161465</v>
      </c>
      <c r="AZ38" s="33">
        <f>CEILING(Table1419[[#This Row],[Proposed_QT_W_Agegrouped]],"00:01:00")</f>
        <v>0.15833333333333333</v>
      </c>
      <c r="BA38" s="34">
        <f>Table1419[[#This Row],[Proposed_QT_W_Agegrouped_roundedup]]*1440</f>
        <v>228</v>
      </c>
      <c r="BB38" s="34">
        <f>Table1419[[#This Row],[Proposed_QT_W_Agegrouped_roundedup_min]]-Table1419[[#This Row],[Qualifying_Time_Women_2020_min]]</f>
        <v>-7</v>
      </c>
      <c r="BC38" s="41">
        <f>(Table1419[[#This Row],[Proposed_QT_W_Agegrouped_roundedup_min]]-Table1419[[#This Row],[Qualifying_Time_Women_2020_min]])/Table1419[[#This Row],[Qualifying_Time_Women_2020_min]]</f>
        <v>-2.9787234042553193E-2</v>
      </c>
      <c r="BD38" s="36" t="s">
        <v>77</v>
      </c>
      <c r="BE38" s="37">
        <f>Table1419[[#This Row],[Age Best_Men_20]]/Table1419[[#This Row],[Proposed_QT_M_Agegrouped_roundedup]]</f>
        <v>0.6651139140846688</v>
      </c>
      <c r="BF38" s="38">
        <f>Table1419[[#This Row],[Age Best_Women]]/Table1419[[#This Row],[Proposed_QT_W_Agegrouped_roundedup]]</f>
        <v>0.66277242550319282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</row>
    <row r="39" spans="1:86" x14ac:dyDescent="0.55000000000000004">
      <c r="A39" s="18">
        <v>51</v>
      </c>
      <c r="B39" s="19">
        <f>IF(BQs_over_time_AG20!$A39="","",SUMIF('2020_Road Weights'!$A:$A,"M",'2020_Road Weights'!$F:$F)/3600/24)</f>
        <v>8.4479166666666661E-2</v>
      </c>
      <c r="C39" s="20">
        <f>IF(A39="","",INDEX('2020_Road Weights'!$A:$CX,MATCH("M",'2020_Road Weights'!$A:$A,FALSE),MATCH(BQs_over_time_AG20!$A39,'2020_Road Weights'!$1:$1,FALSE)))</f>
        <v>0.88449999999999995</v>
      </c>
      <c r="D39" s="19">
        <f>IFERROR(BQs_over_time_AG20!$B39/BQs_over_time_AG20!$C39,"")</f>
        <v>9.5510646316186165E-2</v>
      </c>
      <c r="E39" s="19">
        <v>0.14930555555555555</v>
      </c>
      <c r="F39" s="21">
        <f>Table1419[[#This Row],[QT_Men_03_12]]*1440</f>
        <v>215</v>
      </c>
      <c r="G39" s="20">
        <f>IFERROR(BQs_over_time_AG20!$D39/BQs_over_time_AG20!$E39,"")</f>
        <v>0.63969921253631667</v>
      </c>
      <c r="H39" s="19">
        <f>IFERROR(Table1419[[#This Row],[QT_Men_03_12]]*Table1419[[#This Row],[Age_Factor_Men_20]],"")</f>
        <v>0.13206076388888888</v>
      </c>
      <c r="I39" s="21">
        <f>Table1419[[#This Row],[AG_Time_Men_03_12]]*1440</f>
        <v>190.16749999999999</v>
      </c>
      <c r="J39" s="19">
        <v>0.14583333333333334</v>
      </c>
      <c r="K39" s="21">
        <f>Table1419[[#This Row],[QT_Men_13_19]]*1440</f>
        <v>210</v>
      </c>
      <c r="L39" s="20">
        <f>IFERROR(BQs_over_time_AG20!$D39/BQs_over_time_AG20!$J39,"")</f>
        <v>0.65493014616813361</v>
      </c>
      <c r="M39" s="19">
        <f>Table1419[[#This Row],[QT_Men_13_19]]*Table1419[[#This Row],[Age_Factor_Men_20]]</f>
        <v>0.12898958333333332</v>
      </c>
      <c r="N39" s="21">
        <f>Table1419[[#This Row],[AG_Time_Men_13_19]]*1440</f>
        <v>185.74499999999998</v>
      </c>
      <c r="O39" s="19">
        <v>0.1423611111111111</v>
      </c>
      <c r="P39" s="21">
        <f>Table1419[[#This Row],[QT_Men_2020]]*1440</f>
        <v>205</v>
      </c>
      <c r="Q39" s="22">
        <f>IFERROR(BQs_over_time_AG20!$D39/BQs_over_time_AG20!$O39,"")</f>
        <v>0.67090405217223459</v>
      </c>
      <c r="R39" s="19">
        <f>Table1419[[#This Row],[QT_Men_2020]]*Table1419[[#This Row],[Age_Factor_Men_20]]</f>
        <v>0.12591840277777777</v>
      </c>
      <c r="S39" s="21">
        <f>Table1419[[#This Row],[AG_Time_Men_2020]]*1440</f>
        <v>181.32249999999999</v>
      </c>
      <c r="T39" s="19">
        <f>IF(BQs_over_time_AG20!$A39="","",SUMIF('2020_Road Weights'!$A:$A,"F",'2020_Road Weights'!$F:$F)/3600/24)</f>
        <v>9.3101851851851838E-2</v>
      </c>
      <c r="U39" s="20">
        <f>INDEX('2020_Road Weights'!$A:$CX,MATCH("F",'2020_Road Weights'!$A:$A,FALSE),MATCH(BQs_over_time_AG20!$A39,'2020_Road Weights'!$1:$1,FALSE))</f>
        <v>0.87609999999999999</v>
      </c>
      <c r="V39" s="19">
        <f>IFERROR(BQs_over_time_AG20!$T39/BQs_over_time_AG20!$U39,"")</f>
        <v>0.10626852168913577</v>
      </c>
      <c r="W39" s="19">
        <v>0.1701388888888889</v>
      </c>
      <c r="X39" s="21">
        <f>Table1419[[#This Row],[Qualifying_Time_Women_03_12]]*1440</f>
        <v>245</v>
      </c>
      <c r="Y39" s="20">
        <f>IFERROR(BQs_over_time_AG20!$V39/BQs_over_time_AG20!$W39,"")</f>
        <v>0.62459865809124693</v>
      </c>
      <c r="Z39" s="19">
        <f>Table1419[[#This Row],[Qualifying_Time_Women_03_12]]*Table1419[[#This Row],[Age_Factor_Women]]</f>
        <v>0.14905868055555557</v>
      </c>
      <c r="AA39" s="21">
        <f>Table1419[[#This Row],[AG_Time_Women_03_12]]*1440</f>
        <v>214.64450000000002</v>
      </c>
      <c r="AB39" s="19">
        <v>0.16666666666666666</v>
      </c>
      <c r="AC39" s="21">
        <f>Table1419[[#This Row],[Qualifying_Time_Women_13_19]]*1440</f>
        <v>240</v>
      </c>
      <c r="AD39" s="23">
        <f>IFERROR(BQs_over_time_AG20!$V39/BQs_over_time_AG20!$AB39,"")</f>
        <v>0.63761113013481463</v>
      </c>
      <c r="AE39" s="19">
        <f>Table1419[[#This Row],[Qualifying_Time_Women_13_19]]*Table1419[[#This Row],[Age_Factor_Women]]</f>
        <v>0.14601666666666666</v>
      </c>
      <c r="AF39" s="21">
        <f>Table1419[[#This Row],[AG_Time_Women_13_19]]*1440</f>
        <v>210.26399999999998</v>
      </c>
      <c r="AG39" s="19">
        <v>0.16319444444444445</v>
      </c>
      <c r="AH39" s="21">
        <f>Table1419[[#This Row],[Qualifying_Time_Women_2020]]*1440</f>
        <v>235</v>
      </c>
      <c r="AI39" s="24">
        <f>IFERROR(BQs_over_time_AG20!$V39/BQs_over_time_AG20!$AG39,"")</f>
        <v>0.65117732439300213</v>
      </c>
      <c r="AJ39" s="19">
        <f>Table1419[[#This Row],[Qualifying_Time_Women_2020]]*Table1419[[#This Row],[Age_Factor_Women]]</f>
        <v>0.14297465277777777</v>
      </c>
      <c r="AK39" s="25">
        <f>Table1419[[#This Row],[AG_Time_Women_2020]]*1440</f>
        <v>205.88349999999997</v>
      </c>
      <c r="AL39" s="26">
        <f t="shared" si="0"/>
        <v>0.6</v>
      </c>
      <c r="AM39" s="27">
        <f t="shared" si="1"/>
        <v>9.9999999999999978E-2</v>
      </c>
      <c r="AN39" s="27">
        <f t="shared" si="2"/>
        <v>0.10000000000000009</v>
      </c>
      <c r="AO39" s="27">
        <f t="shared" si="3"/>
        <v>9.9999999999999978E-2</v>
      </c>
      <c r="AP39" s="27">
        <f t="shared" si="4"/>
        <v>9.9999999999999978E-2</v>
      </c>
      <c r="AQ39" s="28">
        <v>0.68</v>
      </c>
      <c r="AR39" s="29">
        <f>Table1419[[#This Row],[Age Best_Men_20]]/Table1419[[#This Row],[Proposed_uniform_AG%]]</f>
        <v>0.14045683281792082</v>
      </c>
      <c r="AS39" s="29">
        <f t="shared" ref="AS39:AS42" si="10">AVERAGE($AR$38:$AR$42)</f>
        <v>0.14173203835155318</v>
      </c>
      <c r="AT39" s="29">
        <f>CEILING(Table1419[[#This Row],[Proposed_QT_M_Agegrouped]],"00:01:00")</f>
        <v>0.1423611111111111</v>
      </c>
      <c r="AU39" s="30">
        <f>Table1419[[#This Row],[Proposed_QT_M_Agegrouped_roundedup]]*1440</f>
        <v>205</v>
      </c>
      <c r="AV39" s="30">
        <f>Table1419[[#This Row],[Proposed_QT_M_Agegrouped_roundedup_min]]-Table1419[[#This Row],[QT_Men_2020_min]]</f>
        <v>0</v>
      </c>
      <c r="AW39" s="40">
        <f>(Table1419[[#This Row],[Proposed_QT_M_Agegrouped_roundedup_min]]-Table1419[[#This Row],[QT_Men_2020_min]])/Table1419[[#This Row],[QT_Men_2020_min]]</f>
        <v>0</v>
      </c>
      <c r="AX39" s="32">
        <f>Table1419[[#This Row],[Age Best_Women]]/Table1419[[#This Row],[Proposed_uniform_AG%]]</f>
        <v>0.15627723777814082</v>
      </c>
      <c r="AY39" s="29">
        <f>AVERAGE($AX$38:$AX$42)</f>
        <v>0.15832353410161465</v>
      </c>
      <c r="AZ39" s="33">
        <f>CEILING(Table1419[[#This Row],[Proposed_QT_W_Agegrouped]],"00:01:00")</f>
        <v>0.15833333333333333</v>
      </c>
      <c r="BA39" s="34">
        <f>Table1419[[#This Row],[Proposed_QT_W_Agegrouped_roundedup]]*1440</f>
        <v>228</v>
      </c>
      <c r="BB39" s="34">
        <f>Table1419[[#This Row],[Proposed_QT_W_Agegrouped_roundedup_min]]-Table1419[[#This Row],[Qualifying_Time_Women_2020_min]]</f>
        <v>-7</v>
      </c>
      <c r="BC39" s="41">
        <f>(Table1419[[#This Row],[Proposed_QT_W_Agegrouped_roundedup_min]]-Table1419[[#This Row],[Qualifying_Time_Women_2020_min]])/Table1419[[#This Row],[Qualifying_Time_Women_2020_min]]</f>
        <v>-2.9787234042553193E-2</v>
      </c>
      <c r="BD39" s="36" t="s">
        <v>77</v>
      </c>
      <c r="BE39" s="37">
        <f>Table1419[[#This Row],[Age Best_Men_20]]/Table1419[[#This Row],[Proposed_QT_M_Agegrouped_roundedup]]</f>
        <v>0.67090405217223459</v>
      </c>
      <c r="BF39" s="38">
        <f>Table1419[[#This Row],[Age Best_Women]]/Table1419[[#This Row],[Proposed_QT_W_Agegrouped_roundedup]]</f>
        <v>0.67116961066822589</v>
      </c>
    </row>
    <row r="40" spans="1:86" x14ac:dyDescent="0.55000000000000004">
      <c r="A40" s="18">
        <v>52</v>
      </c>
      <c r="B40" s="19">
        <f>IF(BQs_over_time_AG20!$A40="","",SUMIF('2020_Road Weights'!$A:$A,"M",'2020_Road Weights'!$F:$F)/3600/24)</f>
        <v>8.4479166666666661E-2</v>
      </c>
      <c r="C40" s="20">
        <f>IF(A40="","",INDEX('2020_Road Weights'!$A:$CX,MATCH("M",'2020_Road Weights'!$A:$A,FALSE),MATCH(BQs_over_time_AG20!$A40,'2020_Road Weights'!$1:$1,FALSE)))</f>
        <v>0.87670000000000003</v>
      </c>
      <c r="D40" s="19">
        <f>IFERROR(BQs_over_time_AG20!$B40/BQs_over_time_AG20!$C40,"")</f>
        <v>9.6360404547355602E-2</v>
      </c>
      <c r="E40" s="19">
        <v>0.14930555555555555</v>
      </c>
      <c r="F40" s="21">
        <f>Table1419[[#This Row],[QT_Men_03_12]]*1440</f>
        <v>215</v>
      </c>
      <c r="G40" s="20">
        <f>IFERROR(BQs_over_time_AG20!$D40/BQs_over_time_AG20!$E40,"")</f>
        <v>0.64539061650321894</v>
      </c>
      <c r="H40" s="19">
        <f>IFERROR(Table1419[[#This Row],[QT_Men_03_12]]*Table1419[[#This Row],[Age_Factor_Men_20]],"")</f>
        <v>0.13089618055555555</v>
      </c>
      <c r="I40" s="21">
        <f>Table1419[[#This Row],[AG_Time_Men_03_12]]*1440</f>
        <v>188.4905</v>
      </c>
      <c r="J40" s="19">
        <v>0.14583333333333334</v>
      </c>
      <c r="K40" s="21">
        <f>Table1419[[#This Row],[QT_Men_13_19]]*1440</f>
        <v>210</v>
      </c>
      <c r="L40" s="20">
        <f>IFERROR(BQs_over_time_AG20!$D40/BQs_over_time_AG20!$J40,"")</f>
        <v>0.66075705975329546</v>
      </c>
      <c r="M40" s="19">
        <f>Table1419[[#This Row],[QT_Men_13_19]]*Table1419[[#This Row],[Age_Factor_Men_20]]</f>
        <v>0.12785208333333334</v>
      </c>
      <c r="N40" s="21">
        <f>Table1419[[#This Row],[AG_Time_Men_13_19]]*1440</f>
        <v>184.107</v>
      </c>
      <c r="O40" s="19">
        <v>0.1423611111111111</v>
      </c>
      <c r="P40" s="21">
        <f>Table1419[[#This Row],[QT_Men_2020]]*1440</f>
        <v>205</v>
      </c>
      <c r="Q40" s="22">
        <f>IFERROR(BQs_over_time_AG20!$D40/BQs_over_time_AG20!$O40,"")</f>
        <v>0.67687308560093695</v>
      </c>
      <c r="R40" s="19">
        <f>Table1419[[#This Row],[QT_Men_2020]]*Table1419[[#This Row],[Age_Factor_Men_20]]</f>
        <v>0.12480798611111112</v>
      </c>
      <c r="S40" s="21">
        <f>Table1419[[#This Row],[AG_Time_Men_2020]]*1440</f>
        <v>179.7235</v>
      </c>
      <c r="T40" s="19">
        <f>IF(BQs_over_time_AG20!$A40="","",SUMIF('2020_Road Weights'!$A:$A,"F",'2020_Road Weights'!$F:$F)/3600/24)</f>
        <v>9.3101851851851838E-2</v>
      </c>
      <c r="U40" s="20">
        <f>INDEX('2020_Road Weights'!$A:$CX,MATCH("F",'2020_Road Weights'!$A:$A,FALSE),MATCH(BQs_over_time_AG20!$A40,'2020_Road Weights'!$1:$1,FALSE))</f>
        <v>0.86509999999999998</v>
      </c>
      <c r="V40" s="19">
        <f>IFERROR(BQs_over_time_AG20!$T40/BQs_over_time_AG20!$U40,"")</f>
        <v>0.10761975708224696</v>
      </c>
      <c r="W40" s="19">
        <v>0.1701388888888889</v>
      </c>
      <c r="X40" s="21">
        <f>Table1419[[#This Row],[Qualifying_Time_Women_03_12]]*1440</f>
        <v>245</v>
      </c>
      <c r="Y40" s="20">
        <f>IFERROR(BQs_over_time_AG20!$V40/BQs_over_time_AG20!$W40,"")</f>
        <v>0.63254061305483922</v>
      </c>
      <c r="Z40" s="19">
        <f>Table1419[[#This Row],[Qualifying_Time_Women_03_12]]*Table1419[[#This Row],[Age_Factor_Women]]</f>
        <v>0.14718715277777777</v>
      </c>
      <c r="AA40" s="21">
        <f>Table1419[[#This Row],[AG_Time_Women_03_12]]*1440</f>
        <v>211.9495</v>
      </c>
      <c r="AB40" s="19">
        <v>0.16666666666666666</v>
      </c>
      <c r="AC40" s="21">
        <f>Table1419[[#This Row],[Qualifying_Time_Women_13_19]]*1440</f>
        <v>240</v>
      </c>
      <c r="AD40" s="23">
        <f>IFERROR(BQs_over_time_AG20!$V40/BQs_over_time_AG20!$AB40,"")</f>
        <v>0.64571854249348182</v>
      </c>
      <c r="AE40" s="19">
        <f>Table1419[[#This Row],[Qualifying_Time_Women_13_19]]*Table1419[[#This Row],[Age_Factor_Women]]</f>
        <v>0.14418333333333333</v>
      </c>
      <c r="AF40" s="21">
        <f>Table1419[[#This Row],[AG_Time_Women_13_19]]*1440</f>
        <v>207.624</v>
      </c>
      <c r="AG40" s="19">
        <v>0.16319444444444445</v>
      </c>
      <c r="AH40" s="21">
        <f>Table1419[[#This Row],[Qualifying_Time_Women_2020]]*1440</f>
        <v>235</v>
      </c>
      <c r="AI40" s="24">
        <f>IFERROR(BQs_over_time_AG20!$V40/BQs_over_time_AG20!$AG40,"")</f>
        <v>0.65945723488696006</v>
      </c>
      <c r="AJ40" s="19">
        <f>Table1419[[#This Row],[Qualifying_Time_Women_2020]]*Table1419[[#This Row],[Age_Factor_Women]]</f>
        <v>0.14117951388888889</v>
      </c>
      <c r="AK40" s="25">
        <f>Table1419[[#This Row],[AG_Time_Women_2020]]*1440</f>
        <v>203.29849999999999</v>
      </c>
      <c r="AL40" s="26">
        <f t="shared" si="0"/>
        <v>0.6</v>
      </c>
      <c r="AM40" s="27">
        <f t="shared" si="1"/>
        <v>9.9999999999999978E-2</v>
      </c>
      <c r="AN40" s="27">
        <f t="shared" si="2"/>
        <v>0.10000000000000009</v>
      </c>
      <c r="AO40" s="27">
        <f t="shared" si="3"/>
        <v>9.9999999999999978E-2</v>
      </c>
      <c r="AP40" s="27">
        <f t="shared" si="4"/>
        <v>9.9999999999999978E-2</v>
      </c>
      <c r="AQ40" s="28">
        <v>0.68</v>
      </c>
      <c r="AR40" s="29">
        <f>Table1419[[#This Row],[Age Best_Men_20]]/Table1419[[#This Row],[Proposed_uniform_AG%]]</f>
        <v>0.14170647727552294</v>
      </c>
      <c r="AS40" s="29">
        <f t="shared" si="10"/>
        <v>0.14173203835155318</v>
      </c>
      <c r="AT40" s="29">
        <f>CEILING(Table1419[[#This Row],[Proposed_QT_M_Agegrouped]],"00:01:00")</f>
        <v>0.1423611111111111</v>
      </c>
      <c r="AU40" s="30">
        <f>Table1419[[#This Row],[Proposed_QT_M_Agegrouped_roundedup]]*1440</f>
        <v>205</v>
      </c>
      <c r="AV40" s="30">
        <f>Table1419[[#This Row],[Proposed_QT_M_Agegrouped_roundedup_min]]-Table1419[[#This Row],[QT_Men_2020_min]]</f>
        <v>0</v>
      </c>
      <c r="AW40" s="40">
        <f>(Table1419[[#This Row],[Proposed_QT_M_Agegrouped_roundedup_min]]-Table1419[[#This Row],[QT_Men_2020_min]])/Table1419[[#This Row],[QT_Men_2020_min]]</f>
        <v>0</v>
      </c>
      <c r="AX40" s="32">
        <f>Table1419[[#This Row],[Age Best_Women]]/Table1419[[#This Row],[Proposed_uniform_AG%]]</f>
        <v>0.15826434865036315</v>
      </c>
      <c r="AY40" s="29">
        <f>AVERAGE($AX$38:$AX$42)</f>
        <v>0.15832353410161465</v>
      </c>
      <c r="AZ40" s="33">
        <f>CEILING(Table1419[[#This Row],[Proposed_QT_W_Agegrouped]],"00:01:00")</f>
        <v>0.15833333333333333</v>
      </c>
      <c r="BA40" s="34">
        <f>Table1419[[#This Row],[Proposed_QT_W_Agegrouped_roundedup]]*1440</f>
        <v>228</v>
      </c>
      <c r="BB40" s="34">
        <f>Table1419[[#This Row],[Proposed_QT_W_Agegrouped_roundedup_min]]-Table1419[[#This Row],[Qualifying_Time_Women_2020_min]]</f>
        <v>-7</v>
      </c>
      <c r="BC40" s="41">
        <f>(Table1419[[#This Row],[Proposed_QT_W_Agegrouped_roundedup_min]]-Table1419[[#This Row],[Qualifying_Time_Women_2020_min]])/Table1419[[#This Row],[Qualifying_Time_Women_2020_min]]</f>
        <v>-2.9787234042553193E-2</v>
      </c>
      <c r="BD40" s="36" t="s">
        <v>77</v>
      </c>
      <c r="BE40" s="37">
        <f>Table1419[[#This Row],[Age Best_Men_20]]/Table1419[[#This Row],[Proposed_QT_M_Agegrouped_roundedup]]</f>
        <v>0.67687308560093695</v>
      </c>
      <c r="BF40" s="38">
        <f>Table1419[[#This Row],[Age Best_Women]]/Table1419[[#This Row],[Proposed_QT_W_Agegrouped_roundedup]]</f>
        <v>0.67970372894050712</v>
      </c>
    </row>
    <row r="41" spans="1:86" x14ac:dyDescent="0.55000000000000004">
      <c r="A41" s="18">
        <v>53</v>
      </c>
      <c r="B41" s="19">
        <f>IF(BQs_over_time_AG20!$A41="","",SUMIF('2020_Road Weights'!$A:$A,"M",'2020_Road Weights'!$F:$F)/3600/24)</f>
        <v>8.4479166666666661E-2</v>
      </c>
      <c r="C41" s="20">
        <f>IF(A41="","",INDEX('2020_Road Weights'!$A:$CX,MATCH("M",'2020_Road Weights'!$A:$A,FALSE),MATCH(BQs_over_time_AG20!$A41,'2020_Road Weights'!$1:$1,FALSE)))</f>
        <v>0.86890000000000001</v>
      </c>
      <c r="D41" s="19">
        <f>IFERROR(BQs_over_time_AG20!$B41/BQs_over_time_AG20!$C41,"")</f>
        <v>9.7225419112287562E-2</v>
      </c>
      <c r="E41" s="19">
        <v>0.14930555555555555</v>
      </c>
      <c r="F41" s="21">
        <f>Table1419[[#This Row],[QT_Men_03_12]]*1440</f>
        <v>215</v>
      </c>
      <c r="G41" s="20">
        <f>IFERROR(BQs_over_time_AG20!$D41/BQs_over_time_AG20!$E41,"")</f>
        <v>0.65118420242648412</v>
      </c>
      <c r="H41" s="19">
        <f>IFERROR(Table1419[[#This Row],[QT_Men_03_12]]*Table1419[[#This Row],[Age_Factor_Men_20]],"")</f>
        <v>0.12973159722222222</v>
      </c>
      <c r="I41" s="21">
        <f>Table1419[[#This Row],[AG_Time_Men_03_12]]*1440</f>
        <v>186.8135</v>
      </c>
      <c r="J41" s="19">
        <v>0.14583333333333334</v>
      </c>
      <c r="K41" s="21">
        <f>Table1419[[#This Row],[QT_Men_13_19]]*1440</f>
        <v>210</v>
      </c>
      <c r="L41" s="20">
        <f>IFERROR(BQs_over_time_AG20!$D41/BQs_over_time_AG20!$J41,"")</f>
        <v>0.66668858819854326</v>
      </c>
      <c r="M41" s="19">
        <f>Table1419[[#This Row],[QT_Men_13_19]]*Table1419[[#This Row],[Age_Factor_Men_20]]</f>
        <v>0.12671458333333335</v>
      </c>
      <c r="N41" s="21">
        <f>Table1419[[#This Row],[AG_Time_Men_13_19]]*1440</f>
        <v>182.46900000000002</v>
      </c>
      <c r="O41" s="19">
        <v>0.1423611111111111</v>
      </c>
      <c r="P41" s="21">
        <f>Table1419[[#This Row],[QT_Men_2020]]*1440</f>
        <v>205</v>
      </c>
      <c r="Q41" s="22">
        <f>IFERROR(BQs_over_time_AG20!$D41/BQs_over_time_AG20!$O41,"")</f>
        <v>0.68294928547167855</v>
      </c>
      <c r="R41" s="19">
        <f>Table1419[[#This Row],[QT_Men_2020]]*Table1419[[#This Row],[Age_Factor_Men_20]]</f>
        <v>0.12369756944444445</v>
      </c>
      <c r="S41" s="21">
        <f>Table1419[[#This Row],[AG_Time_Men_2020]]*1440</f>
        <v>178.12450000000001</v>
      </c>
      <c r="T41" s="19">
        <f>IF(BQs_over_time_AG20!$A41="","",SUMIF('2020_Road Weights'!$A:$A,"F",'2020_Road Weights'!$F:$F)/3600/24)</f>
        <v>9.3101851851851838E-2</v>
      </c>
      <c r="U41" s="20">
        <f>INDEX('2020_Road Weights'!$A:$CX,MATCH("F",'2020_Road Weights'!$A:$A,FALSE),MATCH(BQs_over_time_AG20!$A41,'2020_Road Weights'!$1:$1,FALSE))</f>
        <v>0.85399999999999998</v>
      </c>
      <c r="V41" s="19">
        <f>IFERROR(BQs_over_time_AG20!$T41/BQs_over_time_AG20!$U41,"")</f>
        <v>0.10901856188741434</v>
      </c>
      <c r="W41" s="19">
        <v>0.1701388888888889</v>
      </c>
      <c r="X41" s="21">
        <f>Table1419[[#This Row],[Qualifying_Time_Women_03_12]]*1440</f>
        <v>245</v>
      </c>
      <c r="Y41" s="20">
        <f>IFERROR(BQs_over_time_AG20!$V41/BQs_over_time_AG20!$W41,"")</f>
        <v>0.64076215966480266</v>
      </c>
      <c r="Z41" s="19">
        <f>Table1419[[#This Row],[Qualifying_Time_Women_03_12]]*Table1419[[#This Row],[Age_Factor_Women]]</f>
        <v>0.14529861111111111</v>
      </c>
      <c r="AA41" s="21">
        <f>Table1419[[#This Row],[AG_Time_Women_03_12]]*1440</f>
        <v>209.23000000000002</v>
      </c>
      <c r="AB41" s="19">
        <v>0.16666666666666666</v>
      </c>
      <c r="AC41" s="21">
        <f>Table1419[[#This Row],[Qualifying_Time_Women_13_19]]*1440</f>
        <v>240</v>
      </c>
      <c r="AD41" s="23">
        <f>IFERROR(BQs_over_time_AG20!$V41/BQs_over_time_AG20!$AB41,"")</f>
        <v>0.65411137132448605</v>
      </c>
      <c r="AE41" s="19">
        <f>Table1419[[#This Row],[Qualifying_Time_Women_13_19]]*Table1419[[#This Row],[Age_Factor_Women]]</f>
        <v>0.14233333333333331</v>
      </c>
      <c r="AF41" s="21">
        <f>Table1419[[#This Row],[AG_Time_Women_13_19]]*1440</f>
        <v>204.95999999999998</v>
      </c>
      <c r="AG41" s="19">
        <v>0.16319444444444445</v>
      </c>
      <c r="AH41" s="21">
        <f>Table1419[[#This Row],[Qualifying_Time_Women_2020]]*1440</f>
        <v>235</v>
      </c>
      <c r="AI41" s="24">
        <f>IFERROR(BQs_over_time_AG20!$V41/BQs_over_time_AG20!$AG41,"")</f>
        <v>0.66802863454415595</v>
      </c>
      <c r="AJ41" s="19">
        <f>Table1419[[#This Row],[Qualifying_Time_Women_2020]]*Table1419[[#This Row],[Age_Factor_Women]]</f>
        <v>0.13936805555555556</v>
      </c>
      <c r="AK41" s="25">
        <f>Table1419[[#This Row],[AG_Time_Women_2020]]*1440</f>
        <v>200.69000000000003</v>
      </c>
      <c r="AL41" s="26">
        <f t="shared" si="0"/>
        <v>0.6</v>
      </c>
      <c r="AM41" s="27">
        <f t="shared" si="1"/>
        <v>9.9999999999999978E-2</v>
      </c>
      <c r="AN41" s="27">
        <f t="shared" si="2"/>
        <v>0.10000000000000009</v>
      </c>
      <c r="AO41" s="27">
        <f t="shared" si="3"/>
        <v>9.9999999999999978E-2</v>
      </c>
      <c r="AP41" s="27">
        <f t="shared" si="4"/>
        <v>9.9999999999999978E-2</v>
      </c>
      <c r="AQ41" s="28">
        <v>0.68</v>
      </c>
      <c r="AR41" s="29">
        <f>Table1419[[#This Row],[Age Best_Men_20]]/Table1419[[#This Row],[Proposed_uniform_AG%]]</f>
        <v>0.14297855751806993</v>
      </c>
      <c r="AS41" s="29">
        <f t="shared" si="10"/>
        <v>0.14173203835155318</v>
      </c>
      <c r="AT41" s="29">
        <f>CEILING(Table1419[[#This Row],[Proposed_QT_M_Agegrouped]],"00:01:00")</f>
        <v>0.1423611111111111</v>
      </c>
      <c r="AU41" s="30">
        <f>Table1419[[#This Row],[Proposed_QT_M_Agegrouped_roundedup]]*1440</f>
        <v>205</v>
      </c>
      <c r="AV41" s="30">
        <f>Table1419[[#This Row],[Proposed_QT_M_Agegrouped_roundedup_min]]-Table1419[[#This Row],[QT_Men_2020_min]]</f>
        <v>0</v>
      </c>
      <c r="AW41" s="40">
        <f>(Table1419[[#This Row],[Proposed_QT_M_Agegrouped_roundedup_min]]-Table1419[[#This Row],[QT_Men_2020_min]])/Table1419[[#This Row],[QT_Men_2020_min]]</f>
        <v>0</v>
      </c>
      <c r="AX41" s="32">
        <f>Table1419[[#This Row],[Age Best_Women]]/Table1419[[#This Row],[Proposed_uniform_AG%]]</f>
        <v>0.16032141454031518</v>
      </c>
      <c r="AY41" s="29">
        <f>AVERAGE($AX$38:$AX$42)</f>
        <v>0.15832353410161465</v>
      </c>
      <c r="AZ41" s="33">
        <f>CEILING(Table1419[[#This Row],[Proposed_QT_W_Agegrouped]],"00:01:00")</f>
        <v>0.15833333333333333</v>
      </c>
      <c r="BA41" s="34">
        <f>Table1419[[#This Row],[Proposed_QT_W_Agegrouped_roundedup]]*1440</f>
        <v>228</v>
      </c>
      <c r="BB41" s="34">
        <f>Table1419[[#This Row],[Proposed_QT_W_Agegrouped_roundedup_min]]-Table1419[[#This Row],[Qualifying_Time_Women_2020_min]]</f>
        <v>-7</v>
      </c>
      <c r="BC41" s="41">
        <f>(Table1419[[#This Row],[Proposed_QT_W_Agegrouped_roundedup_min]]-Table1419[[#This Row],[Qualifying_Time_Women_2020_min]])/Table1419[[#This Row],[Qualifying_Time_Women_2020_min]]</f>
        <v>-2.9787234042553193E-2</v>
      </c>
      <c r="BD41" s="36" t="s">
        <v>77</v>
      </c>
      <c r="BE41" s="37">
        <f>Table1419[[#This Row],[Age Best_Men_20]]/Table1419[[#This Row],[Proposed_QT_M_Agegrouped_roundedup]]</f>
        <v>0.68294928547167855</v>
      </c>
      <c r="BF41" s="38">
        <f>Table1419[[#This Row],[Age Best_Women]]/Table1419[[#This Row],[Proposed_QT_W_Agegrouped_roundedup]]</f>
        <v>0.68853828560472219</v>
      </c>
    </row>
    <row r="42" spans="1:86" x14ac:dyDescent="0.55000000000000004">
      <c r="A42" s="18">
        <v>54</v>
      </c>
      <c r="B42" s="19">
        <f>IF(BQs_over_time_AG20!$A42="","",SUMIF('2020_Road Weights'!$A:$A,"M",'2020_Road Weights'!$F:$F)/3600/24)</f>
        <v>8.4479166666666661E-2</v>
      </c>
      <c r="C42" s="20">
        <f>IF(A42="","",INDEX('2020_Road Weights'!$A:$CX,MATCH("M",'2020_Road Weights'!$A:$A,FALSE),MATCH(BQs_over_time_AG20!$A42,'2020_Road Weights'!$1:$1,FALSE)))</f>
        <v>0.86109999999999998</v>
      </c>
      <c r="D42" s="19">
        <f>IFERROR(BQs_over_time_AG20!$B42/BQs_over_time_AG20!$C42,"")</f>
        <v>9.8106104594897992E-2</v>
      </c>
      <c r="E42" s="19">
        <v>0.14930555555555555</v>
      </c>
      <c r="F42" s="21">
        <f>Table1419[[#This Row],[QT_Men_03_12]]*1440</f>
        <v>215</v>
      </c>
      <c r="G42" s="20">
        <f>IFERROR(BQs_over_time_AG20!$D42/BQs_over_time_AG20!$E42,"")</f>
        <v>0.65708274705420056</v>
      </c>
      <c r="H42" s="19">
        <f>IFERROR(Table1419[[#This Row],[QT_Men_03_12]]*Table1419[[#This Row],[Age_Factor_Men_20]],"")</f>
        <v>0.12856701388888889</v>
      </c>
      <c r="I42" s="21">
        <f>Table1419[[#This Row],[AG_Time_Men_03_12]]*1440</f>
        <v>185.13649999999998</v>
      </c>
      <c r="J42" s="19">
        <v>0.14583333333333334</v>
      </c>
      <c r="K42" s="21">
        <f>Table1419[[#This Row],[QT_Men_13_19]]*1440</f>
        <v>210</v>
      </c>
      <c r="L42" s="20">
        <f>IFERROR(BQs_over_time_AG20!$D42/BQs_over_time_AG20!$J42,"")</f>
        <v>0.67272757436501474</v>
      </c>
      <c r="M42" s="19">
        <f>Table1419[[#This Row],[QT_Men_13_19]]*Table1419[[#This Row],[Age_Factor_Men_20]]</f>
        <v>0.12557708333333334</v>
      </c>
      <c r="N42" s="21">
        <f>Table1419[[#This Row],[AG_Time_Men_13_19]]*1440</f>
        <v>180.83100000000002</v>
      </c>
      <c r="O42" s="19">
        <v>0.1423611111111111</v>
      </c>
      <c r="P42" s="21">
        <f>Table1419[[#This Row],[QT_Men_2020]]*1440</f>
        <v>205</v>
      </c>
      <c r="Q42" s="22">
        <f>IFERROR(BQs_over_time_AG20!$D42/BQs_over_time_AG20!$O42,"")</f>
        <v>0.6891355639836737</v>
      </c>
      <c r="R42" s="19">
        <f>Table1419[[#This Row],[QT_Men_2020]]*Table1419[[#This Row],[Age_Factor_Men_20]]</f>
        <v>0.12258715277777776</v>
      </c>
      <c r="S42" s="21">
        <f>Table1419[[#This Row],[AG_Time_Men_2020]]*1440</f>
        <v>176.52549999999997</v>
      </c>
      <c r="T42" s="19">
        <f>IF(BQs_over_time_AG20!$A42="","",SUMIF('2020_Road Weights'!$A:$A,"F",'2020_Road Weights'!$F:$F)/3600/24)</f>
        <v>9.3101851851851838E-2</v>
      </c>
      <c r="U42" s="20">
        <f>INDEX('2020_Road Weights'!$A:$CX,MATCH("F",'2020_Road Weights'!$A:$A,FALSE),MATCH(BQs_over_time_AG20!$A42,'2020_Road Weights'!$1:$1,FALSE))</f>
        <v>0.84289999999999998</v>
      </c>
      <c r="V42" s="19">
        <f>IFERROR(BQs_over_time_AG20!$T42/BQs_over_time_AG20!$U42,"")</f>
        <v>0.11045420791535394</v>
      </c>
      <c r="W42" s="19">
        <v>0.1701388888888889</v>
      </c>
      <c r="X42" s="21">
        <f>Table1419[[#This Row],[Qualifying_Time_Women_03_12]]*1440</f>
        <v>245</v>
      </c>
      <c r="Y42" s="20">
        <f>IFERROR(BQs_over_time_AG20!$V42/BQs_over_time_AG20!$W42,"")</f>
        <v>0.64920024244126395</v>
      </c>
      <c r="Z42" s="19">
        <f>Table1419[[#This Row],[Qualifying_Time_Women_03_12]]*Table1419[[#This Row],[Age_Factor_Women]]</f>
        <v>0.14341006944444445</v>
      </c>
      <c r="AA42" s="21">
        <f>Table1419[[#This Row],[AG_Time_Women_03_12]]*1440</f>
        <v>206.51050000000001</v>
      </c>
      <c r="AB42" s="19">
        <v>0.16666666666666666</v>
      </c>
      <c r="AC42" s="21">
        <f>Table1419[[#This Row],[Qualifying_Time_Women_13_19]]*1440</f>
        <v>240</v>
      </c>
      <c r="AD42" s="23">
        <f>IFERROR(BQs_over_time_AG20!$V42/BQs_over_time_AG20!$AB42,"")</f>
        <v>0.66272524749212369</v>
      </c>
      <c r="AE42" s="19">
        <f>Table1419[[#This Row],[Qualifying_Time_Women_13_19]]*Table1419[[#This Row],[Age_Factor_Women]]</f>
        <v>0.14048333333333332</v>
      </c>
      <c r="AF42" s="21">
        <f>Table1419[[#This Row],[AG_Time_Women_13_19]]*1440</f>
        <v>202.29599999999999</v>
      </c>
      <c r="AG42" s="19">
        <v>0.16319444444444445</v>
      </c>
      <c r="AH42" s="21">
        <f>Table1419[[#This Row],[Qualifying_Time_Women_2020]]*1440</f>
        <v>235</v>
      </c>
      <c r="AI42" s="24">
        <f>IFERROR(BQs_over_time_AG20!$V42/BQs_over_time_AG20!$AG42,"")</f>
        <v>0.67682578467280718</v>
      </c>
      <c r="AJ42" s="19">
        <f>Table1419[[#This Row],[Qualifying_Time_Women_2020]]*Table1419[[#This Row],[Age_Factor_Women]]</f>
        <v>0.13755659722222222</v>
      </c>
      <c r="AK42" s="25">
        <f>Table1419[[#This Row],[AG_Time_Women_2020]]*1440</f>
        <v>198.08149999999998</v>
      </c>
      <c r="AL42" s="26">
        <f t="shared" si="0"/>
        <v>0.6</v>
      </c>
      <c r="AM42" s="27">
        <f t="shared" si="1"/>
        <v>9.9999999999999978E-2</v>
      </c>
      <c r="AN42" s="27">
        <f t="shared" si="2"/>
        <v>0.10000000000000009</v>
      </c>
      <c r="AO42" s="27">
        <f t="shared" si="3"/>
        <v>9.9999999999999978E-2</v>
      </c>
      <c r="AP42" s="27">
        <f t="shared" si="4"/>
        <v>9.9999999999999978E-2</v>
      </c>
      <c r="AQ42" s="28">
        <v>0.68</v>
      </c>
      <c r="AR42" s="29">
        <f>Table1419[[#This Row],[Age Best_Men_20]]/Table1419[[#This Row],[Proposed_uniform_AG%]]</f>
        <v>0.14427368322779116</v>
      </c>
      <c r="AS42" s="29">
        <f t="shared" si="10"/>
        <v>0.14173203835155318</v>
      </c>
      <c r="AT42" s="29">
        <f>CEILING(Table1419[[#This Row],[Proposed_QT_M_Agegrouped]],"00:01:00")</f>
        <v>0.1423611111111111</v>
      </c>
      <c r="AU42" s="30">
        <f>Table1419[[#This Row],[Proposed_QT_M_Agegrouped_roundedup]]*1440</f>
        <v>205</v>
      </c>
      <c r="AV42" s="30">
        <f>Table1419[[#This Row],[Proposed_QT_M_Agegrouped_roundedup_min]]-Table1419[[#This Row],[QT_Men_2020_min]]</f>
        <v>0</v>
      </c>
      <c r="AW42" s="40">
        <f>(Table1419[[#This Row],[Proposed_QT_M_Agegrouped_roundedup_min]]-Table1419[[#This Row],[QT_Men_2020_min]])/Table1419[[#This Row],[QT_Men_2020_min]]</f>
        <v>0</v>
      </c>
      <c r="AX42" s="32">
        <f>Table1419[[#This Row],[Age Best_Women]]/Table1419[[#This Row],[Proposed_uniform_AG%]]</f>
        <v>0.16243265869904991</v>
      </c>
      <c r="AY42" s="29">
        <f>AVERAGE($AX$38:$AX$42)</f>
        <v>0.15832353410161465</v>
      </c>
      <c r="AZ42" s="33">
        <f>CEILING(Table1419[[#This Row],[Proposed_QT_W_Agegrouped]],"00:01:00")</f>
        <v>0.15833333333333333</v>
      </c>
      <c r="BA42" s="34">
        <f>Table1419[[#This Row],[Proposed_QT_W_Agegrouped_roundedup]]*1440</f>
        <v>228</v>
      </c>
      <c r="BB42" s="34">
        <f>Table1419[[#This Row],[Proposed_QT_W_Agegrouped_roundedup_min]]-Table1419[[#This Row],[Qualifying_Time_Women_2020_min]]</f>
        <v>-7</v>
      </c>
      <c r="BC42" s="41">
        <f>(Table1419[[#This Row],[Proposed_QT_W_Agegrouped_roundedup_min]]-Table1419[[#This Row],[Qualifying_Time_Women_2020_min]])/Table1419[[#This Row],[Qualifying_Time_Women_2020_min]]</f>
        <v>-2.9787234042553193E-2</v>
      </c>
      <c r="BD42" s="36" t="s">
        <v>77</v>
      </c>
      <c r="BE42" s="37">
        <f>Table1419[[#This Row],[Age Best_Men_20]]/Table1419[[#This Row],[Proposed_QT_M_Agegrouped_roundedup]]</f>
        <v>0.6891355639836737</v>
      </c>
      <c r="BF42" s="38">
        <f>Table1419[[#This Row],[Age Best_Women]]/Table1419[[#This Row],[Proposed_QT_W_Agegrouped_roundedup]]</f>
        <v>0.69760552367591966</v>
      </c>
    </row>
    <row r="43" spans="1:86" s="39" customFormat="1" x14ac:dyDescent="0.55000000000000004">
      <c r="A43" s="18">
        <v>55</v>
      </c>
      <c r="B43" s="19">
        <f>IF(BQs_over_time_AG20!$A43="","",SUMIF('2020_Road Weights'!$A:$A,"M",'2020_Road Weights'!$F:$F)/3600/24)</f>
        <v>8.4479166666666661E-2</v>
      </c>
      <c r="C43" s="20">
        <f>IF(A43="","",INDEX('2020_Road Weights'!$A:$CX,MATCH("M",'2020_Road Weights'!$A:$A,FALSE),MATCH(BQs_over_time_AG20!$A43,'2020_Road Weights'!$1:$1,FALSE)))</f>
        <v>0.85329999999999995</v>
      </c>
      <c r="D43" s="19">
        <f>IFERROR(BQs_over_time_AG20!$B43/BQs_over_time_AG20!$C43,"")</f>
        <v>9.9002890737919444E-2</v>
      </c>
      <c r="E43" s="19">
        <v>0.15625</v>
      </c>
      <c r="F43" s="21">
        <f>Table1419[[#This Row],[QT_Men_03_12]]*1440</f>
        <v>225</v>
      </c>
      <c r="G43" s="20">
        <f>IFERROR(BQs_over_time_AG20!$D43/BQs_over_time_AG20!$E43,"")</f>
        <v>0.63361850072268444</v>
      </c>
      <c r="H43" s="19">
        <f>IFERROR(Table1419[[#This Row],[QT_Men_03_12]]*Table1419[[#This Row],[Age_Factor_Men_20]],"")</f>
        <v>0.13332812499999999</v>
      </c>
      <c r="I43" s="21">
        <f>Table1419[[#This Row],[AG_Time_Men_03_12]]*1440</f>
        <v>191.99249999999998</v>
      </c>
      <c r="J43" s="19">
        <v>0.15277777777777776</v>
      </c>
      <c r="K43" s="21">
        <f>Table1419[[#This Row],[QT_Men_13_19]]*1440</f>
        <v>219.99999999999997</v>
      </c>
      <c r="L43" s="20">
        <f>IFERROR(BQs_over_time_AG20!$D43/BQs_over_time_AG20!$J43,"")</f>
        <v>0.64801892119365456</v>
      </c>
      <c r="M43" s="19">
        <f>Table1419[[#This Row],[QT_Men_13_19]]*Table1419[[#This Row],[Age_Factor_Men_20]]</f>
        <v>0.13036527777777776</v>
      </c>
      <c r="N43" s="21">
        <f>Table1419[[#This Row],[AG_Time_Men_13_19]]*1440</f>
        <v>187.72599999999997</v>
      </c>
      <c r="O43" s="19">
        <v>0.14930555555555555</v>
      </c>
      <c r="P43" s="21">
        <f>Table1419[[#This Row],[QT_Men_2020]]*1440</f>
        <v>215</v>
      </c>
      <c r="Q43" s="22">
        <f>IFERROR(BQs_over_time_AG20!$D43/BQs_over_time_AG20!$O43,"")</f>
        <v>0.66308912866327441</v>
      </c>
      <c r="R43" s="19">
        <f>Table1419[[#This Row],[QT_Men_2020]]*Table1419[[#This Row],[Age_Factor_Men_20]]</f>
        <v>0.12740243055555556</v>
      </c>
      <c r="S43" s="21">
        <f>Table1419[[#This Row],[AG_Time_Men_2020]]*1440</f>
        <v>183.45949999999999</v>
      </c>
      <c r="T43" s="19">
        <f>IF(BQs_over_time_AG20!$A43="","",SUMIF('2020_Road Weights'!$A:$A,"F",'2020_Road Weights'!$F:$F)/3600/24)</f>
        <v>9.3101851851851838E-2</v>
      </c>
      <c r="U43" s="20">
        <f>INDEX('2020_Road Weights'!$A:$CX,MATCH("F",'2020_Road Weights'!$A:$A,FALSE),MATCH(BQs_over_time_AG20!$A43,'2020_Road Weights'!$1:$1,FALSE))</f>
        <v>0.83189999999999997</v>
      </c>
      <c r="V43" s="19">
        <f>IFERROR(BQs_over_time_AG20!$T43/BQs_over_time_AG20!$U43,"")</f>
        <v>0.11191471553293887</v>
      </c>
      <c r="W43" s="19">
        <v>0.17708333333333331</v>
      </c>
      <c r="X43" s="21">
        <f>Table1419[[#This Row],[Qualifying_Time_Women_03_12]]*1440</f>
        <v>254.99999999999997</v>
      </c>
      <c r="Y43" s="20">
        <f>IFERROR(BQs_over_time_AG20!$V43/BQs_over_time_AG20!$W43,"")</f>
        <v>0.63198898183306662</v>
      </c>
      <c r="Z43" s="19">
        <f>Table1419[[#This Row],[Qualifying_Time_Women_03_12]]*Table1419[[#This Row],[Age_Factor_Women]]</f>
        <v>0.14731562499999998</v>
      </c>
      <c r="AA43" s="21">
        <f>Table1419[[#This Row],[AG_Time_Women_03_12]]*1440</f>
        <v>212.13449999999997</v>
      </c>
      <c r="AB43" s="19">
        <v>0.17361111111111113</v>
      </c>
      <c r="AC43" s="21">
        <f>Table1419[[#This Row],[Qualifying_Time_Women_13_19]]*1440</f>
        <v>250.00000000000003</v>
      </c>
      <c r="AD43" s="23">
        <f>IFERROR(BQs_over_time_AG20!$V43/BQs_over_time_AG20!$AB43,"")</f>
        <v>0.64462876146972781</v>
      </c>
      <c r="AE43" s="19">
        <f>Table1419[[#This Row],[Qualifying_Time_Women_13_19]]*Table1419[[#This Row],[Age_Factor_Women]]</f>
        <v>0.14442708333333334</v>
      </c>
      <c r="AF43" s="21">
        <f>Table1419[[#This Row],[AG_Time_Women_13_19]]*1440</f>
        <v>207.97500000000002</v>
      </c>
      <c r="AG43" s="19">
        <v>0.17013888888888887</v>
      </c>
      <c r="AH43" s="21">
        <f>Table1419[[#This Row],[Qualifying_Time_Women_2020]]*1440</f>
        <v>244.99999999999997</v>
      </c>
      <c r="AI43" s="24">
        <f>IFERROR(BQs_over_time_AG20!$V43/BQs_over_time_AG20!$AG43,"")</f>
        <v>0.65778445047931422</v>
      </c>
      <c r="AJ43" s="19">
        <f>Table1419[[#This Row],[Qualifying_Time_Women_2020]]*Table1419[[#This Row],[Age_Factor_Women]]</f>
        <v>0.14153854166666666</v>
      </c>
      <c r="AK43" s="25">
        <f>Table1419[[#This Row],[AG_Time_Women_2020]]*1440</f>
        <v>203.81549999999999</v>
      </c>
      <c r="AL43" s="26">
        <f t="shared" si="0"/>
        <v>0.6</v>
      </c>
      <c r="AM43" s="27">
        <f t="shared" si="1"/>
        <v>9.9999999999999978E-2</v>
      </c>
      <c r="AN43" s="27">
        <f t="shared" si="2"/>
        <v>0.10000000000000009</v>
      </c>
      <c r="AO43" s="27">
        <f t="shared" si="3"/>
        <v>9.9999999999999978E-2</v>
      </c>
      <c r="AP43" s="27">
        <f t="shared" si="4"/>
        <v>9.9999999999999978E-2</v>
      </c>
      <c r="AQ43" s="28">
        <v>0.68</v>
      </c>
      <c r="AR43" s="29">
        <f>Table1419[[#This Row],[Age Best_Men_20]]/Table1419[[#This Row],[Proposed_uniform_AG%]]</f>
        <v>0.14559248637929328</v>
      </c>
      <c r="AS43" s="29">
        <f>AVERAGE($AR$43:$AR$47)</f>
        <v>0.14831519491536505</v>
      </c>
      <c r="AT43" s="29">
        <f>CEILING(Table1419[[#This Row],[Proposed_QT_M_Agegrouped]],"00:01:00")</f>
        <v>0.14861111111111111</v>
      </c>
      <c r="AU43" s="30">
        <f>Table1419[[#This Row],[Proposed_QT_M_Agegrouped_roundedup]]*1440</f>
        <v>214</v>
      </c>
      <c r="AV43" s="30">
        <f>Table1419[[#This Row],[Proposed_QT_M_Agegrouped_roundedup_min]]-Table1419[[#This Row],[QT_Men_2020_min]]</f>
        <v>-1</v>
      </c>
      <c r="AW43" s="40">
        <f>(Table1419[[#This Row],[Proposed_QT_M_Agegrouped_roundedup_min]]-Table1419[[#This Row],[QT_Men_2020_min]])/Table1419[[#This Row],[QT_Men_2020_min]]</f>
        <v>-4.6511627906976744E-3</v>
      </c>
      <c r="AX43" s="32">
        <f>Table1419[[#This Row],[Age Best_Women]]/Table1419[[#This Row],[Proposed_uniform_AG%]]</f>
        <v>0.16458046401902773</v>
      </c>
      <c r="AY43" s="29">
        <f>AVERAGE($AX$43:$AX$47)</f>
        <v>0.16914357107403633</v>
      </c>
      <c r="AZ43" s="33">
        <f>CEILING(Table1419[[#This Row],[Proposed_QT_W_Agegrouped]],"00:01:00")</f>
        <v>0.16944444444444445</v>
      </c>
      <c r="BA43" s="34">
        <f>Table1419[[#This Row],[Proposed_QT_W_Agegrouped_roundedup]]*1440</f>
        <v>244</v>
      </c>
      <c r="BB43" s="34">
        <f>Table1419[[#This Row],[Proposed_QT_W_Agegrouped_roundedup_min]]-Table1419[[#This Row],[Qualifying_Time_Women_2020_min]]</f>
        <v>-0.99999999999997158</v>
      </c>
      <c r="BC43" s="41">
        <f>(Table1419[[#This Row],[Proposed_QT_W_Agegrouped_roundedup_min]]-Table1419[[#This Row],[Qualifying_Time_Women_2020_min]])/Table1419[[#This Row],[Qualifying_Time_Women_2020_min]]</f>
        <v>-4.0816326530611086E-3</v>
      </c>
      <c r="BD43" s="36" t="s">
        <v>78</v>
      </c>
      <c r="BE43" s="37">
        <f>Table1419[[#This Row],[Age Best_Men_20]]/Table1419[[#This Row],[Proposed_QT_M_Agegrouped_roundedup]]</f>
        <v>0.66618767599347661</v>
      </c>
      <c r="BF43" s="38">
        <f>Table1419[[#This Row],[Age Best_Women]]/Table1419[[#This Row],[Proposed_QT_W_Agegrouped_roundedup]]</f>
        <v>0.66048028839111461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</row>
    <row r="44" spans="1:86" x14ac:dyDescent="0.55000000000000004">
      <c r="A44" s="18">
        <v>56</v>
      </c>
      <c r="B44" s="19">
        <f>IF(BQs_over_time_AG20!$A44="","",SUMIF('2020_Road Weights'!$A:$A,"M",'2020_Road Weights'!$F:$F)/3600/24)</f>
        <v>8.4479166666666661E-2</v>
      </c>
      <c r="C44" s="20">
        <f>IF(A44="","",INDEX('2020_Road Weights'!$A:$CX,MATCH("M",'2020_Road Weights'!$A:$A,FALSE),MATCH(BQs_over_time_AG20!$A44,'2020_Road Weights'!$1:$1,FALSE)))</f>
        <v>0.84560000000000002</v>
      </c>
      <c r="D44" s="19">
        <f>IFERROR(BQs_over_time_AG20!$B44/BQs_over_time_AG20!$C44,"")</f>
        <v>9.9904407127089243E-2</v>
      </c>
      <c r="E44" s="19">
        <v>0.15625</v>
      </c>
      <c r="F44" s="21">
        <f>Table1419[[#This Row],[QT_Men_03_12]]*1440</f>
        <v>225</v>
      </c>
      <c r="G44" s="20">
        <f>IFERROR(BQs_over_time_AG20!$D44/BQs_over_time_AG20!$E44,"")</f>
        <v>0.63938820561337117</v>
      </c>
      <c r="H44" s="19">
        <f>IFERROR(Table1419[[#This Row],[QT_Men_03_12]]*Table1419[[#This Row],[Age_Factor_Men_20]],"")</f>
        <v>0.13212499999999999</v>
      </c>
      <c r="I44" s="21">
        <f>Table1419[[#This Row],[AG_Time_Men_03_12]]*1440</f>
        <v>190.26</v>
      </c>
      <c r="J44" s="19">
        <v>0.15277777777777776</v>
      </c>
      <c r="K44" s="21">
        <f>Table1419[[#This Row],[QT_Men_13_19]]*1440</f>
        <v>219.99999999999997</v>
      </c>
      <c r="L44" s="20">
        <f>IFERROR(BQs_over_time_AG20!$D44/BQs_over_time_AG20!$J44,"")</f>
        <v>0.65391975574094785</v>
      </c>
      <c r="M44" s="19">
        <f>Table1419[[#This Row],[QT_Men_13_19]]*Table1419[[#This Row],[Age_Factor_Men_20]]</f>
        <v>0.12918888888888888</v>
      </c>
      <c r="N44" s="21">
        <f>Table1419[[#This Row],[AG_Time_Men_13_19]]*1440</f>
        <v>186.03199999999998</v>
      </c>
      <c r="O44" s="19">
        <v>0.14930555555555555</v>
      </c>
      <c r="P44" s="21">
        <f>Table1419[[#This Row],[QT_Men_2020]]*1440</f>
        <v>215</v>
      </c>
      <c r="Q44" s="22">
        <f>IFERROR(BQs_over_time_AG20!$D44/BQs_over_time_AG20!$O44,"")</f>
        <v>0.66912719192096981</v>
      </c>
      <c r="R44" s="19">
        <f>Table1419[[#This Row],[QT_Men_2020]]*Table1419[[#This Row],[Age_Factor_Men_20]]</f>
        <v>0.12625277777777777</v>
      </c>
      <c r="S44" s="21">
        <f>Table1419[[#This Row],[AG_Time_Men_2020]]*1440</f>
        <v>181.80399999999997</v>
      </c>
      <c r="T44" s="19">
        <f>IF(BQs_over_time_AG20!$A44="","",SUMIF('2020_Road Weights'!$A:$A,"F",'2020_Road Weights'!$F:$F)/3600/24)</f>
        <v>9.3101851851851838E-2</v>
      </c>
      <c r="U44" s="20">
        <f>INDEX('2020_Road Weights'!$A:$CX,MATCH("F",'2020_Road Weights'!$A:$A,FALSE),MATCH(BQs_over_time_AG20!$A44,'2020_Road Weights'!$1:$1,FALSE))</f>
        <v>0.82079999999999997</v>
      </c>
      <c r="V44" s="19">
        <f>IFERROR(BQs_over_time_AG20!$T44/BQs_over_time_AG20!$U44,"")</f>
        <v>0.11342818208071619</v>
      </c>
      <c r="W44" s="19">
        <v>0.17708333333333331</v>
      </c>
      <c r="X44" s="21">
        <f>Table1419[[#This Row],[Qualifying_Time_Women_03_12]]*1440</f>
        <v>254.99999999999997</v>
      </c>
      <c r="Y44" s="20">
        <f>IFERROR(BQs_over_time_AG20!$V44/BQs_over_time_AG20!$W44,"")</f>
        <v>0.64053561645580914</v>
      </c>
      <c r="Z44" s="19">
        <f>Table1419[[#This Row],[Qualifying_Time_Women_03_12]]*Table1419[[#This Row],[Age_Factor_Women]]</f>
        <v>0.14534999999999998</v>
      </c>
      <c r="AA44" s="21">
        <f>Table1419[[#This Row],[AG_Time_Women_03_12]]*1440</f>
        <v>209.30399999999997</v>
      </c>
      <c r="AB44" s="19">
        <v>0.17361111111111113</v>
      </c>
      <c r="AC44" s="21">
        <f>Table1419[[#This Row],[Qualifying_Time_Women_13_19]]*1440</f>
        <v>250.00000000000003</v>
      </c>
      <c r="AD44" s="23">
        <f>IFERROR(BQs_over_time_AG20!$V44/BQs_over_time_AG20!$AB44,"")</f>
        <v>0.65334632878492516</v>
      </c>
      <c r="AE44" s="19">
        <f>Table1419[[#This Row],[Qualifying_Time_Women_13_19]]*Table1419[[#This Row],[Age_Factor_Women]]</f>
        <v>0.14250000000000002</v>
      </c>
      <c r="AF44" s="21">
        <f>Table1419[[#This Row],[AG_Time_Women_13_19]]*1440</f>
        <v>205.20000000000002</v>
      </c>
      <c r="AG44" s="19">
        <v>0.17013888888888887</v>
      </c>
      <c r="AH44" s="21">
        <f>Table1419[[#This Row],[Qualifying_Time_Women_2020]]*1440</f>
        <v>244.99999999999997</v>
      </c>
      <c r="AI44" s="24">
        <f>IFERROR(BQs_over_time_AG20!$V44/BQs_over_time_AG20!$AG44,"")</f>
        <v>0.66667992733155645</v>
      </c>
      <c r="AJ44" s="19">
        <f>Table1419[[#This Row],[Qualifying_Time_Women_2020]]*Table1419[[#This Row],[Age_Factor_Women]]</f>
        <v>0.13964999999999997</v>
      </c>
      <c r="AK44" s="25">
        <f>Table1419[[#This Row],[AG_Time_Women_2020]]*1440</f>
        <v>201.09599999999995</v>
      </c>
      <c r="AL44" s="26">
        <f t="shared" si="0"/>
        <v>0.6</v>
      </c>
      <c r="AM44" s="27">
        <f t="shared" si="1"/>
        <v>9.9999999999999978E-2</v>
      </c>
      <c r="AN44" s="27">
        <f t="shared" si="2"/>
        <v>0.10000000000000009</v>
      </c>
      <c r="AO44" s="27">
        <f t="shared" si="3"/>
        <v>9.9999999999999978E-2</v>
      </c>
      <c r="AP44" s="27">
        <f t="shared" si="4"/>
        <v>9.9999999999999978E-2</v>
      </c>
      <c r="AQ44" s="28">
        <v>0.68</v>
      </c>
      <c r="AR44" s="29">
        <f>Table1419[[#This Row],[Age Best_Men_20]]/Table1419[[#This Row],[Proposed_uniform_AG%]]</f>
        <v>0.14691824577513124</v>
      </c>
      <c r="AS44" s="29">
        <f t="shared" ref="AS44:AS47" si="11">AVERAGE($AR$43:$AR$47)</f>
        <v>0.14831519491536505</v>
      </c>
      <c r="AT44" s="29">
        <f>CEILING(Table1419[[#This Row],[Proposed_QT_M_Agegrouped]],"00:01:00")</f>
        <v>0.14861111111111111</v>
      </c>
      <c r="AU44" s="30">
        <f>Table1419[[#This Row],[Proposed_QT_M_Agegrouped_roundedup]]*1440</f>
        <v>214</v>
      </c>
      <c r="AV44" s="30">
        <f>Table1419[[#This Row],[Proposed_QT_M_Agegrouped_roundedup_min]]-Table1419[[#This Row],[QT_Men_2020_min]]</f>
        <v>-1</v>
      </c>
      <c r="AW44" s="40">
        <f>(Table1419[[#This Row],[Proposed_QT_M_Agegrouped_roundedup_min]]-Table1419[[#This Row],[QT_Men_2020_min]])/Table1419[[#This Row],[QT_Men_2020_min]]</f>
        <v>-4.6511627906976744E-3</v>
      </c>
      <c r="AX44" s="32">
        <f>Table1419[[#This Row],[Age Best_Women]]/Table1419[[#This Row],[Proposed_uniform_AG%]]</f>
        <v>0.16680615011870026</v>
      </c>
      <c r="AY44" s="29">
        <f>AVERAGE($AX$43:$AX$47)</f>
        <v>0.16914357107403633</v>
      </c>
      <c r="AZ44" s="33">
        <f>CEILING(Table1419[[#This Row],[Proposed_QT_W_Agegrouped]],"00:01:00")</f>
        <v>0.16944444444444445</v>
      </c>
      <c r="BA44" s="34">
        <f>Table1419[[#This Row],[Proposed_QT_W_Agegrouped_roundedup]]*1440</f>
        <v>244</v>
      </c>
      <c r="BB44" s="34">
        <f>Table1419[[#This Row],[Proposed_QT_W_Agegrouped_roundedup_min]]-Table1419[[#This Row],[Qualifying_Time_Women_2020_min]]</f>
        <v>-0.99999999999997158</v>
      </c>
      <c r="BC44" s="41">
        <f>(Table1419[[#This Row],[Proposed_QT_W_Agegrouped_roundedup_min]]-Table1419[[#This Row],[Qualifying_Time_Women_2020_min]])/Table1419[[#This Row],[Qualifying_Time_Women_2020_min]]</f>
        <v>-4.0816326530611086E-3</v>
      </c>
      <c r="BD44" s="36" t="s">
        <v>78</v>
      </c>
      <c r="BE44" s="37">
        <f>Table1419[[#This Row],[Age Best_Men_20]]/Table1419[[#This Row],[Proposed_QT_M_Agegrouped_roundedup]]</f>
        <v>0.67225395450003977</v>
      </c>
      <c r="BF44" s="38">
        <f>Table1419[[#This Row],[Age Best_Women]]/Table1419[[#This Row],[Proposed_QT_W_Agegrouped_roundedup]]</f>
        <v>0.66941222211570206</v>
      </c>
    </row>
    <row r="45" spans="1:86" x14ac:dyDescent="0.55000000000000004">
      <c r="A45" s="18">
        <v>57</v>
      </c>
      <c r="B45" s="19">
        <f>IF(BQs_over_time_AG20!$A45="","",SUMIF('2020_Road Weights'!$A:$A,"M",'2020_Road Weights'!$F:$F)/3600/24)</f>
        <v>8.4479166666666661E-2</v>
      </c>
      <c r="C45" s="20">
        <f>IF(A45="","",INDEX('2020_Road Weights'!$A:$CX,MATCH("M",'2020_Road Weights'!$A:$A,FALSE),MATCH(BQs_over_time_AG20!$A45,'2020_Road Weights'!$1:$1,FALSE)))</f>
        <v>0.83779999999999999</v>
      </c>
      <c r="D45" s="19">
        <f>IFERROR(BQs_over_time_AG20!$B45/BQs_over_time_AG20!$C45,"")</f>
        <v>0.10083452693562504</v>
      </c>
      <c r="E45" s="19">
        <v>0.15625</v>
      </c>
      <c r="F45" s="21">
        <f>Table1419[[#This Row],[QT_Men_03_12]]*1440</f>
        <v>225</v>
      </c>
      <c r="G45" s="20">
        <f>IFERROR(BQs_over_time_AG20!$D45/BQs_over_time_AG20!$E45,"")</f>
        <v>0.64534097238800026</v>
      </c>
      <c r="H45" s="19">
        <f>IFERROR(Table1419[[#This Row],[QT_Men_03_12]]*Table1419[[#This Row],[Age_Factor_Men_20]],"")</f>
        <v>0.13090625</v>
      </c>
      <c r="I45" s="21">
        <f>Table1419[[#This Row],[AG_Time_Men_03_12]]*1440</f>
        <v>188.505</v>
      </c>
      <c r="J45" s="19">
        <v>0.15277777777777776</v>
      </c>
      <c r="K45" s="21">
        <f>Table1419[[#This Row],[QT_Men_13_19]]*1440</f>
        <v>219.99999999999997</v>
      </c>
      <c r="L45" s="20">
        <f>IFERROR(BQs_over_time_AG20!$D45/BQs_over_time_AG20!$J45,"")</f>
        <v>0.66000781266954578</v>
      </c>
      <c r="M45" s="19">
        <f>Table1419[[#This Row],[QT_Men_13_19]]*Table1419[[#This Row],[Age_Factor_Men_20]]</f>
        <v>0.12799722222222221</v>
      </c>
      <c r="N45" s="21">
        <f>Table1419[[#This Row],[AG_Time_Men_13_19]]*1440</f>
        <v>184.31599999999997</v>
      </c>
      <c r="O45" s="19">
        <v>0.14930555555555555</v>
      </c>
      <c r="P45" s="21">
        <f>Table1419[[#This Row],[QT_Men_2020]]*1440</f>
        <v>215</v>
      </c>
      <c r="Q45" s="22">
        <f>IFERROR(BQs_over_time_AG20!$D45/BQs_over_time_AG20!$O45,"")</f>
        <v>0.67535683156883752</v>
      </c>
      <c r="R45" s="19">
        <f>Table1419[[#This Row],[QT_Men_2020]]*Table1419[[#This Row],[Age_Factor_Men_20]]</f>
        <v>0.12508819444444444</v>
      </c>
      <c r="S45" s="21">
        <f>Table1419[[#This Row],[AG_Time_Men_2020]]*1440</f>
        <v>180.12699999999998</v>
      </c>
      <c r="T45" s="19">
        <f>IF(BQs_over_time_AG20!$A45="","",SUMIF('2020_Road Weights'!$A:$A,"F",'2020_Road Weights'!$F:$F)/3600/24)</f>
        <v>9.3101851851851838E-2</v>
      </c>
      <c r="U45" s="20">
        <f>INDEX('2020_Road Weights'!$A:$CX,MATCH("F",'2020_Road Weights'!$A:$A,FALSE),MATCH(BQs_over_time_AG20!$A45,'2020_Road Weights'!$1:$1,FALSE))</f>
        <v>0.80979999999999996</v>
      </c>
      <c r="V45" s="19">
        <f>IFERROR(BQs_over_time_AG20!$T45/BQs_over_time_AG20!$U45,"")</f>
        <v>0.11496894523567774</v>
      </c>
      <c r="W45" s="19">
        <v>0.17708333333333331</v>
      </c>
      <c r="X45" s="21">
        <f>Table1419[[#This Row],[Qualifying_Time_Women_03_12]]*1440</f>
        <v>254.99999999999997</v>
      </c>
      <c r="Y45" s="20">
        <f>IFERROR(BQs_over_time_AG20!$V45/BQs_over_time_AG20!$W45,"")</f>
        <v>0.64923639662500376</v>
      </c>
      <c r="Z45" s="19">
        <f>Table1419[[#This Row],[Qualifying_Time_Women_03_12]]*Table1419[[#This Row],[Age_Factor_Women]]</f>
        <v>0.14340208333333332</v>
      </c>
      <c r="AA45" s="21">
        <f>Table1419[[#This Row],[AG_Time_Women_03_12]]*1440</f>
        <v>206.49899999999997</v>
      </c>
      <c r="AB45" s="19">
        <v>0.17361111111111113</v>
      </c>
      <c r="AC45" s="21">
        <f>Table1419[[#This Row],[Qualifying_Time_Women_13_19]]*1440</f>
        <v>250.00000000000003</v>
      </c>
      <c r="AD45" s="23">
        <f>IFERROR(BQs_over_time_AG20!$V45/BQs_over_time_AG20!$AB45,"")</f>
        <v>0.6622211245575037</v>
      </c>
      <c r="AE45" s="19">
        <f>Table1419[[#This Row],[Qualifying_Time_Women_13_19]]*Table1419[[#This Row],[Age_Factor_Women]]</f>
        <v>0.1405902777777778</v>
      </c>
      <c r="AF45" s="21">
        <f>Table1419[[#This Row],[AG_Time_Women_13_19]]*1440</f>
        <v>202.45000000000005</v>
      </c>
      <c r="AG45" s="19">
        <v>0.17013888888888887</v>
      </c>
      <c r="AH45" s="21">
        <f>Table1419[[#This Row],[Qualifying_Time_Women_2020]]*1440</f>
        <v>244.99999999999997</v>
      </c>
      <c r="AI45" s="24">
        <f>IFERROR(BQs_over_time_AG20!$V45/BQs_over_time_AG20!$AG45,"")</f>
        <v>0.67573584138520804</v>
      </c>
      <c r="AJ45" s="19">
        <f>Table1419[[#This Row],[Qualifying_Time_Women_2020]]*Table1419[[#This Row],[Age_Factor_Women]]</f>
        <v>0.1377784722222222</v>
      </c>
      <c r="AK45" s="25">
        <f>Table1419[[#This Row],[AG_Time_Women_2020]]*1440</f>
        <v>198.40099999999995</v>
      </c>
      <c r="AL45" s="26">
        <f t="shared" si="0"/>
        <v>0.6</v>
      </c>
      <c r="AM45" s="27">
        <f t="shared" si="1"/>
        <v>9.9999999999999978E-2</v>
      </c>
      <c r="AN45" s="27">
        <f t="shared" si="2"/>
        <v>0.10000000000000009</v>
      </c>
      <c r="AO45" s="27">
        <f t="shared" si="3"/>
        <v>9.9999999999999978E-2</v>
      </c>
      <c r="AP45" s="27">
        <f t="shared" si="4"/>
        <v>9.9999999999999978E-2</v>
      </c>
      <c r="AQ45" s="28">
        <v>0.68</v>
      </c>
      <c r="AR45" s="29">
        <f>Table1419[[#This Row],[Age Best_Men_20]]/Table1419[[#This Row],[Proposed_uniform_AG%]]</f>
        <v>0.148286069022978</v>
      </c>
      <c r="AS45" s="29">
        <f t="shared" si="11"/>
        <v>0.14831519491536505</v>
      </c>
      <c r="AT45" s="29">
        <f>CEILING(Table1419[[#This Row],[Proposed_QT_M_Agegrouped]],"00:01:00")</f>
        <v>0.14861111111111111</v>
      </c>
      <c r="AU45" s="30">
        <f>Table1419[[#This Row],[Proposed_QT_M_Agegrouped_roundedup]]*1440</f>
        <v>214</v>
      </c>
      <c r="AV45" s="30">
        <f>Table1419[[#This Row],[Proposed_QT_M_Agegrouped_roundedup_min]]-Table1419[[#This Row],[QT_Men_2020_min]]</f>
        <v>-1</v>
      </c>
      <c r="AW45" s="40">
        <f>(Table1419[[#This Row],[Proposed_QT_M_Agegrouped_roundedup_min]]-Table1419[[#This Row],[QT_Men_2020_min]])/Table1419[[#This Row],[QT_Men_2020_min]]</f>
        <v>-4.6511627906976744E-3</v>
      </c>
      <c r="AX45" s="32">
        <f>Table1419[[#This Row],[Age Best_Women]]/Table1419[[#This Row],[Proposed_uniform_AG%]]</f>
        <v>0.16907197828776138</v>
      </c>
      <c r="AY45" s="29">
        <f>AVERAGE($AX$43:$AX$47)</f>
        <v>0.16914357107403633</v>
      </c>
      <c r="AZ45" s="33">
        <f>CEILING(Table1419[[#This Row],[Proposed_QT_W_Agegrouped]],"00:01:00")</f>
        <v>0.16944444444444445</v>
      </c>
      <c r="BA45" s="34">
        <f>Table1419[[#This Row],[Proposed_QT_W_Agegrouped_roundedup]]*1440</f>
        <v>244</v>
      </c>
      <c r="BB45" s="34">
        <f>Table1419[[#This Row],[Proposed_QT_W_Agegrouped_roundedup_min]]-Table1419[[#This Row],[Qualifying_Time_Women_2020_min]]</f>
        <v>-0.99999999999997158</v>
      </c>
      <c r="BC45" s="41">
        <f>(Table1419[[#This Row],[Proposed_QT_W_Agegrouped_roundedup_min]]-Table1419[[#This Row],[Qualifying_Time_Women_2020_min]])/Table1419[[#This Row],[Qualifying_Time_Women_2020_min]]</f>
        <v>-4.0816326530611086E-3</v>
      </c>
      <c r="BD45" s="36" t="s">
        <v>78</v>
      </c>
      <c r="BE45" s="37">
        <f>Table1419[[#This Row],[Age Best_Men_20]]/Table1419[[#This Row],[Proposed_QT_M_Agegrouped_roundedup]]</f>
        <v>0.67851270461355173</v>
      </c>
      <c r="BF45" s="38">
        <f>Table1419[[#This Row],[Age Best_Women]]/Table1419[[#This Row],[Proposed_QT_W_Agegrouped_roundedup]]</f>
        <v>0.67850525057121291</v>
      </c>
    </row>
    <row r="46" spans="1:86" x14ac:dyDescent="0.55000000000000004">
      <c r="A46" s="18">
        <v>58</v>
      </c>
      <c r="B46" s="19">
        <f>IF(BQs_over_time_AG20!$A46="","",SUMIF('2020_Road Weights'!$A:$A,"M",'2020_Road Weights'!$F:$F)/3600/24)</f>
        <v>8.4479166666666661E-2</v>
      </c>
      <c r="C46" s="20">
        <f>IF(A46="","",INDEX('2020_Road Weights'!$A:$CX,MATCH("M",'2020_Road Weights'!$A:$A,FALSE),MATCH(BQs_over_time_AG20!$A46,'2020_Road Weights'!$1:$1,FALSE)))</f>
        <v>0.83</v>
      </c>
      <c r="D46" s="19">
        <f>IFERROR(BQs_over_time_AG20!$B46/BQs_over_time_AG20!$C46,"")</f>
        <v>0.10178212851405623</v>
      </c>
      <c r="E46" s="19">
        <v>0.15625</v>
      </c>
      <c r="F46" s="21">
        <f>Table1419[[#This Row],[QT_Men_03_12]]*1440</f>
        <v>225</v>
      </c>
      <c r="G46" s="20">
        <f>IFERROR(BQs_over_time_AG20!$D46/BQs_over_time_AG20!$E46,"")</f>
        <v>0.65140562248995981</v>
      </c>
      <c r="H46" s="19">
        <f>IFERROR(Table1419[[#This Row],[QT_Men_03_12]]*Table1419[[#This Row],[Age_Factor_Men_20]],"")</f>
        <v>0.12968749999999998</v>
      </c>
      <c r="I46" s="21">
        <f>Table1419[[#This Row],[AG_Time_Men_03_12]]*1440</f>
        <v>186.74999999999997</v>
      </c>
      <c r="J46" s="19">
        <v>0.15277777777777776</v>
      </c>
      <c r="K46" s="21">
        <f>Table1419[[#This Row],[QT_Men_13_19]]*1440</f>
        <v>219.99999999999997</v>
      </c>
      <c r="L46" s="20">
        <f>IFERROR(BQs_over_time_AG20!$D46/BQs_over_time_AG20!$J46,"")</f>
        <v>0.6662102957283681</v>
      </c>
      <c r="M46" s="19">
        <f>Table1419[[#This Row],[QT_Men_13_19]]*Table1419[[#This Row],[Age_Factor_Men_20]]</f>
        <v>0.12680555555555553</v>
      </c>
      <c r="N46" s="21">
        <f>Table1419[[#This Row],[AG_Time_Men_13_19]]*1440</f>
        <v>182.59999999999997</v>
      </c>
      <c r="O46" s="19">
        <v>0.14930555555555555</v>
      </c>
      <c r="P46" s="21">
        <f>Table1419[[#This Row],[QT_Men_2020]]*1440</f>
        <v>215</v>
      </c>
      <c r="Q46" s="22">
        <f>IFERROR(BQs_over_time_AG20!$D46/BQs_over_time_AG20!$O46,"")</f>
        <v>0.68170355841972541</v>
      </c>
      <c r="R46" s="19">
        <f>Table1419[[#This Row],[QT_Men_2020]]*Table1419[[#This Row],[Age_Factor_Men_20]]</f>
        <v>0.12392361111111111</v>
      </c>
      <c r="S46" s="21">
        <f>Table1419[[#This Row],[AG_Time_Men_2020]]*1440</f>
        <v>178.45</v>
      </c>
      <c r="T46" s="19">
        <f>IF(BQs_over_time_AG20!$A46="","",SUMIF('2020_Road Weights'!$A:$A,"F",'2020_Road Weights'!$F:$F)/3600/24)</f>
        <v>9.3101851851851838E-2</v>
      </c>
      <c r="U46" s="20">
        <f>INDEX('2020_Road Weights'!$A:$CX,MATCH("F",'2020_Road Weights'!$A:$A,FALSE),MATCH(BQs_over_time_AG20!$A46,'2020_Road Weights'!$1:$1,FALSE))</f>
        <v>0.79869999999999997</v>
      </c>
      <c r="V46" s="19">
        <f>IFERROR(BQs_over_time_AG20!$T46/BQs_over_time_AG20!$U46,"")</f>
        <v>0.11656673576042549</v>
      </c>
      <c r="W46" s="19">
        <v>0.17708333333333331</v>
      </c>
      <c r="X46" s="21">
        <f>Table1419[[#This Row],[Qualifying_Time_Women_03_12]]*1440</f>
        <v>254.99999999999997</v>
      </c>
      <c r="Y46" s="20">
        <f>IFERROR(BQs_over_time_AG20!$V46/BQs_over_time_AG20!$W46,"")</f>
        <v>0.65825921370593221</v>
      </c>
      <c r="Z46" s="19">
        <f>Table1419[[#This Row],[Qualifying_Time_Women_03_12]]*Table1419[[#This Row],[Age_Factor_Women]]</f>
        <v>0.14143645833333332</v>
      </c>
      <c r="AA46" s="21">
        <f>Table1419[[#This Row],[AG_Time_Women_03_12]]*1440</f>
        <v>203.66849999999999</v>
      </c>
      <c r="AB46" s="19">
        <v>0.17361111111111113</v>
      </c>
      <c r="AC46" s="21">
        <f>Table1419[[#This Row],[Qualifying_Time_Women_13_19]]*1440</f>
        <v>250.00000000000003</v>
      </c>
      <c r="AD46" s="23">
        <f>IFERROR(BQs_over_time_AG20!$V46/BQs_over_time_AG20!$AB46,"")</f>
        <v>0.67142439798005071</v>
      </c>
      <c r="AE46" s="19">
        <f>Table1419[[#This Row],[Qualifying_Time_Women_13_19]]*Table1419[[#This Row],[Age_Factor_Women]]</f>
        <v>0.13866319444444444</v>
      </c>
      <c r="AF46" s="21">
        <f>Table1419[[#This Row],[AG_Time_Women_13_19]]*1440</f>
        <v>199.67500000000001</v>
      </c>
      <c r="AG46" s="19">
        <v>0.17013888888888887</v>
      </c>
      <c r="AH46" s="21">
        <f>Table1419[[#This Row],[Qualifying_Time_Women_2020]]*1440</f>
        <v>244.99999999999997</v>
      </c>
      <c r="AI46" s="24">
        <f>IFERROR(BQs_over_time_AG20!$V46/BQs_over_time_AG20!$AG46,"")</f>
        <v>0.68512693671433766</v>
      </c>
      <c r="AJ46" s="19">
        <f>Table1419[[#This Row],[Qualifying_Time_Women_2020]]*Table1419[[#This Row],[Age_Factor_Women]]</f>
        <v>0.13588993055555554</v>
      </c>
      <c r="AK46" s="25">
        <f>Table1419[[#This Row],[AG_Time_Women_2020]]*1440</f>
        <v>195.68149999999997</v>
      </c>
      <c r="AL46" s="26">
        <f t="shared" si="0"/>
        <v>0.6</v>
      </c>
      <c r="AM46" s="27">
        <f t="shared" si="1"/>
        <v>9.9999999999999978E-2</v>
      </c>
      <c r="AN46" s="27">
        <f t="shared" si="2"/>
        <v>0.10000000000000009</v>
      </c>
      <c r="AO46" s="27">
        <f t="shared" si="3"/>
        <v>9.9999999999999978E-2</v>
      </c>
      <c r="AP46" s="27">
        <f t="shared" si="4"/>
        <v>9.9999999999999978E-2</v>
      </c>
      <c r="AQ46" s="28">
        <v>0.68</v>
      </c>
      <c r="AR46" s="29">
        <f>Table1419[[#This Row],[Age Best_Men_20]]/Table1419[[#This Row],[Proposed_uniform_AG%]]</f>
        <v>0.14967960075596504</v>
      </c>
      <c r="AS46" s="29">
        <f t="shared" si="11"/>
        <v>0.14831519491536505</v>
      </c>
      <c r="AT46" s="29">
        <f>CEILING(Table1419[[#This Row],[Proposed_QT_M_Agegrouped]],"00:01:00")</f>
        <v>0.14861111111111111</v>
      </c>
      <c r="AU46" s="30">
        <f>Table1419[[#This Row],[Proposed_QT_M_Agegrouped_roundedup]]*1440</f>
        <v>214</v>
      </c>
      <c r="AV46" s="30">
        <f>Table1419[[#This Row],[Proposed_QT_M_Agegrouped_roundedup_min]]-Table1419[[#This Row],[QT_Men_2020_min]]</f>
        <v>-1</v>
      </c>
      <c r="AW46" s="40">
        <f>(Table1419[[#This Row],[Proposed_QT_M_Agegrouped_roundedup_min]]-Table1419[[#This Row],[QT_Men_2020_min]])/Table1419[[#This Row],[QT_Men_2020_min]]</f>
        <v>-4.6511627906976744E-3</v>
      </c>
      <c r="AX46" s="32">
        <f>Table1419[[#This Row],[Age Best_Women]]/Table1419[[#This Row],[Proposed_uniform_AG%]]</f>
        <v>0.17142167023591984</v>
      </c>
      <c r="AY46" s="29">
        <f>AVERAGE($AX$43:$AX$47)</f>
        <v>0.16914357107403633</v>
      </c>
      <c r="AZ46" s="33">
        <f>CEILING(Table1419[[#This Row],[Proposed_QT_W_Agegrouped]],"00:01:00")</f>
        <v>0.16944444444444445</v>
      </c>
      <c r="BA46" s="34">
        <f>Table1419[[#This Row],[Proposed_QT_W_Agegrouped_roundedup]]*1440</f>
        <v>244</v>
      </c>
      <c r="BB46" s="34">
        <f>Table1419[[#This Row],[Proposed_QT_W_Agegrouped_roundedup_min]]-Table1419[[#This Row],[Qualifying_Time_Women_2020_min]]</f>
        <v>-0.99999999999997158</v>
      </c>
      <c r="BC46" s="41">
        <f>(Table1419[[#This Row],[Proposed_QT_W_Agegrouped_roundedup_min]]-Table1419[[#This Row],[Qualifying_Time_Women_2020_min]])/Table1419[[#This Row],[Qualifying_Time_Women_2020_min]]</f>
        <v>-4.0816326530611086E-3</v>
      </c>
      <c r="BD46" s="36" t="s">
        <v>78</v>
      </c>
      <c r="BE46" s="37">
        <f>Table1419[[#This Row],[Age Best_Men_20]]/Table1419[[#This Row],[Proposed_QT_M_Agegrouped_roundedup]]</f>
        <v>0.68488908906654655</v>
      </c>
      <c r="BF46" s="38">
        <f>Table1419[[#This Row],[Age Best_Women]]/Table1419[[#This Row],[Proposed_QT_W_Agegrouped_roundedup]]</f>
        <v>0.68793483399595368</v>
      </c>
    </row>
    <row r="47" spans="1:86" x14ac:dyDescent="0.55000000000000004">
      <c r="A47" s="18">
        <v>59</v>
      </c>
      <c r="B47" s="19">
        <f>IF(BQs_over_time_AG20!$A47="","",SUMIF('2020_Road Weights'!$A:$A,"M",'2020_Road Weights'!$F:$F)/3600/24)</f>
        <v>8.4479166666666661E-2</v>
      </c>
      <c r="C47" s="20">
        <f>IF(A47="","",INDEX('2020_Road Weights'!$A:$CX,MATCH("M",'2020_Road Weights'!$A:$A,FALSE),MATCH(BQs_over_time_AG20!$A47,'2020_Road Weights'!$1:$1,FALSE)))</f>
        <v>0.82220000000000004</v>
      </c>
      <c r="D47" s="19">
        <f>IFERROR(BQs_over_time_AG20!$B47/BQs_over_time_AG20!$C47,"")</f>
        <v>0.10274770939755128</v>
      </c>
      <c r="E47" s="19">
        <v>0.15625</v>
      </c>
      <c r="F47" s="21">
        <f>Table1419[[#This Row],[QT_Men_03_12]]*1440</f>
        <v>225</v>
      </c>
      <c r="G47" s="20">
        <f>IFERROR(BQs_over_time_AG20!$D47/BQs_over_time_AG20!$E47,"")</f>
        <v>0.65758534014432812</v>
      </c>
      <c r="H47" s="19">
        <f>IFERROR(Table1419[[#This Row],[QT_Men_03_12]]*Table1419[[#This Row],[Age_Factor_Men_20]],"")</f>
        <v>0.12846875000000002</v>
      </c>
      <c r="I47" s="21">
        <f>Table1419[[#This Row],[AG_Time_Men_03_12]]*1440</f>
        <v>184.99500000000003</v>
      </c>
      <c r="J47" s="19">
        <v>0.15277777777777776</v>
      </c>
      <c r="K47" s="21">
        <f>Table1419[[#This Row],[QT_Men_13_19]]*1440</f>
        <v>219.99999999999997</v>
      </c>
      <c r="L47" s="20">
        <f>IFERROR(BQs_over_time_AG20!$D47/BQs_over_time_AG20!$J47,"")</f>
        <v>0.67253046151124474</v>
      </c>
      <c r="M47" s="19">
        <f>Table1419[[#This Row],[QT_Men_13_19]]*Table1419[[#This Row],[Age_Factor_Men_20]]</f>
        <v>0.12561388888888889</v>
      </c>
      <c r="N47" s="21">
        <f>Table1419[[#This Row],[AG_Time_Men_13_19]]*1440</f>
        <v>180.88399999999999</v>
      </c>
      <c r="O47" s="19">
        <v>0.14930555555555555</v>
      </c>
      <c r="P47" s="21">
        <f>Table1419[[#This Row],[QT_Men_2020]]*1440</f>
        <v>215</v>
      </c>
      <c r="Q47" s="22">
        <f>IFERROR(BQs_over_time_AG20!$D47/BQs_over_time_AG20!$O47,"")</f>
        <v>0.68817070480220388</v>
      </c>
      <c r="R47" s="19">
        <f>Table1419[[#This Row],[QT_Men_2020]]*Table1419[[#This Row],[Age_Factor_Men_20]]</f>
        <v>0.12275902777777778</v>
      </c>
      <c r="S47" s="21">
        <f>Table1419[[#This Row],[AG_Time_Men_2020]]*1440</f>
        <v>176.773</v>
      </c>
      <c r="T47" s="19">
        <f>IF(BQs_over_time_AG20!$A47="","",SUMIF('2020_Road Weights'!$A:$A,"F",'2020_Road Weights'!$F:$F)/3600/24)</f>
        <v>9.3101851851851838E-2</v>
      </c>
      <c r="U47" s="20">
        <f>INDEX('2020_Road Weights'!$A:$CX,MATCH("F",'2020_Road Weights'!$A:$A,FALSE),MATCH(BQs_over_time_AG20!$A47,'2020_Road Weights'!$1:$1,FALSE))</f>
        <v>0.78759999999999997</v>
      </c>
      <c r="V47" s="19">
        <f>IFERROR(BQs_over_time_AG20!$T47/BQs_over_time_AG20!$U47,"")</f>
        <v>0.11820956304196527</v>
      </c>
      <c r="W47" s="19">
        <v>0.17708333333333331</v>
      </c>
      <c r="X47" s="21">
        <f>Table1419[[#This Row],[Qualifying_Time_Women_03_12]]*1440</f>
        <v>254.99999999999997</v>
      </c>
      <c r="Y47" s="20">
        <f>IFERROR(BQs_over_time_AG20!$V47/BQs_over_time_AG20!$W47,"")</f>
        <v>0.66753635600168626</v>
      </c>
      <c r="Z47" s="19">
        <f>Table1419[[#This Row],[Qualifying_Time_Women_03_12]]*Table1419[[#This Row],[Age_Factor_Women]]</f>
        <v>0.13947083333333332</v>
      </c>
      <c r="AA47" s="21">
        <f>Table1419[[#This Row],[AG_Time_Women_03_12]]*1440</f>
        <v>200.83799999999999</v>
      </c>
      <c r="AB47" s="19">
        <v>0.17361111111111113</v>
      </c>
      <c r="AC47" s="21">
        <f>Table1419[[#This Row],[Qualifying_Time_Women_13_19]]*1440</f>
        <v>250.00000000000003</v>
      </c>
      <c r="AD47" s="23">
        <f>IFERROR(BQs_over_time_AG20!$V47/BQs_over_time_AG20!$AB47,"")</f>
        <v>0.68088708312171986</v>
      </c>
      <c r="AE47" s="19">
        <f>Table1419[[#This Row],[Qualifying_Time_Women_13_19]]*Table1419[[#This Row],[Age_Factor_Women]]</f>
        <v>0.13673611111111111</v>
      </c>
      <c r="AF47" s="21">
        <f>Table1419[[#This Row],[AG_Time_Women_13_19]]*1440</f>
        <v>196.9</v>
      </c>
      <c r="AG47" s="19">
        <v>0.17013888888888887</v>
      </c>
      <c r="AH47" s="21">
        <f>Table1419[[#This Row],[Qualifying_Time_Women_2020]]*1440</f>
        <v>244.99999999999997</v>
      </c>
      <c r="AI47" s="24">
        <f>IFERROR(BQs_over_time_AG20!$V47/BQs_over_time_AG20!$AG47,"")</f>
        <v>0.69478273787930611</v>
      </c>
      <c r="AJ47" s="19">
        <f>Table1419[[#This Row],[Qualifying_Time_Women_2020]]*Table1419[[#This Row],[Age_Factor_Women]]</f>
        <v>0.13400138888888888</v>
      </c>
      <c r="AK47" s="25">
        <f>Table1419[[#This Row],[AG_Time_Women_2020]]*1440</f>
        <v>192.96199999999999</v>
      </c>
      <c r="AL47" s="26">
        <f t="shared" si="0"/>
        <v>0.6</v>
      </c>
      <c r="AM47" s="27">
        <f t="shared" si="1"/>
        <v>9.9999999999999978E-2</v>
      </c>
      <c r="AN47" s="27">
        <f t="shared" si="2"/>
        <v>0.10000000000000009</v>
      </c>
      <c r="AO47" s="27">
        <f t="shared" si="3"/>
        <v>9.9999999999999978E-2</v>
      </c>
      <c r="AP47" s="27">
        <f t="shared" si="4"/>
        <v>9.9999999999999978E-2</v>
      </c>
      <c r="AQ47" s="28">
        <v>0.68</v>
      </c>
      <c r="AR47" s="29">
        <f>Table1419[[#This Row],[Age Best_Men_20]]/Table1419[[#This Row],[Proposed_uniform_AG%]]</f>
        <v>0.15109957264345775</v>
      </c>
      <c r="AS47" s="29">
        <f t="shared" si="11"/>
        <v>0.14831519491536505</v>
      </c>
      <c r="AT47" s="29">
        <f>CEILING(Table1419[[#This Row],[Proposed_QT_M_Agegrouped]],"00:01:00")</f>
        <v>0.14861111111111111</v>
      </c>
      <c r="AU47" s="30">
        <f>Table1419[[#This Row],[Proposed_QT_M_Agegrouped_roundedup]]*1440</f>
        <v>214</v>
      </c>
      <c r="AV47" s="30">
        <f>Table1419[[#This Row],[Proposed_QT_M_Agegrouped_roundedup_min]]-Table1419[[#This Row],[QT_Men_2020_min]]</f>
        <v>-1</v>
      </c>
      <c r="AW47" s="40">
        <f>(Table1419[[#This Row],[Proposed_QT_M_Agegrouped_roundedup_min]]-Table1419[[#This Row],[QT_Men_2020_min]])/Table1419[[#This Row],[QT_Men_2020_min]]</f>
        <v>-4.6511627906976744E-3</v>
      </c>
      <c r="AX47" s="32">
        <f>Table1419[[#This Row],[Age Best_Women]]/Table1419[[#This Row],[Proposed_uniform_AG%]]</f>
        <v>0.17383759270877244</v>
      </c>
      <c r="AY47" s="29">
        <f>AVERAGE($AX$43:$AX$47)</f>
        <v>0.16914357107403633</v>
      </c>
      <c r="AZ47" s="33">
        <f>CEILING(Table1419[[#This Row],[Proposed_QT_W_Agegrouped]],"00:01:00")</f>
        <v>0.16944444444444445</v>
      </c>
      <c r="BA47" s="34">
        <f>Table1419[[#This Row],[Proposed_QT_W_Agegrouped_roundedup]]*1440</f>
        <v>244</v>
      </c>
      <c r="BB47" s="34">
        <f>Table1419[[#This Row],[Proposed_QT_W_Agegrouped_roundedup_min]]-Table1419[[#This Row],[Qualifying_Time_Women_2020_min]]</f>
        <v>-0.99999999999997158</v>
      </c>
      <c r="BC47" s="41">
        <f>(Table1419[[#This Row],[Proposed_QT_W_Agegrouped_roundedup_min]]-Table1419[[#This Row],[Qualifying_Time_Women_2020_min]])/Table1419[[#This Row],[Qualifying_Time_Women_2020_min]]</f>
        <v>-4.0816326530611086E-3</v>
      </c>
      <c r="BD47" s="36" t="s">
        <v>78</v>
      </c>
      <c r="BE47" s="37">
        <f>Table1419[[#This Row],[Age Best_Men_20]]/Table1419[[#This Row],[Proposed_QT_M_Agegrouped_roundedup]]</f>
        <v>0.69138645575922353</v>
      </c>
      <c r="BF47" s="38">
        <f>Table1419[[#This Row],[Age Best_Women]]/Table1419[[#This Row],[Proposed_QT_W_Agegrouped_roundedup]]</f>
        <v>0.69763020811651633</v>
      </c>
    </row>
    <row r="48" spans="1:86" s="39" customFormat="1" x14ac:dyDescent="0.55000000000000004">
      <c r="A48" s="18">
        <v>60</v>
      </c>
      <c r="B48" s="19">
        <f>IF(BQs_over_time_AG20!$A48="","",SUMIF('2020_Road Weights'!$A:$A,"M",'2020_Road Weights'!$F:$F)/3600/24)</f>
        <v>8.4479166666666661E-2</v>
      </c>
      <c r="C48" s="20">
        <f>IF(A48="","",INDEX('2020_Road Weights'!$A:$CX,MATCH("M",'2020_Road Weights'!$A:$A,FALSE),MATCH(BQs_over_time_AG20!$A48,'2020_Road Weights'!$1:$1,FALSE)))</f>
        <v>0.81440000000000001</v>
      </c>
      <c r="D48" s="19">
        <f>IFERROR(BQs_over_time_AG20!$B48/BQs_over_time_AG20!$C48,"")</f>
        <v>0.10373178618205631</v>
      </c>
      <c r="E48" s="19">
        <v>0.16666666666666669</v>
      </c>
      <c r="F48" s="21">
        <f>Table1419[[#This Row],[QT_Men_03_12]]*1440</f>
        <v>240.00000000000003</v>
      </c>
      <c r="G48" s="20">
        <f>IFERROR(BQs_over_time_AG20!$D48/BQs_over_time_AG20!$E48,"")</f>
        <v>0.62239071709233773</v>
      </c>
      <c r="H48" s="19">
        <f>IFERROR(Table1419[[#This Row],[QT_Men_03_12]]*Table1419[[#This Row],[Age_Factor_Men_20]],"")</f>
        <v>0.13573333333333334</v>
      </c>
      <c r="I48" s="21">
        <f>Table1419[[#This Row],[AG_Time_Men_03_12]]*1440</f>
        <v>195.45600000000002</v>
      </c>
      <c r="J48" s="19">
        <v>0.16319444444444445</v>
      </c>
      <c r="K48" s="21">
        <f>Table1419[[#This Row],[QT_Men_13_19]]*1440</f>
        <v>235</v>
      </c>
      <c r="L48" s="20">
        <f>IFERROR(BQs_over_time_AG20!$D48/BQs_over_time_AG20!$J48,"")</f>
        <v>0.63563307277515357</v>
      </c>
      <c r="M48" s="19">
        <f>Table1419[[#This Row],[QT_Men_13_19]]*Table1419[[#This Row],[Age_Factor_Men_20]]</f>
        <v>0.13290555555555555</v>
      </c>
      <c r="N48" s="21">
        <f>Table1419[[#This Row],[AG_Time_Men_13_19]]*1440</f>
        <v>191.38399999999999</v>
      </c>
      <c r="O48" s="19">
        <v>0.15972222222222224</v>
      </c>
      <c r="P48" s="21">
        <f>Table1419[[#This Row],[QT_Men_2020]]*1440</f>
        <v>230.00000000000003</v>
      </c>
      <c r="Q48" s="22">
        <f>IFERROR(BQs_over_time_AG20!$D48/BQs_over_time_AG20!$O48,"")</f>
        <v>0.64945118305287419</v>
      </c>
      <c r="R48" s="19">
        <f>Table1419[[#This Row],[QT_Men_2020]]*Table1419[[#This Row],[Age_Factor_Men_20]]</f>
        <v>0.13007777777777779</v>
      </c>
      <c r="S48" s="21">
        <f>Table1419[[#This Row],[AG_Time_Men_2020]]*1440</f>
        <v>187.31200000000001</v>
      </c>
      <c r="T48" s="19">
        <f>IF(BQs_over_time_AG20!$A48="","",SUMIF('2020_Road Weights'!$A:$A,"F",'2020_Road Weights'!$F:$F)/3600/24)</f>
        <v>9.3101851851851838E-2</v>
      </c>
      <c r="U48" s="20">
        <f>INDEX('2020_Road Weights'!$A:$CX,MATCH("F",'2020_Road Weights'!$A:$A,FALSE),MATCH(BQs_over_time_AG20!$A48,'2020_Road Weights'!$1:$1,FALSE))</f>
        <v>0.77659999999999996</v>
      </c>
      <c r="V48" s="19">
        <f>IFERROR(BQs_over_time_AG20!$T48/BQs_over_time_AG20!$U48,"")</f>
        <v>0.11988391945899027</v>
      </c>
      <c r="W48" s="19">
        <v>0.1875</v>
      </c>
      <c r="X48" s="21">
        <f>Table1419[[#This Row],[Qualifying_Time_Women_03_12]]*1440</f>
        <v>270</v>
      </c>
      <c r="Y48" s="20">
        <f>IFERROR(BQs_over_time_AG20!$V48/BQs_over_time_AG20!$W48,"")</f>
        <v>0.63938090378128143</v>
      </c>
      <c r="Z48" s="19">
        <f>Table1419[[#This Row],[Qualifying_Time_Women_03_12]]*Table1419[[#This Row],[Age_Factor_Women]]</f>
        <v>0.14561249999999998</v>
      </c>
      <c r="AA48" s="21">
        <f>Table1419[[#This Row],[AG_Time_Women_03_12]]*1440</f>
        <v>209.68199999999996</v>
      </c>
      <c r="AB48" s="19">
        <v>0.18402777777777779</v>
      </c>
      <c r="AC48" s="21">
        <f>Table1419[[#This Row],[Qualifying_Time_Women_13_19]]*1440</f>
        <v>265</v>
      </c>
      <c r="AD48" s="23">
        <f>IFERROR(BQs_over_time_AG20!$V48/BQs_over_time_AG20!$AB48,"")</f>
        <v>0.65144469441866404</v>
      </c>
      <c r="AE48" s="19">
        <f>Table1419[[#This Row],[Qualifying_Time_Women_13_19]]*Table1419[[#This Row],[Age_Factor_Women]]</f>
        <v>0.14291597222222222</v>
      </c>
      <c r="AF48" s="21">
        <f>Table1419[[#This Row],[AG_Time_Women_13_19]]*1440</f>
        <v>205.79899999999998</v>
      </c>
      <c r="AG48" s="19">
        <v>0.18055555555555555</v>
      </c>
      <c r="AH48" s="21">
        <f>Table1419[[#This Row],[Qualifying_Time_Women_2020]]*1440</f>
        <v>260</v>
      </c>
      <c r="AI48" s="24">
        <f>IFERROR(BQs_over_time_AG20!$V48/BQs_over_time_AG20!$AG48,"")</f>
        <v>0.66397247700363837</v>
      </c>
      <c r="AJ48" s="19">
        <f>Table1419[[#This Row],[Qualifying_Time_Women_2020]]*Table1419[[#This Row],[Age_Factor_Women]]</f>
        <v>0.14021944444444442</v>
      </c>
      <c r="AK48" s="25">
        <f>Table1419[[#This Row],[AG_Time_Women_2020]]*1440</f>
        <v>201.91599999999997</v>
      </c>
      <c r="AL48" s="26">
        <f t="shared" si="0"/>
        <v>0.6</v>
      </c>
      <c r="AM48" s="27">
        <f t="shared" si="1"/>
        <v>9.9999999999999978E-2</v>
      </c>
      <c r="AN48" s="27">
        <f t="shared" si="2"/>
        <v>0.10000000000000009</v>
      </c>
      <c r="AO48" s="27">
        <f t="shared" si="3"/>
        <v>9.9999999999999978E-2</v>
      </c>
      <c r="AP48" s="27">
        <f t="shared" si="4"/>
        <v>9.9999999999999978E-2</v>
      </c>
      <c r="AQ48" s="28">
        <v>0.68</v>
      </c>
      <c r="AR48" s="29">
        <f>Table1419[[#This Row],[Age Best_Men_20]]/Table1419[[#This Row],[Proposed_uniform_AG%]]</f>
        <v>0.15254674438537691</v>
      </c>
      <c r="AS48" s="29">
        <f>AVERAGE($AR$48:$AR$52)</f>
        <v>0.15553980961191471</v>
      </c>
      <c r="AT48" s="29">
        <f>CEILING(Table1419[[#This Row],[Proposed_QT_M_Agegrouped]],"00:01:00")</f>
        <v>0.15555555555555556</v>
      </c>
      <c r="AU48" s="30">
        <f>Table1419[[#This Row],[Proposed_QT_M_Agegrouped_roundedup]]*1440</f>
        <v>224</v>
      </c>
      <c r="AV48" s="30">
        <f>Table1419[[#This Row],[Proposed_QT_M_Agegrouped_roundedup_min]]-Table1419[[#This Row],[QT_Men_2020_min]]</f>
        <v>-6.0000000000000284</v>
      </c>
      <c r="AW48" s="40">
        <f>(Table1419[[#This Row],[Proposed_QT_M_Agegrouped_roundedup_min]]-Table1419[[#This Row],[QT_Men_2020_min]])/Table1419[[#This Row],[QT_Men_2020_min]]</f>
        <v>-2.608695652173925E-2</v>
      </c>
      <c r="AX48" s="32">
        <f>Table1419[[#This Row],[Age Best_Women]]/Table1419[[#This Row],[Proposed_uniform_AG%]]</f>
        <v>0.17629988155733861</v>
      </c>
      <c r="AY48" s="29">
        <f>AVERAGE($AX$48:$AX$52)</f>
        <v>0.18155168762957583</v>
      </c>
      <c r="AZ48" s="33">
        <f>CEILING(Table1419[[#This Row],[Proposed_QT_W_Agegrouped]],"00:01:00")</f>
        <v>0.18194444444444446</v>
      </c>
      <c r="BA48" s="34">
        <f>Table1419[[#This Row],[Proposed_QT_W_Agegrouped_roundedup]]*1440</f>
        <v>262</v>
      </c>
      <c r="BB48" s="34">
        <f>Table1419[[#This Row],[Proposed_QT_W_Agegrouped_roundedup_min]]-Table1419[[#This Row],[Qualifying_Time_Women_2020_min]]</f>
        <v>2</v>
      </c>
      <c r="BC48" s="41">
        <f>(Table1419[[#This Row],[Proposed_QT_W_Agegrouped_roundedup_min]]-Table1419[[#This Row],[Qualifying_Time_Women_2020_min]])/Table1419[[#This Row],[Qualifying_Time_Women_2020_min]]</f>
        <v>7.6923076923076927E-3</v>
      </c>
      <c r="BD48" s="36" t="s">
        <v>79</v>
      </c>
      <c r="BE48" s="37">
        <f>Table1419[[#This Row],[Age Best_Men_20]]/Table1419[[#This Row],[Proposed_QT_M_Agegrouped_roundedup]]</f>
        <v>0.66684719688464766</v>
      </c>
      <c r="BF48" s="38">
        <f>Table1419[[#This Row],[Age Best_Women]]/Table1419[[#This Row],[Proposed_QT_W_Agegrouped_roundedup]]</f>
        <v>0.6589039848127709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</row>
    <row r="49" spans="1:86" x14ac:dyDescent="0.55000000000000004">
      <c r="A49" s="18">
        <v>61</v>
      </c>
      <c r="B49" s="19">
        <f>IF(BQs_over_time_AG20!$A49="","",SUMIF('2020_Road Weights'!$A:$A,"M",'2020_Road Weights'!$F:$F)/3600/24)</f>
        <v>8.4479166666666661E-2</v>
      </c>
      <c r="C49" s="20">
        <f>IF(A49="","",INDEX('2020_Road Weights'!$A:$CX,MATCH("M",'2020_Road Weights'!$A:$A,FALSE),MATCH(BQs_over_time_AG20!$A49,'2020_Road Weights'!$1:$1,FALSE)))</f>
        <v>0.80669999999999997</v>
      </c>
      <c r="D49" s="19">
        <f>IFERROR(BQs_over_time_AG20!$B49/BQs_over_time_AG20!$C49,"")</f>
        <v>0.10472191231767282</v>
      </c>
      <c r="E49" s="19">
        <v>0.16666666666666669</v>
      </c>
      <c r="F49" s="21">
        <f>Table1419[[#This Row],[QT_Men_03_12]]*1440</f>
        <v>240.00000000000003</v>
      </c>
      <c r="G49" s="20">
        <f>IFERROR(BQs_over_time_AG20!$D49/BQs_over_time_AG20!$E49,"")</f>
        <v>0.62833147390603683</v>
      </c>
      <c r="H49" s="19">
        <f>IFERROR(Table1419[[#This Row],[QT_Men_03_12]]*Table1419[[#This Row],[Age_Factor_Men_20]],"")</f>
        <v>0.13445000000000001</v>
      </c>
      <c r="I49" s="21">
        <f>Table1419[[#This Row],[AG_Time_Men_03_12]]*1440</f>
        <v>193.60800000000003</v>
      </c>
      <c r="J49" s="19">
        <v>0.16319444444444445</v>
      </c>
      <c r="K49" s="21">
        <f>Table1419[[#This Row],[QT_Men_13_19]]*1440</f>
        <v>235</v>
      </c>
      <c r="L49" s="20">
        <f>IFERROR(BQs_over_time_AG20!$D49/BQs_over_time_AG20!$J49,"")</f>
        <v>0.6417002286699951</v>
      </c>
      <c r="M49" s="19">
        <f>Table1419[[#This Row],[QT_Men_13_19]]*Table1419[[#This Row],[Age_Factor_Men_20]]</f>
        <v>0.13164895833333334</v>
      </c>
      <c r="N49" s="21">
        <f>Table1419[[#This Row],[AG_Time_Men_13_19]]*1440</f>
        <v>189.5745</v>
      </c>
      <c r="O49" s="19">
        <v>0.15972222222222224</v>
      </c>
      <c r="P49" s="21">
        <f>Table1419[[#This Row],[QT_Men_2020]]*1440</f>
        <v>230.00000000000003</v>
      </c>
      <c r="Q49" s="22">
        <f>IFERROR(BQs_over_time_AG20!$D49/BQs_over_time_AG20!$O49,"")</f>
        <v>0.65565023364108188</v>
      </c>
      <c r="R49" s="19">
        <f>Table1419[[#This Row],[QT_Men_2020]]*Table1419[[#This Row],[Age_Factor_Men_20]]</f>
        <v>0.12884791666666667</v>
      </c>
      <c r="S49" s="21">
        <f>Table1419[[#This Row],[AG_Time_Men_2020]]*1440</f>
        <v>185.541</v>
      </c>
      <c r="T49" s="19">
        <f>IF(BQs_over_time_AG20!$A49="","",SUMIF('2020_Road Weights'!$A:$A,"F",'2020_Road Weights'!$F:$F)/3600/24)</f>
        <v>9.3101851851851838E-2</v>
      </c>
      <c r="U49" s="20">
        <f>INDEX('2020_Road Weights'!$A:$CX,MATCH("F",'2020_Road Weights'!$A:$A,FALSE),MATCH(BQs_over_time_AG20!$A49,'2020_Road Weights'!$1:$1,FALSE))</f>
        <v>0.76549999999999996</v>
      </c>
      <c r="V49" s="19">
        <f>IFERROR(BQs_over_time_AG20!$T49/BQs_over_time_AG20!$U49,"")</f>
        <v>0.12162227544330743</v>
      </c>
      <c r="W49" s="19">
        <v>0.1875</v>
      </c>
      <c r="X49" s="21">
        <f>Table1419[[#This Row],[Qualifying_Time_Women_03_12]]*1440</f>
        <v>270</v>
      </c>
      <c r="Y49" s="20">
        <f>IFERROR(BQs_over_time_AG20!$V49/BQs_over_time_AG20!$W49,"")</f>
        <v>0.64865213569763969</v>
      </c>
      <c r="Z49" s="19">
        <f>Table1419[[#This Row],[Qualifying_Time_Women_03_12]]*Table1419[[#This Row],[Age_Factor_Women]]</f>
        <v>0.14353125</v>
      </c>
      <c r="AA49" s="21">
        <f>Table1419[[#This Row],[AG_Time_Women_03_12]]*1440</f>
        <v>206.685</v>
      </c>
      <c r="AB49" s="19">
        <v>0.18402777777777779</v>
      </c>
      <c r="AC49" s="21">
        <f>Table1419[[#This Row],[Qualifying_Time_Women_13_19]]*1440</f>
        <v>265</v>
      </c>
      <c r="AD49" s="23">
        <f>IFERROR(BQs_over_time_AG20!$V49/BQs_over_time_AG20!$AB49,"")</f>
        <v>0.66089085523910451</v>
      </c>
      <c r="AE49" s="19">
        <f>Table1419[[#This Row],[Qualifying_Time_Women_13_19]]*Table1419[[#This Row],[Age_Factor_Women]]</f>
        <v>0.14087326388888888</v>
      </c>
      <c r="AF49" s="21">
        <f>Table1419[[#This Row],[AG_Time_Women_13_19]]*1440</f>
        <v>202.85749999999999</v>
      </c>
      <c r="AG49" s="19">
        <v>0.18055555555555555</v>
      </c>
      <c r="AH49" s="21">
        <f>Table1419[[#This Row],[Qualifying_Time_Women_2020]]*1440</f>
        <v>260</v>
      </c>
      <c r="AI49" s="24">
        <f>IFERROR(BQs_over_time_AG20!$V49/BQs_over_time_AG20!$AG49,"")</f>
        <v>0.67360029476293348</v>
      </c>
      <c r="AJ49" s="19">
        <f>Table1419[[#This Row],[Qualifying_Time_Women_2020]]*Table1419[[#This Row],[Age_Factor_Women]]</f>
        <v>0.13821527777777776</v>
      </c>
      <c r="AK49" s="25">
        <f>Table1419[[#This Row],[AG_Time_Women_2020]]*1440</f>
        <v>199.02999999999997</v>
      </c>
      <c r="AL49" s="26">
        <f t="shared" si="0"/>
        <v>0.6</v>
      </c>
      <c r="AM49" s="27">
        <f t="shared" si="1"/>
        <v>9.9999999999999978E-2</v>
      </c>
      <c r="AN49" s="27">
        <f t="shared" si="2"/>
        <v>0.10000000000000009</v>
      </c>
      <c r="AO49" s="27">
        <f t="shared" si="3"/>
        <v>9.9999999999999978E-2</v>
      </c>
      <c r="AP49" s="27">
        <f t="shared" si="4"/>
        <v>9.9999999999999978E-2</v>
      </c>
      <c r="AQ49" s="28">
        <v>0.68</v>
      </c>
      <c r="AR49" s="29">
        <f>Table1419[[#This Row],[Age Best_Men_20]]/Table1419[[#This Row],[Proposed_uniform_AG%]]</f>
        <v>0.15400281223187179</v>
      </c>
      <c r="AS49" s="29">
        <f t="shared" ref="AS49:AS52" si="12">AVERAGE($AR$48:$AR$52)</f>
        <v>0.15553980961191471</v>
      </c>
      <c r="AT49" s="29">
        <f>CEILING(Table1419[[#This Row],[Proposed_QT_M_Agegrouped]],"00:01:00")</f>
        <v>0.15555555555555556</v>
      </c>
      <c r="AU49" s="30">
        <f>Table1419[[#This Row],[Proposed_QT_M_Agegrouped_roundedup]]*1440</f>
        <v>224</v>
      </c>
      <c r="AV49" s="30">
        <f>Table1419[[#This Row],[Proposed_QT_M_Agegrouped_roundedup_min]]-Table1419[[#This Row],[QT_Men_2020_min]]</f>
        <v>-6.0000000000000284</v>
      </c>
      <c r="AW49" s="40">
        <f>(Table1419[[#This Row],[Proposed_QT_M_Agegrouped_roundedup_min]]-Table1419[[#This Row],[QT_Men_2020_min]])/Table1419[[#This Row],[QT_Men_2020_min]]</f>
        <v>-2.608695652173925E-2</v>
      </c>
      <c r="AX49" s="32">
        <f>Table1419[[#This Row],[Age Best_Women]]/Table1419[[#This Row],[Proposed_uniform_AG%]]</f>
        <v>0.17885628741662857</v>
      </c>
      <c r="AY49" s="29">
        <f>AVERAGE($AX$48:$AX$52)</f>
        <v>0.18155168762957583</v>
      </c>
      <c r="AZ49" s="33">
        <f>CEILING(Table1419[[#This Row],[Proposed_QT_W_Agegrouped]],"00:01:00")</f>
        <v>0.18194444444444446</v>
      </c>
      <c r="BA49" s="34">
        <f>Table1419[[#This Row],[Proposed_QT_W_Agegrouped_roundedup]]*1440</f>
        <v>262</v>
      </c>
      <c r="BB49" s="34">
        <f>Table1419[[#This Row],[Proposed_QT_W_Agegrouped_roundedup_min]]-Table1419[[#This Row],[Qualifying_Time_Women_2020_min]]</f>
        <v>2</v>
      </c>
      <c r="BC49" s="41">
        <f>(Table1419[[#This Row],[Proposed_QT_W_Agegrouped_roundedup_min]]-Table1419[[#This Row],[Qualifying_Time_Women_2020_min]])/Table1419[[#This Row],[Qualifying_Time_Women_2020_min]]</f>
        <v>7.6923076923076927E-3</v>
      </c>
      <c r="BD49" s="36" t="s">
        <v>79</v>
      </c>
      <c r="BE49" s="37">
        <f>Table1419[[#This Row],[Age Best_Men_20]]/Table1419[[#This Row],[Proposed_QT_M_Agegrouped_roundedup]]</f>
        <v>0.67321229347075384</v>
      </c>
      <c r="BF49" s="38">
        <f>Table1419[[#This Row],[Age Best_Women]]/Table1419[[#This Row],[Proposed_QT_W_Agegrouped_roundedup]]</f>
        <v>0.66845830778001025</v>
      </c>
    </row>
    <row r="50" spans="1:86" x14ac:dyDescent="0.55000000000000004">
      <c r="A50" s="18">
        <v>62</v>
      </c>
      <c r="B50" s="19">
        <f>IF(BQs_over_time_AG20!$A50="","",SUMIF('2020_Road Weights'!$A:$A,"M",'2020_Road Weights'!$F:$F)/3600/24)</f>
        <v>8.4479166666666661E-2</v>
      </c>
      <c r="C50" s="20">
        <f>IF(A50="","",INDEX('2020_Road Weights'!$A:$CX,MATCH("M",'2020_Road Weights'!$A:$A,FALSE),MATCH(BQs_over_time_AG20!$A50,'2020_Road Weights'!$1:$1,FALSE)))</f>
        <v>0.79890000000000005</v>
      </c>
      <c r="D50" s="19">
        <f>IFERROR(BQs_over_time_AG20!$B50/BQs_over_time_AG20!$C50,"")</f>
        <v>0.10574435682396627</v>
      </c>
      <c r="E50" s="19">
        <v>0.16666666666666669</v>
      </c>
      <c r="F50" s="21">
        <f>Table1419[[#This Row],[QT_Men_03_12]]*1440</f>
        <v>240.00000000000003</v>
      </c>
      <c r="G50" s="20">
        <f>IFERROR(BQs_over_time_AG20!$D50/BQs_over_time_AG20!$E50,"")</f>
        <v>0.6344661409437975</v>
      </c>
      <c r="H50" s="19">
        <f>IFERROR(Table1419[[#This Row],[QT_Men_03_12]]*Table1419[[#This Row],[Age_Factor_Men_20]],"")</f>
        <v>0.13315000000000002</v>
      </c>
      <c r="I50" s="21">
        <f>Table1419[[#This Row],[AG_Time_Men_03_12]]*1440</f>
        <v>191.73600000000002</v>
      </c>
      <c r="J50" s="19">
        <v>0.16319444444444445</v>
      </c>
      <c r="K50" s="21">
        <f>Table1419[[#This Row],[QT_Men_13_19]]*1440</f>
        <v>235</v>
      </c>
      <c r="L50" s="20">
        <f>IFERROR(BQs_over_time_AG20!$D50/BQs_over_time_AG20!$J50,"")</f>
        <v>0.64796542053834649</v>
      </c>
      <c r="M50" s="19">
        <f>Table1419[[#This Row],[QT_Men_13_19]]*Table1419[[#This Row],[Age_Factor_Men_20]]</f>
        <v>0.13037604166666666</v>
      </c>
      <c r="N50" s="21">
        <f>Table1419[[#This Row],[AG_Time_Men_13_19]]*1440</f>
        <v>187.7415</v>
      </c>
      <c r="O50" s="19">
        <v>0.15972222222222224</v>
      </c>
      <c r="P50" s="21">
        <f>Table1419[[#This Row],[QT_Men_2020]]*1440</f>
        <v>230.00000000000003</v>
      </c>
      <c r="Q50" s="22">
        <f>IFERROR(BQs_over_time_AG20!$D50/BQs_over_time_AG20!$O50,"")</f>
        <v>0.66205162533265827</v>
      </c>
      <c r="R50" s="19">
        <f>Table1419[[#This Row],[QT_Men_2020]]*Table1419[[#This Row],[Age_Factor_Men_20]]</f>
        <v>0.12760208333333337</v>
      </c>
      <c r="S50" s="21">
        <f>Table1419[[#This Row],[AG_Time_Men_2020]]*1440</f>
        <v>183.74700000000004</v>
      </c>
      <c r="T50" s="19">
        <f>IF(BQs_over_time_AG20!$A50="","",SUMIF('2020_Road Weights'!$A:$A,"F",'2020_Road Weights'!$F:$F)/3600/24)</f>
        <v>9.3101851851851838E-2</v>
      </c>
      <c r="U50" s="20">
        <f>INDEX('2020_Road Weights'!$A:$CX,MATCH("F",'2020_Road Weights'!$A:$A,FALSE),MATCH(BQs_over_time_AG20!$A50,'2020_Road Weights'!$1:$1,FALSE))</f>
        <v>0.75449999999999995</v>
      </c>
      <c r="V50" s="19">
        <f>IFERROR(BQs_over_time_AG20!$T50/BQs_over_time_AG20!$U50,"")</f>
        <v>0.12339542988979701</v>
      </c>
      <c r="W50" s="19">
        <v>0.1875</v>
      </c>
      <c r="X50" s="21">
        <f>Table1419[[#This Row],[Qualifying_Time_Women_03_12]]*1440</f>
        <v>270</v>
      </c>
      <c r="Y50" s="20">
        <f>IFERROR(BQs_over_time_AG20!$V50/BQs_over_time_AG20!$W50,"")</f>
        <v>0.65810895941225078</v>
      </c>
      <c r="Z50" s="19">
        <f>Table1419[[#This Row],[Qualifying_Time_Women_03_12]]*Table1419[[#This Row],[Age_Factor_Women]]</f>
        <v>0.14146874999999998</v>
      </c>
      <c r="AA50" s="21">
        <f>Table1419[[#This Row],[AG_Time_Women_03_12]]*1440</f>
        <v>203.71499999999997</v>
      </c>
      <c r="AB50" s="19">
        <v>0.18402777777777779</v>
      </c>
      <c r="AC50" s="21">
        <f>Table1419[[#This Row],[Qualifying_Time_Women_13_19]]*1440</f>
        <v>265</v>
      </c>
      <c r="AD50" s="23">
        <f>IFERROR(BQs_over_time_AG20!$V50/BQs_over_time_AG20!$AB50,"")</f>
        <v>0.67052610958984038</v>
      </c>
      <c r="AE50" s="19">
        <f>Table1419[[#This Row],[Qualifying_Time_Women_13_19]]*Table1419[[#This Row],[Age_Factor_Women]]</f>
        <v>0.13884895833333333</v>
      </c>
      <c r="AF50" s="21">
        <f>Table1419[[#This Row],[AG_Time_Women_13_19]]*1440</f>
        <v>199.9425</v>
      </c>
      <c r="AG50" s="19">
        <v>0.18055555555555555</v>
      </c>
      <c r="AH50" s="21">
        <f>Table1419[[#This Row],[Qualifying_Time_Women_2020]]*1440</f>
        <v>260</v>
      </c>
      <c r="AI50" s="24">
        <f>IFERROR(BQs_over_time_AG20!$V50/BQs_over_time_AG20!$AG50,"")</f>
        <v>0.68342084246656809</v>
      </c>
      <c r="AJ50" s="19">
        <f>Table1419[[#This Row],[Qualifying_Time_Women_2020]]*Table1419[[#This Row],[Age_Factor_Women]]</f>
        <v>0.13622916666666665</v>
      </c>
      <c r="AK50" s="25">
        <f>Table1419[[#This Row],[AG_Time_Women_2020]]*1440</f>
        <v>196.17</v>
      </c>
      <c r="AL50" s="26">
        <f t="shared" si="0"/>
        <v>0.6</v>
      </c>
      <c r="AM50" s="27">
        <f t="shared" si="1"/>
        <v>9.9999999999999978E-2</v>
      </c>
      <c r="AN50" s="27">
        <f t="shared" si="2"/>
        <v>0.10000000000000009</v>
      </c>
      <c r="AO50" s="27">
        <f t="shared" si="3"/>
        <v>9.9999999999999978E-2</v>
      </c>
      <c r="AP50" s="27">
        <f t="shared" si="4"/>
        <v>9.9999999999999978E-2</v>
      </c>
      <c r="AQ50" s="28">
        <v>0.68</v>
      </c>
      <c r="AR50" s="29">
        <f>Table1419[[#This Row],[Age Best_Men_20]]/Table1419[[#This Row],[Proposed_uniform_AG%]]</f>
        <v>0.15550640709406802</v>
      </c>
      <c r="AS50" s="29">
        <f t="shared" si="12"/>
        <v>0.15553980961191471</v>
      </c>
      <c r="AT50" s="29">
        <f>CEILING(Table1419[[#This Row],[Proposed_QT_M_Agegrouped]],"00:01:00")</f>
        <v>0.15555555555555556</v>
      </c>
      <c r="AU50" s="30">
        <f>Table1419[[#This Row],[Proposed_QT_M_Agegrouped_roundedup]]*1440</f>
        <v>224</v>
      </c>
      <c r="AV50" s="30">
        <f>Table1419[[#This Row],[Proposed_QT_M_Agegrouped_roundedup_min]]-Table1419[[#This Row],[QT_Men_2020_min]]</f>
        <v>-6.0000000000000284</v>
      </c>
      <c r="AW50" s="40">
        <f>(Table1419[[#This Row],[Proposed_QT_M_Agegrouped_roundedup_min]]-Table1419[[#This Row],[QT_Men_2020_min]])/Table1419[[#This Row],[QT_Men_2020_min]]</f>
        <v>-2.608695652173925E-2</v>
      </c>
      <c r="AX50" s="32">
        <f>Table1419[[#This Row],[Age Best_Women]]/Table1419[[#This Row],[Proposed_uniform_AG%]]</f>
        <v>0.1814638674849956</v>
      </c>
      <c r="AY50" s="29">
        <f>AVERAGE($AX$48:$AX$52)</f>
        <v>0.18155168762957583</v>
      </c>
      <c r="AZ50" s="33">
        <f>CEILING(Table1419[[#This Row],[Proposed_QT_W_Agegrouped]],"00:01:00")</f>
        <v>0.18194444444444446</v>
      </c>
      <c r="BA50" s="34">
        <f>Table1419[[#This Row],[Proposed_QT_W_Agegrouped_roundedup]]*1440</f>
        <v>262</v>
      </c>
      <c r="BB50" s="34">
        <f>Table1419[[#This Row],[Proposed_QT_W_Agegrouped_roundedup_min]]-Table1419[[#This Row],[Qualifying_Time_Women_2020_min]]</f>
        <v>2</v>
      </c>
      <c r="BC50" s="41">
        <f>(Table1419[[#This Row],[Proposed_QT_W_Agegrouped_roundedup_min]]-Table1419[[#This Row],[Qualifying_Time_Women_2020_min]])/Table1419[[#This Row],[Qualifying_Time_Women_2020_min]]</f>
        <v>7.6923076923076927E-3</v>
      </c>
      <c r="BD50" s="36" t="s">
        <v>79</v>
      </c>
      <c r="BE50" s="37">
        <f>Table1419[[#This Row],[Age Best_Men_20]]/Table1419[[#This Row],[Proposed_QT_M_Agegrouped_roundedup]]</f>
        <v>0.67978515101121173</v>
      </c>
      <c r="BF50" s="38">
        <f>Table1419[[#This Row],[Age Best_Women]]/Table1419[[#This Row],[Proposed_QT_W_Agegrouped_roundedup]]</f>
        <v>0.67820388947064003</v>
      </c>
    </row>
    <row r="51" spans="1:86" x14ac:dyDescent="0.55000000000000004">
      <c r="A51" s="18">
        <v>63</v>
      </c>
      <c r="B51" s="19">
        <f>IF(BQs_over_time_AG20!$A51="","",SUMIF('2020_Road Weights'!$A:$A,"M",'2020_Road Weights'!$F:$F)/3600/24)</f>
        <v>8.4479166666666661E-2</v>
      </c>
      <c r="C51" s="20">
        <f>IF(A51="","",INDEX('2020_Road Weights'!$A:$CX,MATCH("M",'2020_Road Weights'!$A:$A,FALSE),MATCH(BQs_over_time_AG20!$A51,'2020_Road Weights'!$1:$1,FALSE)))</f>
        <v>0.79110000000000003</v>
      </c>
      <c r="D51" s="19">
        <f>IFERROR(BQs_over_time_AG20!$B51/BQs_over_time_AG20!$C51,"")</f>
        <v>0.10678696330004633</v>
      </c>
      <c r="E51" s="19">
        <v>0.16666666666666669</v>
      </c>
      <c r="F51" s="21">
        <f>Table1419[[#This Row],[QT_Men_03_12]]*1440</f>
        <v>240.00000000000003</v>
      </c>
      <c r="G51" s="20">
        <f>IFERROR(BQs_over_time_AG20!$D51/BQs_over_time_AG20!$E51,"")</f>
        <v>0.64072177980027789</v>
      </c>
      <c r="H51" s="19">
        <f>IFERROR(Table1419[[#This Row],[QT_Men_03_12]]*Table1419[[#This Row],[Age_Factor_Men_20]],"")</f>
        <v>0.13185000000000002</v>
      </c>
      <c r="I51" s="21">
        <f>Table1419[[#This Row],[AG_Time_Men_03_12]]*1440</f>
        <v>189.86400000000003</v>
      </c>
      <c r="J51" s="19">
        <v>0.16319444444444445</v>
      </c>
      <c r="K51" s="21">
        <f>Table1419[[#This Row],[QT_Men_13_19]]*1440</f>
        <v>235</v>
      </c>
      <c r="L51" s="20">
        <f>IFERROR(BQs_over_time_AG20!$D51/BQs_over_time_AG20!$J51,"")</f>
        <v>0.65435415809390096</v>
      </c>
      <c r="M51" s="19">
        <f>Table1419[[#This Row],[QT_Men_13_19]]*Table1419[[#This Row],[Age_Factor_Men_20]]</f>
        <v>0.12910312500000001</v>
      </c>
      <c r="N51" s="21">
        <f>Table1419[[#This Row],[AG_Time_Men_13_19]]*1440</f>
        <v>185.90850000000003</v>
      </c>
      <c r="O51" s="19">
        <v>0.15972222222222224</v>
      </c>
      <c r="P51" s="21">
        <f>Table1419[[#This Row],[QT_Men_2020]]*1440</f>
        <v>230.00000000000003</v>
      </c>
      <c r="Q51" s="22">
        <f>IFERROR(BQs_over_time_AG20!$D51/BQs_over_time_AG20!$O51,"")</f>
        <v>0.66857924848724659</v>
      </c>
      <c r="R51" s="19">
        <f>Table1419[[#This Row],[QT_Men_2020]]*Table1419[[#This Row],[Age_Factor_Men_20]]</f>
        <v>0.12635625</v>
      </c>
      <c r="S51" s="21">
        <f>Table1419[[#This Row],[AG_Time_Men_2020]]*1440</f>
        <v>181.953</v>
      </c>
      <c r="T51" s="19">
        <f>IF(BQs_over_time_AG20!$A51="","",SUMIF('2020_Road Weights'!$A:$A,"F",'2020_Road Weights'!$F:$F)/3600/24)</f>
        <v>9.3101851851851838E-2</v>
      </c>
      <c r="U51" s="20">
        <f>INDEX('2020_Road Weights'!$A:$CX,MATCH("F",'2020_Road Weights'!$A:$A,FALSE),MATCH(BQs_over_time_AG20!$A51,'2020_Road Weights'!$1:$1,FALSE))</f>
        <v>0.74339999999999995</v>
      </c>
      <c r="V51" s="19">
        <f>IFERROR(BQs_over_time_AG20!$T51/BQs_over_time_AG20!$U51,"")</f>
        <v>0.12523789595352683</v>
      </c>
      <c r="W51" s="19">
        <v>0.1875</v>
      </c>
      <c r="X51" s="21">
        <f>Table1419[[#This Row],[Qualifying_Time_Women_03_12]]*1440</f>
        <v>270</v>
      </c>
      <c r="Y51" s="20">
        <f>IFERROR(BQs_over_time_AG20!$V51/BQs_over_time_AG20!$W51,"")</f>
        <v>0.66793544508547642</v>
      </c>
      <c r="Z51" s="19">
        <f>Table1419[[#This Row],[Qualifying_Time_Women_03_12]]*Table1419[[#This Row],[Age_Factor_Women]]</f>
        <v>0.1393875</v>
      </c>
      <c r="AA51" s="21">
        <f>Table1419[[#This Row],[AG_Time_Women_03_12]]*1440</f>
        <v>200.71799999999999</v>
      </c>
      <c r="AB51" s="19">
        <v>0.18402777777777779</v>
      </c>
      <c r="AC51" s="21">
        <f>Table1419[[#This Row],[Qualifying_Time_Women_13_19]]*1440</f>
        <v>265</v>
      </c>
      <c r="AD51" s="23">
        <f>IFERROR(BQs_over_time_AG20!$V51/BQs_over_time_AG20!$AB51,"")</f>
        <v>0.68053800065312686</v>
      </c>
      <c r="AE51" s="19">
        <f>Table1419[[#This Row],[Qualifying_Time_Women_13_19]]*Table1419[[#This Row],[Age_Factor_Women]]</f>
        <v>0.13680624999999999</v>
      </c>
      <c r="AF51" s="21">
        <f>Table1419[[#This Row],[AG_Time_Women_13_19]]*1440</f>
        <v>197.00099999999998</v>
      </c>
      <c r="AG51" s="19">
        <v>0.18055555555555555</v>
      </c>
      <c r="AH51" s="21">
        <f>Table1419[[#This Row],[Qualifying_Time_Women_2020]]*1440</f>
        <v>260</v>
      </c>
      <c r="AI51" s="24">
        <f>IFERROR(BQs_over_time_AG20!$V51/BQs_over_time_AG20!$AG51,"")</f>
        <v>0.69362526989645634</v>
      </c>
      <c r="AJ51" s="19">
        <f>Table1419[[#This Row],[Qualifying_Time_Women_2020]]*Table1419[[#This Row],[Age_Factor_Women]]</f>
        <v>0.13422499999999998</v>
      </c>
      <c r="AK51" s="25">
        <f>Table1419[[#This Row],[AG_Time_Women_2020]]*1440</f>
        <v>193.28399999999996</v>
      </c>
      <c r="AL51" s="26">
        <f t="shared" si="0"/>
        <v>0.6</v>
      </c>
      <c r="AM51" s="27">
        <f t="shared" si="1"/>
        <v>9.9999999999999978E-2</v>
      </c>
      <c r="AN51" s="27">
        <f t="shared" si="2"/>
        <v>0.10000000000000009</v>
      </c>
      <c r="AO51" s="27">
        <f t="shared" si="3"/>
        <v>9.9999999999999978E-2</v>
      </c>
      <c r="AP51" s="27">
        <f t="shared" si="4"/>
        <v>9.9999999999999978E-2</v>
      </c>
      <c r="AQ51" s="28">
        <v>0.68</v>
      </c>
      <c r="AR51" s="29">
        <f>Table1419[[#This Row],[Age Best_Men_20]]/Table1419[[#This Row],[Proposed_uniform_AG%]]</f>
        <v>0.15703965191183283</v>
      </c>
      <c r="AS51" s="29">
        <f t="shared" si="12"/>
        <v>0.15553980961191471</v>
      </c>
      <c r="AT51" s="29">
        <f>CEILING(Table1419[[#This Row],[Proposed_QT_M_Agegrouped]],"00:01:00")</f>
        <v>0.15555555555555556</v>
      </c>
      <c r="AU51" s="30">
        <f>Table1419[[#This Row],[Proposed_QT_M_Agegrouped_roundedup]]*1440</f>
        <v>224</v>
      </c>
      <c r="AV51" s="30">
        <f>Table1419[[#This Row],[Proposed_QT_M_Agegrouped_roundedup_min]]-Table1419[[#This Row],[QT_Men_2020_min]]</f>
        <v>-6.0000000000000284</v>
      </c>
      <c r="AW51" s="40">
        <f>(Table1419[[#This Row],[Proposed_QT_M_Agegrouped_roundedup_min]]-Table1419[[#This Row],[QT_Men_2020_min]])/Table1419[[#This Row],[QT_Men_2020_min]]</f>
        <v>-2.608695652173925E-2</v>
      </c>
      <c r="AX51" s="32">
        <f>Table1419[[#This Row],[Age Best_Women]]/Table1419[[#This Row],[Proposed_uniform_AG%]]</f>
        <v>0.18417337640224532</v>
      </c>
      <c r="AY51" s="29">
        <f>AVERAGE($AX$48:$AX$52)</f>
        <v>0.18155168762957583</v>
      </c>
      <c r="AZ51" s="33">
        <f>CEILING(Table1419[[#This Row],[Proposed_QT_W_Agegrouped]],"00:01:00")</f>
        <v>0.18194444444444446</v>
      </c>
      <c r="BA51" s="34">
        <f>Table1419[[#This Row],[Proposed_QT_W_Agegrouped_roundedup]]*1440</f>
        <v>262</v>
      </c>
      <c r="BB51" s="34">
        <f>Table1419[[#This Row],[Proposed_QT_W_Agegrouped_roundedup_min]]-Table1419[[#This Row],[Qualifying_Time_Women_2020_min]]</f>
        <v>2</v>
      </c>
      <c r="BC51" s="41">
        <f>(Table1419[[#This Row],[Proposed_QT_W_Agegrouped_roundedup_min]]-Table1419[[#This Row],[Qualifying_Time_Women_2020_min]])/Table1419[[#This Row],[Qualifying_Time_Women_2020_min]]</f>
        <v>7.6923076923076927E-3</v>
      </c>
      <c r="BD51" s="36" t="s">
        <v>79</v>
      </c>
      <c r="BE51" s="37">
        <f>Table1419[[#This Row],[Age Best_Men_20]]/Table1419[[#This Row],[Proposed_QT_M_Agegrouped_roundedup]]</f>
        <v>0.68648762121458351</v>
      </c>
      <c r="BF51" s="38">
        <f>Table1419[[#This Row],[Age Best_Women]]/Table1419[[#This Row],[Proposed_QT_W_Agegrouped_roundedup]]</f>
        <v>0.68833042050793369</v>
      </c>
    </row>
    <row r="52" spans="1:86" x14ac:dyDescent="0.55000000000000004">
      <c r="A52" s="18">
        <v>64</v>
      </c>
      <c r="B52" s="19">
        <f>IF(BQs_over_time_AG20!$A52="","",SUMIF('2020_Road Weights'!$A:$A,"M",'2020_Road Weights'!$F:$F)/3600/24)</f>
        <v>8.4479166666666661E-2</v>
      </c>
      <c r="C52" s="20">
        <f>IF(A52="","",INDEX('2020_Road Weights'!$A:$CX,MATCH("M",'2020_Road Weights'!$A:$A,FALSE),MATCH(BQs_over_time_AG20!$A52,'2020_Road Weights'!$1:$1,FALSE)))</f>
        <v>0.7833</v>
      </c>
      <c r="D52" s="19">
        <f>IFERROR(BQs_over_time_AG20!$B52/BQs_over_time_AG20!$C52,"")</f>
        <v>0.10785033405676836</v>
      </c>
      <c r="E52" s="19">
        <v>0.16666666666666669</v>
      </c>
      <c r="F52" s="21">
        <f>Table1419[[#This Row],[QT_Men_03_12]]*1440</f>
        <v>240.00000000000003</v>
      </c>
      <c r="G52" s="20">
        <f>IFERROR(BQs_over_time_AG20!$D52/BQs_over_time_AG20!$E52,"")</f>
        <v>0.64710200434061005</v>
      </c>
      <c r="H52" s="19">
        <f>IFERROR(Table1419[[#This Row],[QT_Men_03_12]]*Table1419[[#This Row],[Age_Factor_Men_20]],"")</f>
        <v>0.13055000000000003</v>
      </c>
      <c r="I52" s="21">
        <f>Table1419[[#This Row],[AG_Time_Men_03_12]]*1440</f>
        <v>187.99200000000005</v>
      </c>
      <c r="J52" s="19">
        <v>0.16319444444444445</v>
      </c>
      <c r="K52" s="21">
        <f>Table1419[[#This Row],[QT_Men_13_19]]*1440</f>
        <v>235</v>
      </c>
      <c r="L52" s="20">
        <f>IFERROR(BQs_over_time_AG20!$D52/BQs_over_time_AG20!$J52,"")</f>
        <v>0.66087013209253798</v>
      </c>
      <c r="M52" s="19">
        <f>Table1419[[#This Row],[QT_Men_13_19]]*Table1419[[#This Row],[Age_Factor_Men_20]]</f>
        <v>0.12783020833333333</v>
      </c>
      <c r="N52" s="21">
        <f>Table1419[[#This Row],[AG_Time_Men_13_19]]*1440</f>
        <v>184.07550000000001</v>
      </c>
      <c r="O52" s="19">
        <v>0.15972222222222224</v>
      </c>
      <c r="P52" s="21">
        <f>Table1419[[#This Row],[QT_Men_2020]]*1440</f>
        <v>230.00000000000003</v>
      </c>
      <c r="Q52" s="22">
        <f>IFERROR(BQs_over_time_AG20!$D52/BQs_over_time_AG20!$O52,"")</f>
        <v>0.67523687409454969</v>
      </c>
      <c r="R52" s="19">
        <f>Table1419[[#This Row],[QT_Men_2020]]*Table1419[[#This Row],[Age_Factor_Men_20]]</f>
        <v>0.12511041666666667</v>
      </c>
      <c r="S52" s="21">
        <f>Table1419[[#This Row],[AG_Time_Men_2020]]*1440</f>
        <v>180.15899999999999</v>
      </c>
      <c r="T52" s="19">
        <f>IF(BQs_over_time_AG20!$A52="","",SUMIF('2020_Road Weights'!$A:$A,"F",'2020_Road Weights'!$F:$F)/3600/24)</f>
        <v>9.3101851851851838E-2</v>
      </c>
      <c r="U52" s="20">
        <f>INDEX('2020_Road Weights'!$A:$CX,MATCH("F",'2020_Road Weights'!$A:$A,FALSE),MATCH(BQs_over_time_AG20!$A52,'2020_Road Weights'!$1:$1,FALSE))</f>
        <v>0.73229999999999995</v>
      </c>
      <c r="V52" s="19">
        <f>IFERROR(BQs_over_time_AG20!$T52/BQs_over_time_AG20!$U52,"")</f>
        <v>0.12713621719493629</v>
      </c>
      <c r="W52" s="19">
        <v>0.1875</v>
      </c>
      <c r="X52" s="21">
        <f>Table1419[[#This Row],[Qualifying_Time_Women_03_12]]*1440</f>
        <v>270</v>
      </c>
      <c r="Y52" s="20">
        <f>IFERROR(BQs_over_time_AG20!$V52/BQs_over_time_AG20!$W52,"")</f>
        <v>0.67805982503966022</v>
      </c>
      <c r="Z52" s="19">
        <f>Table1419[[#This Row],[Qualifying_Time_Women_03_12]]*Table1419[[#This Row],[Age_Factor_Women]]</f>
        <v>0.13730624999999999</v>
      </c>
      <c r="AA52" s="21">
        <f>Table1419[[#This Row],[AG_Time_Women_03_12]]*1440</f>
        <v>197.72099999999998</v>
      </c>
      <c r="AB52" s="19">
        <v>0.18402777777777779</v>
      </c>
      <c r="AC52" s="21">
        <f>Table1419[[#This Row],[Qualifying_Time_Women_13_19]]*1440</f>
        <v>265</v>
      </c>
      <c r="AD52" s="23">
        <f>IFERROR(BQs_over_time_AG20!$V52/BQs_over_time_AG20!$AB52,"")</f>
        <v>0.69085340664418204</v>
      </c>
      <c r="AE52" s="19">
        <f>Table1419[[#This Row],[Qualifying_Time_Women_13_19]]*Table1419[[#This Row],[Age_Factor_Women]]</f>
        <v>0.13476354166666665</v>
      </c>
      <c r="AF52" s="21">
        <f>Table1419[[#This Row],[AG_Time_Women_13_19]]*1440</f>
        <v>194.05949999999999</v>
      </c>
      <c r="AG52" s="19">
        <v>0.18055555555555555</v>
      </c>
      <c r="AH52" s="21">
        <f>Table1419[[#This Row],[Qualifying_Time_Women_2020]]*1440</f>
        <v>260</v>
      </c>
      <c r="AI52" s="24">
        <f>IFERROR(BQs_over_time_AG20!$V52/BQs_over_time_AG20!$AG52,"")</f>
        <v>0.70413904907964708</v>
      </c>
      <c r="AJ52" s="19">
        <f>Table1419[[#This Row],[Qualifying_Time_Women_2020]]*Table1419[[#This Row],[Age_Factor_Women]]</f>
        <v>0.13222083333333332</v>
      </c>
      <c r="AK52" s="25">
        <f>Table1419[[#This Row],[AG_Time_Women_2020]]*1440</f>
        <v>190.39799999999997</v>
      </c>
      <c r="AL52" s="26">
        <f t="shared" si="0"/>
        <v>0.6</v>
      </c>
      <c r="AM52" s="27">
        <f t="shared" si="1"/>
        <v>9.9999999999999978E-2</v>
      </c>
      <c r="AN52" s="27">
        <f t="shared" si="2"/>
        <v>0.10000000000000009</v>
      </c>
      <c r="AO52" s="27">
        <f t="shared" si="3"/>
        <v>9.9999999999999978E-2</v>
      </c>
      <c r="AP52" s="27">
        <f t="shared" si="4"/>
        <v>9.9999999999999978E-2</v>
      </c>
      <c r="AQ52" s="28">
        <v>0.68</v>
      </c>
      <c r="AR52" s="29">
        <f>Table1419[[#This Row],[Age Best_Men_20]]/Table1419[[#This Row],[Proposed_uniform_AG%]]</f>
        <v>0.15860343243642405</v>
      </c>
      <c r="AS52" s="29">
        <f t="shared" si="12"/>
        <v>0.15553980961191471</v>
      </c>
      <c r="AT52" s="29">
        <f>CEILING(Table1419[[#This Row],[Proposed_QT_M_Agegrouped]],"00:01:00")</f>
        <v>0.15555555555555556</v>
      </c>
      <c r="AU52" s="30">
        <f>Table1419[[#This Row],[Proposed_QT_M_Agegrouped_roundedup]]*1440</f>
        <v>224</v>
      </c>
      <c r="AV52" s="30">
        <f>Table1419[[#This Row],[Proposed_QT_M_Agegrouped_roundedup_min]]-Table1419[[#This Row],[QT_Men_2020_min]]</f>
        <v>-6.0000000000000284</v>
      </c>
      <c r="AW52" s="40">
        <f>(Table1419[[#This Row],[Proposed_QT_M_Agegrouped_roundedup_min]]-Table1419[[#This Row],[QT_Men_2020_min]])/Table1419[[#This Row],[QT_Men_2020_min]]</f>
        <v>-2.608695652173925E-2</v>
      </c>
      <c r="AX52" s="32">
        <f>Table1419[[#This Row],[Age Best_Women]]/Table1419[[#This Row],[Proposed_uniform_AG%]]</f>
        <v>0.186965025286671</v>
      </c>
      <c r="AY52" s="29">
        <f>AVERAGE($AX$48:$AX$52)</f>
        <v>0.18155168762957583</v>
      </c>
      <c r="AZ52" s="33">
        <f>CEILING(Table1419[[#This Row],[Proposed_QT_W_Agegrouped]],"00:01:00")</f>
        <v>0.18194444444444446</v>
      </c>
      <c r="BA52" s="34">
        <f>Table1419[[#This Row],[Proposed_QT_W_Agegrouped_roundedup]]*1440</f>
        <v>262</v>
      </c>
      <c r="BB52" s="34">
        <f>Table1419[[#This Row],[Proposed_QT_W_Agegrouped_roundedup_min]]-Table1419[[#This Row],[Qualifying_Time_Women_2020_min]]</f>
        <v>2</v>
      </c>
      <c r="BC52" s="41">
        <f>(Table1419[[#This Row],[Proposed_QT_W_Agegrouped_roundedup_min]]-Table1419[[#This Row],[Qualifying_Time_Women_2020_min]])/Table1419[[#This Row],[Qualifying_Time_Women_2020_min]]</f>
        <v>7.6923076923076927E-3</v>
      </c>
      <c r="BD52" s="36" t="s">
        <v>79</v>
      </c>
      <c r="BE52" s="37">
        <f>Table1419[[#This Row],[Age Best_Men_20]]/Table1419[[#This Row],[Proposed_QT_M_Agegrouped_roundedup]]</f>
        <v>0.69332357607922512</v>
      </c>
      <c r="BF52" s="38">
        <f>Table1419[[#This Row],[Age Best_Women]]/Table1419[[#This Row],[Proposed_QT_W_Agegrouped_roundedup]]</f>
        <v>0.6987639418347642</v>
      </c>
    </row>
    <row r="53" spans="1:86" s="39" customFormat="1" x14ac:dyDescent="0.55000000000000004">
      <c r="A53" s="18">
        <v>65</v>
      </c>
      <c r="B53" s="19">
        <f>IF(BQs_over_time_AG20!$A53="","",SUMIF('2020_Road Weights'!$A:$A,"M",'2020_Road Weights'!$F:$F)/3600/24)</f>
        <v>8.4479166666666661E-2</v>
      </c>
      <c r="C53" s="20">
        <f>IF(A53="","",INDEX('2020_Road Weights'!$A:$CX,MATCH("M",'2020_Road Weights'!$A:$A,FALSE),MATCH(BQs_over_time_AG20!$A53,'2020_Road Weights'!$1:$1,FALSE)))</f>
        <v>0.77549999999999997</v>
      </c>
      <c r="D53" s="19">
        <f>IFERROR(BQs_over_time_AG20!$B53/BQs_over_time_AG20!$C53,"")</f>
        <v>0.1089350956372233</v>
      </c>
      <c r="E53" s="19">
        <v>0.17708333333333331</v>
      </c>
      <c r="F53" s="21">
        <f>Table1419[[#This Row],[QT_Men_03_12]]*1440</f>
        <v>254.99999999999997</v>
      </c>
      <c r="G53" s="20">
        <f>IFERROR(BQs_over_time_AG20!$D53/BQs_over_time_AG20!$E53,"")</f>
        <v>0.61516289301020222</v>
      </c>
      <c r="H53" s="19">
        <f>IFERROR(Table1419[[#This Row],[QT_Men_03_12]]*Table1419[[#This Row],[Age_Factor_Men_20]],"")</f>
        <v>0.13732812499999997</v>
      </c>
      <c r="I53" s="21">
        <f>Table1419[[#This Row],[AG_Time_Men_03_12]]*1440</f>
        <v>197.75249999999994</v>
      </c>
      <c r="J53" s="19">
        <v>0.17361111111111113</v>
      </c>
      <c r="K53" s="21">
        <f>Table1419[[#This Row],[QT_Men_13_19]]*1440</f>
        <v>250.00000000000003</v>
      </c>
      <c r="L53" s="20">
        <f>IFERROR(BQs_over_time_AG20!$D53/BQs_over_time_AG20!$J53,"")</f>
        <v>0.62746615087040614</v>
      </c>
      <c r="M53" s="19">
        <f>Table1419[[#This Row],[QT_Men_13_19]]*Table1419[[#This Row],[Age_Factor_Men_20]]</f>
        <v>0.13463541666666667</v>
      </c>
      <c r="N53" s="21">
        <f>Table1419[[#This Row],[AG_Time_Men_13_19]]*1440</f>
        <v>193.875</v>
      </c>
      <c r="O53" s="19">
        <v>0.17013888888888887</v>
      </c>
      <c r="P53" s="21">
        <f>Table1419[[#This Row],[QT_Men_2020]]*1440</f>
        <v>244.99999999999997</v>
      </c>
      <c r="Q53" s="22">
        <f>IFERROR(BQs_over_time_AG20!$D53/BQs_over_time_AG20!$O53,"")</f>
        <v>0.64027158252082272</v>
      </c>
      <c r="R53" s="19">
        <f>Table1419[[#This Row],[QT_Men_2020]]*Table1419[[#This Row],[Age_Factor_Men_20]]</f>
        <v>0.1319427083333333</v>
      </c>
      <c r="S53" s="21">
        <f>Table1419[[#This Row],[AG_Time_Men_2020]]*1440</f>
        <v>189.99749999999995</v>
      </c>
      <c r="T53" s="19">
        <f>IF(BQs_over_time_AG20!$A53="","",SUMIF('2020_Road Weights'!$A:$A,"F",'2020_Road Weights'!$F:$F)/3600/24)</f>
        <v>9.3101851851851838E-2</v>
      </c>
      <c r="U53" s="20">
        <f>INDEX('2020_Road Weights'!$A:$CX,MATCH("F",'2020_Road Weights'!$A:$A,FALSE),MATCH(BQs_over_time_AG20!$A53,'2020_Road Weights'!$1:$1,FALSE))</f>
        <v>0.72130000000000005</v>
      </c>
      <c r="V53" s="19">
        <f>IFERROR(BQs_over_time_AG20!$T53/BQs_over_time_AG20!$U53,"")</f>
        <v>0.12907507535262974</v>
      </c>
      <c r="W53" s="19">
        <v>0.19791666666666666</v>
      </c>
      <c r="X53" s="21">
        <f>Table1419[[#This Row],[Qualifying_Time_Women_03_12]]*1440</f>
        <v>285</v>
      </c>
      <c r="Y53" s="20">
        <f>IFERROR(BQs_over_time_AG20!$V53/BQs_over_time_AG20!$W53,"")</f>
        <v>0.65216880178170822</v>
      </c>
      <c r="Z53" s="19">
        <f>Table1419[[#This Row],[Qualifying_Time_Women_03_12]]*Table1419[[#This Row],[Age_Factor_Women]]</f>
        <v>0.14275729166666667</v>
      </c>
      <c r="AA53" s="21">
        <f>Table1419[[#This Row],[AG_Time_Women_03_12]]*1440</f>
        <v>205.57050000000001</v>
      </c>
      <c r="AB53" s="19">
        <v>0.19444444444444445</v>
      </c>
      <c r="AC53" s="21">
        <f>Table1419[[#This Row],[Qualifying_Time_Women_13_19]]*1440</f>
        <v>280</v>
      </c>
      <c r="AD53" s="23">
        <f>IFERROR(BQs_over_time_AG20!$V53/BQs_over_time_AG20!$AB53,"")</f>
        <v>0.66381467324209575</v>
      </c>
      <c r="AE53" s="19">
        <f>Table1419[[#This Row],[Qualifying_Time_Women_13_19]]*Table1419[[#This Row],[Age_Factor_Women]]</f>
        <v>0.14025277777777778</v>
      </c>
      <c r="AF53" s="21">
        <f>Table1419[[#This Row],[AG_Time_Women_13_19]]*1440</f>
        <v>201.964</v>
      </c>
      <c r="AG53" s="19">
        <v>0.19097222222222221</v>
      </c>
      <c r="AH53" s="21">
        <f>Table1419[[#This Row],[Qualifying_Time_Women_2020]]*1440</f>
        <v>275</v>
      </c>
      <c r="AI53" s="24">
        <f>IFERROR(BQs_over_time_AG20!$V53/BQs_over_time_AG20!$AG53,"")</f>
        <v>0.67588403093740668</v>
      </c>
      <c r="AJ53" s="19">
        <f>Table1419[[#This Row],[Qualifying_Time_Women_2020]]*Table1419[[#This Row],[Age_Factor_Women]]</f>
        <v>0.13774826388888889</v>
      </c>
      <c r="AK53" s="25">
        <f>Table1419[[#This Row],[AG_Time_Women_2020]]*1440</f>
        <v>198.35749999999999</v>
      </c>
      <c r="AL53" s="26">
        <f t="shared" si="0"/>
        <v>0.6</v>
      </c>
      <c r="AM53" s="27">
        <f t="shared" si="1"/>
        <v>9.9999999999999978E-2</v>
      </c>
      <c r="AN53" s="27">
        <f t="shared" si="2"/>
        <v>0.10000000000000009</v>
      </c>
      <c r="AO53" s="27">
        <f t="shared" si="3"/>
        <v>9.9999999999999978E-2</v>
      </c>
      <c r="AP53" s="27">
        <f t="shared" si="4"/>
        <v>9.9999999999999978E-2</v>
      </c>
      <c r="AQ53" s="28">
        <v>0.68</v>
      </c>
      <c r="AR53" s="29">
        <f>Table1419[[#This Row],[Age Best_Men_20]]/Table1419[[#This Row],[Proposed_uniform_AG%]]</f>
        <v>0.16019867005474014</v>
      </c>
      <c r="AS53" s="29">
        <f>AVERAGE($AR$53:$AR$57)</f>
        <v>0.16350445958187809</v>
      </c>
      <c r="AT53" s="29">
        <f>CEILING(Table1419[[#This Row],[Proposed_QT_M_Agegrouped]],"00:01:00")</f>
        <v>0.16388888888888889</v>
      </c>
      <c r="AU53" s="30">
        <f>Table1419[[#This Row],[Proposed_QT_M_Agegrouped_roundedup]]*1440</f>
        <v>236</v>
      </c>
      <c r="AV53" s="30">
        <f>Table1419[[#This Row],[Proposed_QT_M_Agegrouped_roundedup_min]]-Table1419[[#This Row],[QT_Men_2020_min]]</f>
        <v>-8.9999999999999716</v>
      </c>
      <c r="AW53" s="40">
        <f>(Table1419[[#This Row],[Proposed_QT_M_Agegrouped_roundedup_min]]-Table1419[[#This Row],[QT_Men_2020_min]])/Table1419[[#This Row],[QT_Men_2020_min]]</f>
        <v>-3.6734693877550906E-2</v>
      </c>
      <c r="AX53" s="32">
        <f>Table1419[[#This Row],[Age Best_Women]]/Table1419[[#This Row],[Proposed_uniform_AG%]]</f>
        <v>0.18981628728327901</v>
      </c>
      <c r="AY53" s="29">
        <f>AVERAGE($AX$53:$AX$57)</f>
        <v>0.19592539156648686</v>
      </c>
      <c r="AZ53" s="33">
        <f>CEILING(Table1419[[#This Row],[Proposed_QT_W_Agegrouped]],"00:01:00")</f>
        <v>0.19652777777777777</v>
      </c>
      <c r="BA53" s="34">
        <f>Table1419[[#This Row],[Proposed_QT_W_Agegrouped_roundedup]]*1440</f>
        <v>283</v>
      </c>
      <c r="BB53" s="34">
        <f>Table1419[[#This Row],[Proposed_QT_W_Agegrouped_roundedup_min]]-Table1419[[#This Row],[Qualifying_Time_Women_2020_min]]</f>
        <v>8</v>
      </c>
      <c r="BC53" s="41">
        <f>(Table1419[[#This Row],[Proposed_QT_W_Agegrouped_roundedup_min]]-Table1419[[#This Row],[Qualifying_Time_Women_2020_min]])/Table1419[[#This Row],[Qualifying_Time_Women_2020_min]]</f>
        <v>2.9090909090909091E-2</v>
      </c>
      <c r="BD53" s="36" t="s">
        <v>80</v>
      </c>
      <c r="BE53" s="37">
        <f>Table1419[[#This Row],[Age Best_Men_20]]/Table1419[[#This Row],[Proposed_QT_M_Agegrouped_roundedup]]</f>
        <v>0.66468871914237948</v>
      </c>
      <c r="BF53" s="38">
        <f>Table1419[[#This Row],[Age Best_Women]]/Table1419[[#This Row],[Proposed_QT_W_Agegrouped_roundedup]]</f>
        <v>0.65677776857875203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</row>
    <row r="54" spans="1:86" x14ac:dyDescent="0.55000000000000004">
      <c r="A54" s="18">
        <v>66</v>
      </c>
      <c r="B54" s="19">
        <f>IF(BQs_over_time_AG20!$A54="","",SUMIF('2020_Road Weights'!$A:$A,"M",'2020_Road Weights'!$F:$F)/3600/24)</f>
        <v>8.4479166666666661E-2</v>
      </c>
      <c r="C54" s="20">
        <f>IF(A54="","",INDEX('2020_Road Weights'!$A:$CX,MATCH("M",'2020_Road Weights'!$A:$A,FALSE),MATCH(BQs_over_time_AG20!$A54,'2020_Road Weights'!$1:$1,FALSE)))</f>
        <v>0.76780000000000004</v>
      </c>
      <c r="D54" s="19">
        <f>IFERROR(BQs_over_time_AG20!$B54/BQs_over_time_AG20!$C54,"")</f>
        <v>0.11002756794304071</v>
      </c>
      <c r="E54" s="19">
        <v>0.17708333333333331</v>
      </c>
      <c r="F54" s="21">
        <f>Table1419[[#This Row],[QT_Men_03_12]]*1440</f>
        <v>254.99999999999997</v>
      </c>
      <c r="G54" s="20">
        <f>IFERROR(BQs_over_time_AG20!$D54/BQs_over_time_AG20!$E54,"")</f>
        <v>0.6213321483842299</v>
      </c>
      <c r="H54" s="19">
        <f>IFERROR(Table1419[[#This Row],[QT_Men_03_12]]*Table1419[[#This Row],[Age_Factor_Men_20]],"")</f>
        <v>0.13596458333333333</v>
      </c>
      <c r="I54" s="21">
        <f>Table1419[[#This Row],[AG_Time_Men_03_12]]*1440</f>
        <v>195.78899999999999</v>
      </c>
      <c r="J54" s="19">
        <v>0.17361111111111113</v>
      </c>
      <c r="K54" s="21">
        <f>Table1419[[#This Row],[QT_Men_13_19]]*1440</f>
        <v>250.00000000000003</v>
      </c>
      <c r="L54" s="20">
        <f>IFERROR(BQs_over_time_AG20!$D54/BQs_over_time_AG20!$J54,"")</f>
        <v>0.63375879135191437</v>
      </c>
      <c r="M54" s="19">
        <f>Table1419[[#This Row],[QT_Men_13_19]]*Table1419[[#This Row],[Age_Factor_Men_20]]</f>
        <v>0.13329861111111113</v>
      </c>
      <c r="N54" s="21">
        <f>Table1419[[#This Row],[AG_Time_Men_13_19]]*1440</f>
        <v>191.95000000000002</v>
      </c>
      <c r="O54" s="19">
        <v>0.17013888888888887</v>
      </c>
      <c r="P54" s="21">
        <f>Table1419[[#This Row],[QT_Men_2020]]*1440</f>
        <v>244.99999999999997</v>
      </c>
      <c r="Q54" s="22">
        <f>IFERROR(BQs_over_time_AG20!$D54/BQs_over_time_AG20!$O54,"")</f>
        <v>0.64669264423664752</v>
      </c>
      <c r="R54" s="19">
        <f>Table1419[[#This Row],[QT_Men_2020]]*Table1419[[#This Row],[Age_Factor_Men_20]]</f>
        <v>0.13063263888888887</v>
      </c>
      <c r="S54" s="21">
        <f>Table1419[[#This Row],[AG_Time_Men_2020]]*1440</f>
        <v>188.11099999999999</v>
      </c>
      <c r="T54" s="19">
        <f>IF(BQs_over_time_AG20!$A54="","",SUMIF('2020_Road Weights'!$A:$A,"F",'2020_Road Weights'!$F:$F)/3600/24)</f>
        <v>9.3101851851851838E-2</v>
      </c>
      <c r="U54" s="20">
        <f>INDEX('2020_Road Weights'!$A:$CX,MATCH("F",'2020_Road Weights'!$A:$A,FALSE),MATCH(BQs_over_time_AG20!$A54,'2020_Road Weights'!$1:$1,FALSE))</f>
        <v>0.71020000000000005</v>
      </c>
      <c r="V54" s="19">
        <f>IFERROR(BQs_over_time_AG20!$T54/BQs_over_time_AG20!$U54,"")</f>
        <v>0.1310924413571555</v>
      </c>
      <c r="W54" s="19">
        <v>0.19791666666666666</v>
      </c>
      <c r="X54" s="21">
        <f>Table1419[[#This Row],[Qualifying_Time_Women_03_12]]*1440</f>
        <v>285</v>
      </c>
      <c r="Y54" s="20">
        <f>IFERROR(BQs_over_time_AG20!$V54/BQs_over_time_AG20!$W54,"")</f>
        <v>0.66236180896246999</v>
      </c>
      <c r="Z54" s="19">
        <f>Table1419[[#This Row],[Qualifying_Time_Women_03_12]]*Table1419[[#This Row],[Age_Factor_Women]]</f>
        <v>0.14056041666666666</v>
      </c>
      <c r="AA54" s="21">
        <f>Table1419[[#This Row],[AG_Time_Women_03_12]]*1440</f>
        <v>202.40699999999998</v>
      </c>
      <c r="AB54" s="19">
        <v>0.19444444444444445</v>
      </c>
      <c r="AC54" s="21">
        <f>Table1419[[#This Row],[Qualifying_Time_Women_13_19]]*1440</f>
        <v>280</v>
      </c>
      <c r="AD54" s="23">
        <f>IFERROR(BQs_over_time_AG20!$V54/BQs_over_time_AG20!$AB54,"")</f>
        <v>0.67418969840822829</v>
      </c>
      <c r="AE54" s="19">
        <f>Table1419[[#This Row],[Qualifying_Time_Women_13_19]]*Table1419[[#This Row],[Age_Factor_Women]]</f>
        <v>0.13809444444444446</v>
      </c>
      <c r="AF54" s="21">
        <f>Table1419[[#This Row],[AG_Time_Women_13_19]]*1440</f>
        <v>198.85600000000002</v>
      </c>
      <c r="AG54" s="19">
        <v>0.19097222222222221</v>
      </c>
      <c r="AH54" s="21">
        <f>Table1419[[#This Row],[Qualifying_Time_Women_2020]]*1440</f>
        <v>275</v>
      </c>
      <c r="AI54" s="24">
        <f>IFERROR(BQs_over_time_AG20!$V54/BQs_over_time_AG20!$AG54,"")</f>
        <v>0.68644769292474161</v>
      </c>
      <c r="AJ54" s="19">
        <f>Table1419[[#This Row],[Qualifying_Time_Women_2020]]*Table1419[[#This Row],[Age_Factor_Women]]</f>
        <v>0.13562847222222221</v>
      </c>
      <c r="AK54" s="25">
        <f>Table1419[[#This Row],[AG_Time_Women_2020]]*1440</f>
        <v>195.30499999999998</v>
      </c>
      <c r="AL54" s="26">
        <f t="shared" si="0"/>
        <v>0.6</v>
      </c>
      <c r="AM54" s="27">
        <f t="shared" si="1"/>
        <v>9.9999999999999978E-2</v>
      </c>
      <c r="AN54" s="27">
        <f t="shared" si="2"/>
        <v>0.10000000000000009</v>
      </c>
      <c r="AO54" s="27">
        <f t="shared" si="3"/>
        <v>9.9999999999999978E-2</v>
      </c>
      <c r="AP54" s="27">
        <f t="shared" si="4"/>
        <v>9.9999999999999978E-2</v>
      </c>
      <c r="AQ54" s="28">
        <v>0.68</v>
      </c>
      <c r="AR54" s="29">
        <f>Table1419[[#This Row],[Age Best_Men_20]]/Table1419[[#This Row],[Proposed_uniform_AG%]]</f>
        <v>0.16180524697505985</v>
      </c>
      <c r="AS54" s="29">
        <f t="shared" ref="AS54:AS57" si="13">AVERAGE($AR$53:$AR$57)</f>
        <v>0.16350445958187809</v>
      </c>
      <c r="AT54" s="29">
        <f>CEILING(Table1419[[#This Row],[Proposed_QT_M_Agegrouped]],"00:01:00")</f>
        <v>0.16388888888888889</v>
      </c>
      <c r="AU54" s="30">
        <f>Table1419[[#This Row],[Proposed_QT_M_Agegrouped_roundedup]]*1440</f>
        <v>236</v>
      </c>
      <c r="AV54" s="30">
        <f>Table1419[[#This Row],[Proposed_QT_M_Agegrouped_roundedup_min]]-Table1419[[#This Row],[QT_Men_2020_min]]</f>
        <v>-8.9999999999999716</v>
      </c>
      <c r="AW54" s="40">
        <f>(Table1419[[#This Row],[Proposed_QT_M_Agegrouped_roundedup_min]]-Table1419[[#This Row],[QT_Men_2020_min]])/Table1419[[#This Row],[QT_Men_2020_min]]</f>
        <v>-3.6734693877550906E-2</v>
      </c>
      <c r="AX54" s="32">
        <f>Table1419[[#This Row],[Age Best_Women]]/Table1419[[#This Row],[Proposed_uniform_AG%]]</f>
        <v>0.19278300199581691</v>
      </c>
      <c r="AY54" s="29">
        <f>AVERAGE($AX$53:$AX$57)</f>
        <v>0.19592539156648686</v>
      </c>
      <c r="AZ54" s="33">
        <f>CEILING(Table1419[[#This Row],[Proposed_QT_W_Agegrouped]],"00:01:00")</f>
        <v>0.19652777777777777</v>
      </c>
      <c r="BA54" s="34">
        <f>Table1419[[#This Row],[Proposed_QT_W_Agegrouped_roundedup]]*1440</f>
        <v>283</v>
      </c>
      <c r="BB54" s="34">
        <f>Table1419[[#This Row],[Proposed_QT_W_Agegrouped_roundedup_min]]-Table1419[[#This Row],[Qualifying_Time_Women_2020_min]]</f>
        <v>8</v>
      </c>
      <c r="BC54" s="41">
        <f>(Table1419[[#This Row],[Proposed_QT_W_Agegrouped_roundedup_min]]-Table1419[[#This Row],[Qualifying_Time_Women_2020_min]])/Table1419[[#This Row],[Qualifying_Time_Women_2020_min]]</f>
        <v>2.9090909090909091E-2</v>
      </c>
      <c r="BD54" s="36" t="s">
        <v>80</v>
      </c>
      <c r="BE54" s="37">
        <f>Table1419[[#This Row],[Age Best_Men_20]]/Table1419[[#This Row],[Proposed_QT_M_Agegrouped_roundedup]]</f>
        <v>0.67135465185584164</v>
      </c>
      <c r="BF54" s="38">
        <f>Table1419[[#This Row],[Age Best_Women]]/Table1419[[#This Row],[Proposed_QT_W_Agegrouped_roundedup]]</f>
        <v>0.66704281114595032</v>
      </c>
    </row>
    <row r="55" spans="1:86" x14ac:dyDescent="0.55000000000000004">
      <c r="A55" s="18">
        <v>67</v>
      </c>
      <c r="B55" s="19">
        <f>IF(BQs_over_time_AG20!$A55="","",SUMIF('2020_Road Weights'!$A:$A,"M",'2020_Road Weights'!$F:$F)/3600/24)</f>
        <v>8.4479166666666661E-2</v>
      </c>
      <c r="C55" s="20">
        <f>IF(A55="","",INDEX('2020_Road Weights'!$A:$CX,MATCH("M",'2020_Road Weights'!$A:$A,FALSE),MATCH(BQs_over_time_AG20!$A55,'2020_Road Weights'!$1:$1,FALSE)))</f>
        <v>0.76</v>
      </c>
      <c r="D55" s="19">
        <f>IFERROR(BQs_over_time_AG20!$B55/BQs_over_time_AG20!$C55,"")</f>
        <v>0.11115679824561403</v>
      </c>
      <c r="E55" s="19">
        <v>0.17708333333333331</v>
      </c>
      <c r="F55" s="21">
        <f>Table1419[[#This Row],[QT_Men_03_12]]*1440</f>
        <v>254.99999999999997</v>
      </c>
      <c r="G55" s="20">
        <f>IFERROR(BQs_over_time_AG20!$D55/BQs_over_time_AG20!$E55,"")</f>
        <v>0.62770897832817341</v>
      </c>
      <c r="H55" s="19">
        <f>IFERROR(Table1419[[#This Row],[QT_Men_03_12]]*Table1419[[#This Row],[Age_Factor_Men_20]],"")</f>
        <v>0.13458333333333333</v>
      </c>
      <c r="I55" s="21">
        <f>Table1419[[#This Row],[AG_Time_Men_03_12]]*1440</f>
        <v>193.8</v>
      </c>
      <c r="J55" s="19">
        <v>0.17361111111111113</v>
      </c>
      <c r="K55" s="21">
        <f>Table1419[[#This Row],[QT_Men_13_19]]*1440</f>
        <v>250.00000000000003</v>
      </c>
      <c r="L55" s="20">
        <f>IFERROR(BQs_over_time_AG20!$D55/BQs_over_time_AG20!$J55,"")</f>
        <v>0.64026315789473676</v>
      </c>
      <c r="M55" s="19">
        <f>Table1419[[#This Row],[QT_Men_13_19]]*Table1419[[#This Row],[Age_Factor_Men_20]]</f>
        <v>0.13194444444444448</v>
      </c>
      <c r="N55" s="21">
        <f>Table1419[[#This Row],[AG_Time_Men_13_19]]*1440</f>
        <v>190.00000000000006</v>
      </c>
      <c r="O55" s="19">
        <v>0.17013888888888887</v>
      </c>
      <c r="P55" s="21">
        <f>Table1419[[#This Row],[QT_Men_2020]]*1440</f>
        <v>244.99999999999997</v>
      </c>
      <c r="Q55" s="22">
        <f>IFERROR(BQs_over_time_AG20!$D55/BQs_over_time_AG20!$O55,"")</f>
        <v>0.65332975295381313</v>
      </c>
      <c r="R55" s="19">
        <f>Table1419[[#This Row],[QT_Men_2020]]*Table1419[[#This Row],[Age_Factor_Men_20]]</f>
        <v>0.12930555555555553</v>
      </c>
      <c r="S55" s="21">
        <f>Table1419[[#This Row],[AG_Time_Men_2020]]*1440</f>
        <v>186.19999999999996</v>
      </c>
      <c r="T55" s="19">
        <f>IF(BQs_over_time_AG20!$A55="","",SUMIF('2020_Road Weights'!$A:$A,"F",'2020_Road Weights'!$F:$F)/3600/24)</f>
        <v>9.3101851851851838E-2</v>
      </c>
      <c r="U55" s="20">
        <f>INDEX('2020_Road Weights'!$A:$CX,MATCH("F",'2020_Road Weights'!$A:$A,FALSE),MATCH(BQs_over_time_AG20!$A55,'2020_Road Weights'!$1:$1,FALSE))</f>
        <v>0.69920000000000004</v>
      </c>
      <c r="V55" s="19">
        <f>IFERROR(BQs_over_time_AG20!$T55/BQs_over_time_AG20!$U55,"")</f>
        <v>0.13315482244257984</v>
      </c>
      <c r="W55" s="19">
        <v>0.19791666666666666</v>
      </c>
      <c r="X55" s="21">
        <f>Table1419[[#This Row],[Qualifying_Time_Women_03_12]]*1440</f>
        <v>285</v>
      </c>
      <c r="Y55" s="20">
        <f>IFERROR(BQs_over_time_AG20!$V55/BQs_over_time_AG20!$W55,"")</f>
        <v>0.67278226076250869</v>
      </c>
      <c r="Z55" s="19">
        <f>Table1419[[#This Row],[Qualifying_Time_Women_03_12]]*Table1419[[#This Row],[Age_Factor_Women]]</f>
        <v>0.13838333333333333</v>
      </c>
      <c r="AA55" s="21">
        <f>Table1419[[#This Row],[AG_Time_Women_03_12]]*1440</f>
        <v>199.27199999999999</v>
      </c>
      <c r="AB55" s="19">
        <v>0.19444444444444445</v>
      </c>
      <c r="AC55" s="21">
        <f>Table1419[[#This Row],[Qualifying_Time_Women_13_19]]*1440</f>
        <v>280</v>
      </c>
      <c r="AD55" s="23">
        <f>IFERROR(BQs_over_time_AG20!$V55/BQs_over_time_AG20!$AB55,"")</f>
        <v>0.68479622970469634</v>
      </c>
      <c r="AE55" s="19">
        <f>Table1419[[#This Row],[Qualifying_Time_Women_13_19]]*Table1419[[#This Row],[Age_Factor_Women]]</f>
        <v>0.13595555555555558</v>
      </c>
      <c r="AF55" s="21">
        <f>Table1419[[#This Row],[AG_Time_Women_13_19]]*1440</f>
        <v>195.77600000000004</v>
      </c>
      <c r="AG55" s="19">
        <v>0.19097222222222221</v>
      </c>
      <c r="AH55" s="21">
        <f>Table1419[[#This Row],[Qualifying_Time_Women_2020]]*1440</f>
        <v>275</v>
      </c>
      <c r="AI55" s="24">
        <f>IFERROR(BQs_over_time_AG20!$V55/BQs_over_time_AG20!$AG55,"")</f>
        <v>0.69724707024478172</v>
      </c>
      <c r="AJ55" s="19">
        <f>Table1419[[#This Row],[Qualifying_Time_Women_2020]]*Table1419[[#This Row],[Age_Factor_Women]]</f>
        <v>0.13352777777777777</v>
      </c>
      <c r="AK55" s="25">
        <f>Table1419[[#This Row],[AG_Time_Women_2020]]*1440</f>
        <v>192.28</v>
      </c>
      <c r="AL55" s="26">
        <f t="shared" si="0"/>
        <v>0.6</v>
      </c>
      <c r="AM55" s="27">
        <f t="shared" si="1"/>
        <v>9.9999999999999978E-2</v>
      </c>
      <c r="AN55" s="27">
        <f t="shared" si="2"/>
        <v>0.10000000000000009</v>
      </c>
      <c r="AO55" s="27">
        <f t="shared" si="3"/>
        <v>9.9999999999999978E-2</v>
      </c>
      <c r="AP55" s="27">
        <f t="shared" si="4"/>
        <v>9.9999999999999978E-2</v>
      </c>
      <c r="AQ55" s="28">
        <v>0.68</v>
      </c>
      <c r="AR55" s="29">
        <f>Table1419[[#This Row],[Age Best_Men_20]]/Table1419[[#This Row],[Proposed_uniform_AG%]]</f>
        <v>0.16346587977296179</v>
      </c>
      <c r="AS55" s="29">
        <f t="shared" si="13"/>
        <v>0.16350445958187809</v>
      </c>
      <c r="AT55" s="29">
        <f>CEILING(Table1419[[#This Row],[Proposed_QT_M_Agegrouped]],"00:01:00")</f>
        <v>0.16388888888888889</v>
      </c>
      <c r="AU55" s="30">
        <f>Table1419[[#This Row],[Proposed_QT_M_Agegrouped_roundedup]]*1440</f>
        <v>236</v>
      </c>
      <c r="AV55" s="30">
        <f>Table1419[[#This Row],[Proposed_QT_M_Agegrouped_roundedup_min]]-Table1419[[#This Row],[QT_Men_2020_min]]</f>
        <v>-8.9999999999999716</v>
      </c>
      <c r="AW55" s="40">
        <f>(Table1419[[#This Row],[Proposed_QT_M_Agegrouped_roundedup_min]]-Table1419[[#This Row],[QT_Men_2020_min]])/Table1419[[#This Row],[QT_Men_2020_min]]</f>
        <v>-3.6734693877550906E-2</v>
      </c>
      <c r="AX55" s="32">
        <f>Table1419[[#This Row],[Age Best_Women]]/Table1419[[#This Row],[Proposed_uniform_AG%]]</f>
        <v>0.19581591535673504</v>
      </c>
      <c r="AY55" s="29">
        <f>AVERAGE($AX$53:$AX$57)</f>
        <v>0.19592539156648686</v>
      </c>
      <c r="AZ55" s="33">
        <f>CEILING(Table1419[[#This Row],[Proposed_QT_W_Agegrouped]],"00:01:00")</f>
        <v>0.19652777777777777</v>
      </c>
      <c r="BA55" s="34">
        <f>Table1419[[#This Row],[Proposed_QT_W_Agegrouped_roundedup]]*1440</f>
        <v>283</v>
      </c>
      <c r="BB55" s="34">
        <f>Table1419[[#This Row],[Proposed_QT_W_Agegrouped_roundedup_min]]-Table1419[[#This Row],[Qualifying_Time_Women_2020_min]]</f>
        <v>8</v>
      </c>
      <c r="BC55" s="41">
        <f>(Table1419[[#This Row],[Proposed_QT_W_Agegrouped_roundedup_min]]-Table1419[[#This Row],[Qualifying_Time_Women_2020_min]])/Table1419[[#This Row],[Qualifying_Time_Women_2020_min]]</f>
        <v>2.9090909090909091E-2</v>
      </c>
      <c r="BD55" s="36" t="s">
        <v>80</v>
      </c>
      <c r="BE55" s="37">
        <f>Table1419[[#This Row],[Age Best_Men_20]]/Table1419[[#This Row],[Proposed_QT_M_Agegrouped_roundedup]]</f>
        <v>0.6782448706512042</v>
      </c>
      <c r="BF55" s="38">
        <f>Table1419[[#This Row],[Age Best_Women]]/Table1419[[#This Row],[Proposed_QT_W_Agegrouped_roundedup]]</f>
        <v>0.67753690571489389</v>
      </c>
    </row>
    <row r="56" spans="1:86" x14ac:dyDescent="0.55000000000000004">
      <c r="A56" s="18">
        <v>68</v>
      </c>
      <c r="B56" s="19">
        <f>IF(BQs_over_time_AG20!$A56="","",SUMIF('2020_Road Weights'!$A:$A,"M",'2020_Road Weights'!$F:$F)/3600/24)</f>
        <v>8.4479166666666661E-2</v>
      </c>
      <c r="C56" s="20">
        <f>IF(A56="","",INDEX('2020_Road Weights'!$A:$CX,MATCH("M",'2020_Road Weights'!$A:$A,FALSE),MATCH(BQs_over_time_AG20!$A56,'2020_Road Weights'!$1:$1,FALSE)))</f>
        <v>0.75219999999999998</v>
      </c>
      <c r="D56" s="19">
        <f>IFERROR(BQs_over_time_AG20!$B56/BQs_over_time_AG20!$C56,"")</f>
        <v>0.11230944784188601</v>
      </c>
      <c r="E56" s="19">
        <v>0.17708333333333331</v>
      </c>
      <c r="F56" s="21">
        <f>Table1419[[#This Row],[QT_Men_03_12]]*1440</f>
        <v>254.99999999999997</v>
      </c>
      <c r="G56" s="20">
        <f>IFERROR(BQs_over_time_AG20!$D56/BQs_over_time_AG20!$E56,"")</f>
        <v>0.63421805840123868</v>
      </c>
      <c r="H56" s="19">
        <f>IFERROR(Table1419[[#This Row],[QT_Men_03_12]]*Table1419[[#This Row],[Age_Factor_Men_20]],"")</f>
        <v>0.1332020833333333</v>
      </c>
      <c r="I56" s="21">
        <f>Table1419[[#This Row],[AG_Time_Men_03_12]]*1440</f>
        <v>191.81099999999995</v>
      </c>
      <c r="J56" s="19">
        <v>0.17361111111111113</v>
      </c>
      <c r="K56" s="21">
        <f>Table1419[[#This Row],[QT_Men_13_19]]*1440</f>
        <v>250.00000000000003</v>
      </c>
      <c r="L56" s="20">
        <f>IFERROR(BQs_over_time_AG20!$D56/BQs_over_time_AG20!$J56,"")</f>
        <v>0.64690241956926331</v>
      </c>
      <c r="M56" s="19">
        <f>Table1419[[#This Row],[QT_Men_13_19]]*Table1419[[#This Row],[Age_Factor_Men_20]]</f>
        <v>0.13059027777777779</v>
      </c>
      <c r="N56" s="21">
        <f>Table1419[[#This Row],[AG_Time_Men_13_19]]*1440</f>
        <v>188.05</v>
      </c>
      <c r="O56" s="19">
        <v>0.17013888888888887</v>
      </c>
      <c r="P56" s="21">
        <f>Table1419[[#This Row],[QT_Men_2020]]*1440</f>
        <v>244.99999999999997</v>
      </c>
      <c r="Q56" s="22">
        <f>IFERROR(BQs_over_time_AG20!$D56/BQs_over_time_AG20!$O56,"")</f>
        <v>0.66010450976455459</v>
      </c>
      <c r="R56" s="19">
        <f>Table1419[[#This Row],[QT_Men_2020]]*Table1419[[#This Row],[Age_Factor_Men_20]]</f>
        <v>0.12797847222222219</v>
      </c>
      <c r="S56" s="21">
        <f>Table1419[[#This Row],[AG_Time_Men_2020]]*1440</f>
        <v>184.28899999999996</v>
      </c>
      <c r="T56" s="19">
        <f>IF(BQs_over_time_AG20!$A56="","",SUMIF('2020_Road Weights'!$A:$A,"F",'2020_Road Weights'!$F:$F)/3600/24)</f>
        <v>9.3101851851851838E-2</v>
      </c>
      <c r="U56" s="20">
        <f>INDEX('2020_Road Weights'!$A:$CX,MATCH("F",'2020_Road Weights'!$A:$A,FALSE),MATCH(BQs_over_time_AG20!$A56,'2020_Road Weights'!$1:$1,FALSE))</f>
        <v>0.68810000000000004</v>
      </c>
      <c r="V56" s="19">
        <f>IFERROR(BQs_over_time_AG20!$T56/BQs_over_time_AG20!$U56,"")</f>
        <v>0.13530279298336265</v>
      </c>
      <c r="W56" s="19">
        <v>0.19791666666666666</v>
      </c>
      <c r="X56" s="21">
        <f>Table1419[[#This Row],[Qualifying_Time_Women_03_12]]*1440</f>
        <v>285</v>
      </c>
      <c r="Y56" s="20">
        <f>IFERROR(BQs_over_time_AG20!$V56/BQs_over_time_AG20!$W56,"")</f>
        <v>0.68363516454751661</v>
      </c>
      <c r="Z56" s="19">
        <f>Table1419[[#This Row],[Qualifying_Time_Women_03_12]]*Table1419[[#This Row],[Age_Factor_Women]]</f>
        <v>0.13618645833333334</v>
      </c>
      <c r="AA56" s="21">
        <f>Table1419[[#This Row],[AG_Time_Women_03_12]]*1440</f>
        <v>196.10850000000002</v>
      </c>
      <c r="AB56" s="19">
        <v>0.19444444444444445</v>
      </c>
      <c r="AC56" s="21">
        <f>Table1419[[#This Row],[Qualifying_Time_Women_13_19]]*1440</f>
        <v>280</v>
      </c>
      <c r="AD56" s="23">
        <f>IFERROR(BQs_over_time_AG20!$V56/BQs_over_time_AG20!$AB56,"")</f>
        <v>0.6958429353430079</v>
      </c>
      <c r="AE56" s="19">
        <f>Table1419[[#This Row],[Qualifying_Time_Women_13_19]]*Table1419[[#This Row],[Age_Factor_Women]]</f>
        <v>0.13379722222222223</v>
      </c>
      <c r="AF56" s="21">
        <f>Table1419[[#This Row],[AG_Time_Women_13_19]]*1440</f>
        <v>192.66800000000001</v>
      </c>
      <c r="AG56" s="19">
        <v>0.19097222222222221</v>
      </c>
      <c r="AH56" s="21">
        <f>Table1419[[#This Row],[Qualifying_Time_Women_2020]]*1440</f>
        <v>275</v>
      </c>
      <c r="AI56" s="24">
        <f>IFERROR(BQs_over_time_AG20!$V56/BQs_over_time_AG20!$AG56,"")</f>
        <v>0.70849462507651717</v>
      </c>
      <c r="AJ56" s="19">
        <f>Table1419[[#This Row],[Qualifying_Time_Women_2020]]*Table1419[[#This Row],[Age_Factor_Women]]</f>
        <v>0.13140798611111112</v>
      </c>
      <c r="AK56" s="25">
        <f>Table1419[[#This Row],[AG_Time_Women_2020]]*1440</f>
        <v>189.22750000000002</v>
      </c>
      <c r="AL56" s="26">
        <f t="shared" si="0"/>
        <v>0.6</v>
      </c>
      <c r="AM56" s="27">
        <f t="shared" si="1"/>
        <v>9.9999999999999978E-2</v>
      </c>
      <c r="AN56" s="27">
        <f t="shared" si="2"/>
        <v>0.10000000000000009</v>
      </c>
      <c r="AO56" s="27">
        <f t="shared" si="3"/>
        <v>9.9999999999999978E-2</v>
      </c>
      <c r="AP56" s="27">
        <f t="shared" si="4"/>
        <v>9.9999999999999978E-2</v>
      </c>
      <c r="AQ56" s="28">
        <v>0.68</v>
      </c>
      <c r="AR56" s="29">
        <f>Table1419[[#This Row],[Age Best_Men_20]]/Table1419[[#This Row],[Proposed_uniform_AG%]]</f>
        <v>0.16516095270865588</v>
      </c>
      <c r="AS56" s="29">
        <f t="shared" si="13"/>
        <v>0.16350445958187809</v>
      </c>
      <c r="AT56" s="29">
        <f>CEILING(Table1419[[#This Row],[Proposed_QT_M_Agegrouped]],"00:01:00")</f>
        <v>0.16388888888888889</v>
      </c>
      <c r="AU56" s="30">
        <f>Table1419[[#This Row],[Proposed_QT_M_Agegrouped_roundedup]]*1440</f>
        <v>236</v>
      </c>
      <c r="AV56" s="30">
        <f>Table1419[[#This Row],[Proposed_QT_M_Agegrouped_roundedup_min]]-Table1419[[#This Row],[QT_Men_2020_min]]</f>
        <v>-8.9999999999999716</v>
      </c>
      <c r="AW56" s="40">
        <f>(Table1419[[#This Row],[Proposed_QT_M_Agegrouped_roundedup_min]]-Table1419[[#This Row],[QT_Men_2020_min]])/Table1419[[#This Row],[QT_Men_2020_min]]</f>
        <v>-3.6734693877550906E-2</v>
      </c>
      <c r="AX56" s="32">
        <f>Table1419[[#This Row],[Age Best_Women]]/Table1419[[#This Row],[Proposed_uniform_AG%]]</f>
        <v>0.19897469556376859</v>
      </c>
      <c r="AY56" s="29">
        <f>AVERAGE($AX$53:$AX$57)</f>
        <v>0.19592539156648686</v>
      </c>
      <c r="AZ56" s="33">
        <f>CEILING(Table1419[[#This Row],[Proposed_QT_W_Agegrouped]],"00:01:00")</f>
        <v>0.19652777777777777</v>
      </c>
      <c r="BA56" s="34">
        <f>Table1419[[#This Row],[Proposed_QT_W_Agegrouped_roundedup]]*1440</f>
        <v>283</v>
      </c>
      <c r="BB56" s="34">
        <f>Table1419[[#This Row],[Proposed_QT_W_Agegrouped_roundedup_min]]-Table1419[[#This Row],[Qualifying_Time_Women_2020_min]]</f>
        <v>8</v>
      </c>
      <c r="BC56" s="41">
        <f>(Table1419[[#This Row],[Proposed_QT_W_Agegrouped_roundedup_min]]-Table1419[[#This Row],[Qualifying_Time_Women_2020_min]])/Table1419[[#This Row],[Qualifying_Time_Women_2020_min]]</f>
        <v>2.9090909090909091E-2</v>
      </c>
      <c r="BD56" s="36" t="s">
        <v>80</v>
      </c>
      <c r="BE56" s="37">
        <f>Table1419[[#This Row],[Age Best_Men_20]]/Table1419[[#This Row],[Proposed_QT_M_Agegrouped_roundedup]]</f>
        <v>0.68527798683184682</v>
      </c>
      <c r="BF56" s="38">
        <f>Table1419[[#This Row],[Age Best_Women]]/Table1419[[#This Row],[Proposed_QT_W_Agegrouped_roundedup]]</f>
        <v>0.68846650846658031</v>
      </c>
    </row>
    <row r="57" spans="1:86" x14ac:dyDescent="0.55000000000000004">
      <c r="A57" s="18">
        <v>69</v>
      </c>
      <c r="B57" s="19">
        <f>IF(BQs_over_time_AG20!$A57="","",SUMIF('2020_Road Weights'!$A:$A,"M",'2020_Road Weights'!$F:$F)/3600/24)</f>
        <v>8.4479166666666661E-2</v>
      </c>
      <c r="C57" s="20">
        <f>IF(A57="","",INDEX('2020_Road Weights'!$A:$CX,MATCH("M",'2020_Road Weights'!$A:$A,FALSE),MATCH(BQs_over_time_AG20!$A57,'2020_Road Weights'!$1:$1,FALSE)))</f>
        <v>0.74439999999999995</v>
      </c>
      <c r="D57" s="19">
        <f>IFERROR(BQs_over_time_AG20!$B57/BQs_over_time_AG20!$C57,"")</f>
        <v>0.11348625291062153</v>
      </c>
      <c r="E57" s="19">
        <v>0.17708333333333331</v>
      </c>
      <c r="F57" s="21">
        <f>Table1419[[#This Row],[QT_Men_03_12]]*1440</f>
        <v>254.99999999999997</v>
      </c>
      <c r="G57" s="20">
        <f>IFERROR(BQs_over_time_AG20!$D57/BQs_over_time_AG20!$E57,"")</f>
        <v>0.64086354584821581</v>
      </c>
      <c r="H57" s="19">
        <f>IFERROR(Table1419[[#This Row],[QT_Men_03_12]]*Table1419[[#This Row],[Age_Factor_Men_20]],"")</f>
        <v>0.1318208333333333</v>
      </c>
      <c r="I57" s="21">
        <f>Table1419[[#This Row],[AG_Time_Men_03_12]]*1440</f>
        <v>189.82199999999995</v>
      </c>
      <c r="J57" s="19">
        <v>0.17361111111111113</v>
      </c>
      <c r="K57" s="21">
        <f>Table1419[[#This Row],[QT_Men_13_19]]*1440</f>
        <v>250.00000000000003</v>
      </c>
      <c r="L57" s="20">
        <f>IFERROR(BQs_over_time_AG20!$D57/BQs_over_time_AG20!$J57,"")</f>
        <v>0.65368081676517997</v>
      </c>
      <c r="M57" s="19">
        <f>Table1419[[#This Row],[QT_Men_13_19]]*Table1419[[#This Row],[Age_Factor_Men_20]]</f>
        <v>0.12923611111111111</v>
      </c>
      <c r="N57" s="21">
        <f>Table1419[[#This Row],[AG_Time_Men_13_19]]*1440</f>
        <v>186.1</v>
      </c>
      <c r="O57" s="19">
        <v>0.17013888888888887</v>
      </c>
      <c r="P57" s="21">
        <f>Table1419[[#This Row],[QT_Men_2020]]*1440</f>
        <v>244.99999999999997</v>
      </c>
      <c r="Q57" s="22">
        <f>IFERROR(BQs_over_time_AG20!$D57/BQs_over_time_AG20!$O57,"")</f>
        <v>0.66702124159712251</v>
      </c>
      <c r="R57" s="19">
        <f>Table1419[[#This Row],[QT_Men_2020]]*Table1419[[#This Row],[Age_Factor_Men_20]]</f>
        <v>0.12665138888888886</v>
      </c>
      <c r="S57" s="21">
        <f>Table1419[[#This Row],[AG_Time_Men_2020]]*1440</f>
        <v>182.37799999999996</v>
      </c>
      <c r="T57" s="19">
        <f>IF(BQs_over_time_AG20!$A57="","",SUMIF('2020_Road Weights'!$A:$A,"F",'2020_Road Weights'!$F:$F)/3600/24)</f>
        <v>9.3101851851851838E-2</v>
      </c>
      <c r="U57" s="20">
        <f>INDEX('2020_Road Weights'!$A:$CX,MATCH("F",'2020_Road Weights'!$A:$A,FALSE),MATCH(BQs_over_time_AG20!$A57,'2020_Road Weights'!$1:$1,FALSE))</f>
        <v>0.67700000000000005</v>
      </c>
      <c r="V57" s="19">
        <f>IFERROR(BQs_over_time_AG20!$T57/BQs_over_time_AG20!$U57,"")</f>
        <v>0.13752119919032768</v>
      </c>
      <c r="W57" s="19">
        <v>0.19791666666666666</v>
      </c>
      <c r="X57" s="21">
        <f>Table1419[[#This Row],[Qualifying_Time_Women_03_12]]*1440</f>
        <v>285</v>
      </c>
      <c r="Y57" s="20">
        <f>IFERROR(BQs_over_time_AG20!$V57/BQs_over_time_AG20!$W57,"")</f>
        <v>0.69484395380376096</v>
      </c>
      <c r="Z57" s="19">
        <f>Table1419[[#This Row],[Qualifying_Time_Women_03_12]]*Table1419[[#This Row],[Age_Factor_Women]]</f>
        <v>0.13398958333333333</v>
      </c>
      <c r="AA57" s="21">
        <f>Table1419[[#This Row],[AG_Time_Women_03_12]]*1440</f>
        <v>192.94499999999999</v>
      </c>
      <c r="AB57" s="19">
        <v>0.19444444444444445</v>
      </c>
      <c r="AC57" s="21">
        <f>Table1419[[#This Row],[Qualifying_Time_Women_13_19]]*1440</f>
        <v>280</v>
      </c>
      <c r="AD57" s="23">
        <f>IFERROR(BQs_over_time_AG20!$V57/BQs_over_time_AG20!$AB57,"")</f>
        <v>0.70725188155025664</v>
      </c>
      <c r="AE57" s="19">
        <f>Table1419[[#This Row],[Qualifying_Time_Women_13_19]]*Table1419[[#This Row],[Age_Factor_Women]]</f>
        <v>0.13163888888888889</v>
      </c>
      <c r="AF57" s="21">
        <f>Table1419[[#This Row],[AG_Time_Women_13_19]]*1440</f>
        <v>189.56</v>
      </c>
      <c r="AG57" s="19">
        <v>0.19097222222222221</v>
      </c>
      <c r="AH57" s="21">
        <f>Table1419[[#This Row],[Qualifying_Time_Women_2020]]*1440</f>
        <v>275</v>
      </c>
      <c r="AI57" s="24">
        <f>IFERROR(BQs_over_time_AG20!$V57/BQs_over_time_AG20!$AG57,"")</f>
        <v>0.72011100666935224</v>
      </c>
      <c r="AJ57" s="19">
        <f>Table1419[[#This Row],[Qualifying_Time_Women_2020]]*Table1419[[#This Row],[Age_Factor_Women]]</f>
        <v>0.12928819444444445</v>
      </c>
      <c r="AK57" s="25">
        <f>Table1419[[#This Row],[AG_Time_Women_2020]]*1440</f>
        <v>186.17500000000001</v>
      </c>
      <c r="AL57" s="26">
        <f t="shared" si="0"/>
        <v>0.6</v>
      </c>
      <c r="AM57" s="27">
        <f t="shared" si="1"/>
        <v>9.9999999999999978E-2</v>
      </c>
      <c r="AN57" s="27">
        <f t="shared" si="2"/>
        <v>0.10000000000000009</v>
      </c>
      <c r="AO57" s="27">
        <f t="shared" si="3"/>
        <v>9.9999999999999978E-2</v>
      </c>
      <c r="AP57" s="27">
        <f t="shared" si="4"/>
        <v>9.9999999999999978E-2</v>
      </c>
      <c r="AQ57" s="28">
        <v>0.68</v>
      </c>
      <c r="AR57" s="29">
        <f>Table1419[[#This Row],[Age Best_Men_20]]/Table1419[[#This Row],[Proposed_uniform_AG%]]</f>
        <v>0.16689154839797282</v>
      </c>
      <c r="AS57" s="29">
        <f t="shared" si="13"/>
        <v>0.16350445958187809</v>
      </c>
      <c r="AT57" s="29">
        <f>CEILING(Table1419[[#This Row],[Proposed_QT_M_Agegrouped]],"00:01:00")</f>
        <v>0.16388888888888889</v>
      </c>
      <c r="AU57" s="30">
        <f>Table1419[[#This Row],[Proposed_QT_M_Agegrouped_roundedup]]*1440</f>
        <v>236</v>
      </c>
      <c r="AV57" s="30">
        <f>Table1419[[#This Row],[Proposed_QT_M_Agegrouped_roundedup_min]]-Table1419[[#This Row],[QT_Men_2020_min]]</f>
        <v>-8.9999999999999716</v>
      </c>
      <c r="AW57" s="40">
        <f>(Table1419[[#This Row],[Proposed_QT_M_Agegrouped_roundedup_min]]-Table1419[[#This Row],[QT_Men_2020_min]])/Table1419[[#This Row],[QT_Men_2020_min]]</f>
        <v>-3.6734693877550906E-2</v>
      </c>
      <c r="AX57" s="32">
        <f>Table1419[[#This Row],[Age Best_Women]]/Table1419[[#This Row],[Proposed_uniform_AG%]]</f>
        <v>0.20223705763283481</v>
      </c>
      <c r="AY57" s="29">
        <f>AVERAGE($AX$53:$AX$57)</f>
        <v>0.19592539156648686</v>
      </c>
      <c r="AZ57" s="33">
        <f>CEILING(Table1419[[#This Row],[Proposed_QT_W_Agegrouped]],"00:01:00")</f>
        <v>0.19652777777777777</v>
      </c>
      <c r="BA57" s="34">
        <f>Table1419[[#This Row],[Proposed_QT_W_Agegrouped_roundedup]]*1440</f>
        <v>283</v>
      </c>
      <c r="BB57" s="34">
        <f>Table1419[[#This Row],[Proposed_QT_W_Agegrouped_roundedup_min]]-Table1419[[#This Row],[Qualifying_Time_Women_2020_min]]</f>
        <v>8</v>
      </c>
      <c r="BC57" s="41">
        <f>(Table1419[[#This Row],[Proposed_QT_W_Agegrouped_roundedup_min]]-Table1419[[#This Row],[Qualifying_Time_Women_2020_min]])/Table1419[[#This Row],[Qualifying_Time_Women_2020_min]]</f>
        <v>2.9090909090909091E-2</v>
      </c>
      <c r="BD57" s="36" t="s">
        <v>80</v>
      </c>
      <c r="BE57" s="37">
        <f>Table1419[[#This Row],[Age Best_Men_20]]/Table1419[[#This Row],[Proposed_QT_M_Agegrouped_roundedup]]</f>
        <v>0.69245849233599577</v>
      </c>
      <c r="BF57" s="38">
        <f>Table1419[[#This Row],[Age Best_Women]]/Table1419[[#This Row],[Proposed_QT_W_Agegrouped_roundedup]]</f>
        <v>0.69975451178117265</v>
      </c>
    </row>
    <row r="58" spans="1:86" s="39" customFormat="1" x14ac:dyDescent="0.55000000000000004">
      <c r="A58" s="18">
        <v>70</v>
      </c>
      <c r="B58" s="19">
        <f>IF(BQs_over_time_AG20!$A58="","",SUMIF('2020_Road Weights'!$A:$A,"M",'2020_Road Weights'!$F:$F)/3600/24)</f>
        <v>8.4479166666666661E-2</v>
      </c>
      <c r="C58" s="20">
        <f>IF(A58="","",INDEX('2020_Road Weights'!$A:$CX,MATCH("M",'2020_Road Weights'!$A:$A,FALSE),MATCH(BQs_over_time_AG20!$A58,'2020_Road Weights'!$1:$1,FALSE)))</f>
        <v>0.73660000000000003</v>
      </c>
      <c r="D58" s="19">
        <f>IFERROR(BQs_over_time_AG20!$B58/BQs_over_time_AG20!$C58,"")</f>
        <v>0.11468798081274321</v>
      </c>
      <c r="E58" s="19">
        <v>0.1875</v>
      </c>
      <c r="F58" s="21">
        <f>Table1419[[#This Row],[QT_Men_03_12]]*1440</f>
        <v>270</v>
      </c>
      <c r="G58" s="20">
        <f>IFERROR(BQs_over_time_AG20!$D58/BQs_over_time_AG20!$E58,"")</f>
        <v>0.61166923100129711</v>
      </c>
      <c r="H58" s="19">
        <f>IFERROR(Table1419[[#This Row],[QT_Men_03_12]]*Table1419[[#This Row],[Age_Factor_Men_20]],"")</f>
        <v>0.1381125</v>
      </c>
      <c r="I58" s="21">
        <f>Table1419[[#This Row],[AG_Time_Men_03_12]]*1440</f>
        <v>198.88200000000001</v>
      </c>
      <c r="J58" s="19">
        <v>0.18402777777777779</v>
      </c>
      <c r="K58" s="21">
        <f>Table1419[[#This Row],[QT_Men_13_19]]*1440</f>
        <v>265</v>
      </c>
      <c r="L58" s="20">
        <f>IFERROR(BQs_over_time_AG20!$D58/BQs_over_time_AG20!$J58,"")</f>
        <v>0.62321015988811401</v>
      </c>
      <c r="M58" s="19">
        <f>Table1419[[#This Row],[QT_Men_13_19]]*Table1419[[#This Row],[Age_Factor_Men_20]]</f>
        <v>0.13555486111111112</v>
      </c>
      <c r="N58" s="21">
        <f>Table1419[[#This Row],[AG_Time_Men_13_19]]*1440</f>
        <v>195.19900000000001</v>
      </c>
      <c r="O58" s="19">
        <v>0.18055555555555555</v>
      </c>
      <c r="P58" s="21">
        <f>Table1419[[#This Row],[QT_Men_2020]]*1440</f>
        <v>260</v>
      </c>
      <c r="Q58" s="22">
        <f>IFERROR(BQs_over_time_AG20!$D58/BQs_over_time_AG20!$O58,"")</f>
        <v>0.63519497065519315</v>
      </c>
      <c r="R58" s="19">
        <f>Table1419[[#This Row],[QT_Men_2020]]*Table1419[[#This Row],[Age_Factor_Men_20]]</f>
        <v>0.13299722222222224</v>
      </c>
      <c r="S58" s="21">
        <f>Table1419[[#This Row],[AG_Time_Men_2020]]*1440</f>
        <v>191.51600000000002</v>
      </c>
      <c r="T58" s="19">
        <f>IF(BQs_over_time_AG20!$A58="","",SUMIF('2020_Road Weights'!$A:$A,"F",'2020_Road Weights'!$F:$F)/3600/24)</f>
        <v>9.3101851851851838E-2</v>
      </c>
      <c r="U58" s="20">
        <f>INDEX('2020_Road Weights'!$A:$CX,MATCH("F",'2020_Road Weights'!$A:$A,FALSE),MATCH(BQs_over_time_AG20!$A58,'2020_Road Weights'!$1:$1,FALSE))</f>
        <v>0.66600000000000004</v>
      </c>
      <c r="V58" s="19">
        <f>IFERROR(BQs_over_time_AG20!$T58/BQs_over_time_AG20!$U58,"")</f>
        <v>0.13979257034812587</v>
      </c>
      <c r="W58" s="19">
        <v>0.20833333333333331</v>
      </c>
      <c r="X58" s="21">
        <f>Table1419[[#This Row],[Qualifying_Time_Women_03_12]]*1440</f>
        <v>300</v>
      </c>
      <c r="Y58" s="20">
        <f>IFERROR(BQs_over_time_AG20!$V58/BQs_over_time_AG20!$W58,"")</f>
        <v>0.6710043376710042</v>
      </c>
      <c r="Z58" s="19">
        <f>Table1419[[#This Row],[Qualifying_Time_Women_03_12]]*Table1419[[#This Row],[Age_Factor_Women]]</f>
        <v>0.13874999999999998</v>
      </c>
      <c r="AA58" s="21">
        <f>Table1419[[#This Row],[AG_Time_Women_03_12]]*1440</f>
        <v>199.79999999999998</v>
      </c>
      <c r="AB58" s="19">
        <v>0.20486111111111113</v>
      </c>
      <c r="AC58" s="21">
        <f>Table1419[[#This Row],[Qualifying_Time_Women_13_19]]*1440</f>
        <v>295.00000000000006</v>
      </c>
      <c r="AD58" s="23">
        <f>IFERROR(BQs_over_time_AG20!$V58/BQs_over_time_AG20!$AB58,"")</f>
        <v>0.68237729254678381</v>
      </c>
      <c r="AE58" s="19">
        <f>Table1419[[#This Row],[Qualifying_Time_Women_13_19]]*Table1419[[#This Row],[Age_Factor_Women]]</f>
        <v>0.13643750000000002</v>
      </c>
      <c r="AF58" s="21">
        <f>Table1419[[#This Row],[AG_Time_Women_13_19]]*1440</f>
        <v>196.47000000000003</v>
      </c>
      <c r="AG58" s="19">
        <v>0.20138888888888887</v>
      </c>
      <c r="AH58" s="21">
        <f>Table1419[[#This Row],[Qualifying_Time_Women_2020]]*1440</f>
        <v>289.99999999999994</v>
      </c>
      <c r="AI58" s="24">
        <f>IFERROR(BQs_over_time_AG20!$V58/BQs_over_time_AG20!$AG58,"")</f>
        <v>0.69414241828034917</v>
      </c>
      <c r="AJ58" s="19">
        <f>Table1419[[#This Row],[Qualifying_Time_Women_2020]]*Table1419[[#This Row],[Age_Factor_Women]]</f>
        <v>0.13412499999999999</v>
      </c>
      <c r="AK58" s="25">
        <f>Table1419[[#This Row],[AG_Time_Women_2020]]*1440</f>
        <v>193.14</v>
      </c>
      <c r="AL58" s="26">
        <f t="shared" si="0"/>
        <v>0.6</v>
      </c>
      <c r="AM58" s="27">
        <f t="shared" si="1"/>
        <v>9.9999999999999978E-2</v>
      </c>
      <c r="AN58" s="27">
        <f t="shared" si="2"/>
        <v>0.10000000000000009</v>
      </c>
      <c r="AO58" s="27">
        <f t="shared" si="3"/>
        <v>9.9999999999999978E-2</v>
      </c>
      <c r="AP58" s="27">
        <f t="shared" si="4"/>
        <v>9.9999999999999978E-2</v>
      </c>
      <c r="AQ58" s="28">
        <v>0.68</v>
      </c>
      <c r="AR58" s="29">
        <f>Table1419[[#This Row],[Age Best_Men_20]]/Table1419[[#This Row],[Proposed_uniform_AG%]]</f>
        <v>0.16865879531285766</v>
      </c>
      <c r="AS58" s="29">
        <f>AVERAGE($AR$58:$AR$62)</f>
        <v>0.17281406080504963</v>
      </c>
      <c r="AT58" s="29">
        <f>CEILING(Table1419[[#This Row],[Proposed_QT_M_Agegrouped]],"00:01:00")</f>
        <v>0.17291666666666666</v>
      </c>
      <c r="AU58" s="30">
        <f>Table1419[[#This Row],[Proposed_QT_M_Agegrouped_roundedup]]*1440</f>
        <v>249</v>
      </c>
      <c r="AV58" s="30">
        <f>Table1419[[#This Row],[Proposed_QT_M_Agegrouped_roundedup_min]]-Table1419[[#This Row],[QT_Men_2020_min]]</f>
        <v>-11</v>
      </c>
      <c r="AW58" s="40">
        <f>(Table1419[[#This Row],[Proposed_QT_M_Agegrouped_roundedup_min]]-Table1419[[#This Row],[QT_Men_2020_min]])/Table1419[[#This Row],[QT_Men_2020_min]]</f>
        <v>-4.230769230769231E-2</v>
      </c>
      <c r="AX58" s="32">
        <f>Table1419[[#This Row],[Age Best_Women]]/Table1419[[#This Row],[Proposed_uniform_AG%]]</f>
        <v>0.20557730933547921</v>
      </c>
      <c r="AY58" s="29">
        <f>AVERAGE($AX$58:$AX$62)</f>
        <v>0.21277221580211467</v>
      </c>
      <c r="AZ58" s="33">
        <f>CEILING(Table1419[[#This Row],[Proposed_QT_W_Agegrouped]],"00:01:00")</f>
        <v>0.21319444444444446</v>
      </c>
      <c r="BA58" s="34">
        <f>Table1419[[#This Row],[Proposed_QT_W_Agegrouped_roundedup]]*1440</f>
        <v>307</v>
      </c>
      <c r="BB58" s="34">
        <f>Table1419[[#This Row],[Proposed_QT_W_Agegrouped_roundedup_min]]-Table1419[[#This Row],[Qualifying_Time_Women_2020_min]]</f>
        <v>17.000000000000057</v>
      </c>
      <c r="BC58" s="41">
        <f>(Table1419[[#This Row],[Proposed_QT_W_Agegrouped_roundedup_min]]-Table1419[[#This Row],[Qualifying_Time_Women_2020_min]])/Table1419[[#This Row],[Qualifying_Time_Women_2020_min]]</f>
        <v>5.8620689655172621E-2</v>
      </c>
      <c r="BD58" s="36" t="s">
        <v>81</v>
      </c>
      <c r="BE58" s="37">
        <f>Table1419[[#This Row],[Age Best_Men_20]]/Table1419[[#This Row],[Proposed_QT_M_Agegrouped_roundedup]]</f>
        <v>0.66325579265200896</v>
      </c>
      <c r="BF58" s="38">
        <f>Table1419[[#This Row],[Age Best_Women]]/Table1419[[#This Row],[Proposed_QT_W_Agegrouped_roundedup]]</f>
        <v>0.65570456449935255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1:86" x14ac:dyDescent="0.55000000000000004">
      <c r="A59" s="18">
        <v>71</v>
      </c>
      <c r="B59" s="19">
        <f>IF(BQs_over_time_AG20!$A59="","",SUMIF('2020_Road Weights'!$A:$A,"M",'2020_Road Weights'!$F:$F)/3600/24)</f>
        <v>8.4479166666666661E-2</v>
      </c>
      <c r="C59" s="20">
        <f>IF(A59="","",INDEX('2020_Road Weights'!$A:$CX,MATCH("M",'2020_Road Weights'!$A:$A,FALSE),MATCH(BQs_over_time_AG20!$A59,'2020_Road Weights'!$1:$1,FALSE)))</f>
        <v>0.72860000000000003</v>
      </c>
      <c r="D59" s="19">
        <f>IFERROR(BQs_over_time_AG20!$B59/BQs_over_time_AG20!$C59,"")</f>
        <v>0.11594725043462346</v>
      </c>
      <c r="E59" s="19">
        <v>0.1875</v>
      </c>
      <c r="F59" s="21">
        <f>Table1419[[#This Row],[QT_Men_03_12]]*1440</f>
        <v>270</v>
      </c>
      <c r="G59" s="20">
        <f>IFERROR(BQs_over_time_AG20!$D59/BQs_over_time_AG20!$E59,"")</f>
        <v>0.61838533565132514</v>
      </c>
      <c r="H59" s="19">
        <f>IFERROR(Table1419[[#This Row],[QT_Men_03_12]]*Table1419[[#This Row],[Age_Factor_Men_20]],"")</f>
        <v>0.1366125</v>
      </c>
      <c r="I59" s="21">
        <f>Table1419[[#This Row],[AG_Time_Men_03_12]]*1440</f>
        <v>196.72200000000001</v>
      </c>
      <c r="J59" s="19">
        <v>0.18402777777777779</v>
      </c>
      <c r="K59" s="21">
        <f>Table1419[[#This Row],[QT_Men_13_19]]*1440</f>
        <v>265</v>
      </c>
      <c r="L59" s="20">
        <f>IFERROR(BQs_over_time_AG20!$D59/BQs_over_time_AG20!$J59,"")</f>
        <v>0.6300529834938029</v>
      </c>
      <c r="M59" s="19">
        <f>Table1419[[#This Row],[QT_Men_13_19]]*Table1419[[#This Row],[Age_Factor_Men_20]]</f>
        <v>0.13408263888888891</v>
      </c>
      <c r="N59" s="21">
        <f>Table1419[[#This Row],[AG_Time_Men_13_19]]*1440</f>
        <v>193.07900000000004</v>
      </c>
      <c r="O59" s="19">
        <v>0.18055555555555555</v>
      </c>
      <c r="P59" s="21">
        <f>Table1419[[#This Row],[QT_Men_2020]]*1440</f>
        <v>260</v>
      </c>
      <c r="Q59" s="22">
        <f>IFERROR(BQs_over_time_AG20!$D59/BQs_over_time_AG20!$O59,"")</f>
        <v>0.64216938702253001</v>
      </c>
      <c r="R59" s="19">
        <f>Table1419[[#This Row],[QT_Men_2020]]*Table1419[[#This Row],[Age_Factor_Men_20]]</f>
        <v>0.13155277777777777</v>
      </c>
      <c r="S59" s="21">
        <f>Table1419[[#This Row],[AG_Time_Men_2020]]*1440</f>
        <v>189.43599999999998</v>
      </c>
      <c r="T59" s="19">
        <f>IF(BQs_over_time_AG20!$A59="","",SUMIF('2020_Road Weights'!$A:$A,"F",'2020_Road Weights'!$F:$F)/3600/24)</f>
        <v>9.3101851851851838E-2</v>
      </c>
      <c r="U59" s="20">
        <f>INDEX('2020_Road Weights'!$A:$CX,MATCH("F",'2020_Road Weights'!$A:$A,FALSE),MATCH(BQs_over_time_AG20!$A59,'2020_Road Weights'!$1:$1,FALSE))</f>
        <v>0.65490000000000004</v>
      </c>
      <c r="V59" s="19">
        <f>IFERROR(BQs_over_time_AG20!$T59/BQs_over_time_AG20!$U59,"")</f>
        <v>0.14216193594724666</v>
      </c>
      <c r="W59" s="19">
        <v>0.20833333333333331</v>
      </c>
      <c r="X59" s="21">
        <f>Table1419[[#This Row],[Qualifying_Time_Women_03_12]]*1440</f>
        <v>300</v>
      </c>
      <c r="Y59" s="20">
        <f>IFERROR(BQs_over_time_AG20!$V59/BQs_over_time_AG20!$W59,"")</f>
        <v>0.68237729254678403</v>
      </c>
      <c r="Z59" s="19">
        <f>Table1419[[#This Row],[Qualifying_Time_Women_03_12]]*Table1419[[#This Row],[Age_Factor_Women]]</f>
        <v>0.13643749999999999</v>
      </c>
      <c r="AA59" s="21">
        <f>Table1419[[#This Row],[AG_Time_Women_03_12]]*1440</f>
        <v>196.46999999999997</v>
      </c>
      <c r="AB59" s="19">
        <v>0.20486111111111113</v>
      </c>
      <c r="AC59" s="21">
        <f>Table1419[[#This Row],[Qualifying_Time_Women_13_19]]*1440</f>
        <v>295.00000000000006</v>
      </c>
      <c r="AD59" s="23">
        <f>IFERROR(BQs_over_time_AG20!$V59/BQs_over_time_AG20!$AB59,"")</f>
        <v>0.69394300936961073</v>
      </c>
      <c r="AE59" s="19">
        <f>Table1419[[#This Row],[Qualifying_Time_Women_13_19]]*Table1419[[#This Row],[Age_Factor_Women]]</f>
        <v>0.13416354166666669</v>
      </c>
      <c r="AF59" s="21">
        <f>Table1419[[#This Row],[AG_Time_Women_13_19]]*1440</f>
        <v>193.19550000000004</v>
      </c>
      <c r="AG59" s="19">
        <v>0.20138888888888887</v>
      </c>
      <c r="AH59" s="21">
        <f>Table1419[[#This Row],[Qualifying_Time_Women_2020]]*1440</f>
        <v>289.99999999999994</v>
      </c>
      <c r="AI59" s="24">
        <f>IFERROR(BQs_over_time_AG20!$V59/BQs_over_time_AG20!$AG59,"")</f>
        <v>0.70590754401391453</v>
      </c>
      <c r="AJ59" s="19">
        <f>Table1419[[#This Row],[Qualifying_Time_Women_2020]]*Table1419[[#This Row],[Age_Factor_Women]]</f>
        <v>0.13188958333333334</v>
      </c>
      <c r="AK59" s="25">
        <f>Table1419[[#This Row],[AG_Time_Women_2020]]*1440</f>
        <v>189.92099999999999</v>
      </c>
      <c r="AL59" s="26">
        <f t="shared" si="0"/>
        <v>0.6</v>
      </c>
      <c r="AM59" s="27">
        <f t="shared" si="1"/>
        <v>9.9999999999999978E-2</v>
      </c>
      <c r="AN59" s="27">
        <f t="shared" si="2"/>
        <v>0.10000000000000009</v>
      </c>
      <c r="AO59" s="27">
        <f t="shared" si="3"/>
        <v>9.9999999999999978E-2</v>
      </c>
      <c r="AP59" s="27">
        <f t="shared" si="4"/>
        <v>9.9999999999999978E-2</v>
      </c>
      <c r="AQ59" s="28">
        <v>0.68</v>
      </c>
      <c r="AR59" s="29">
        <f>Table1419[[#This Row],[Age Best_Men_20]]/Table1419[[#This Row],[Proposed_uniform_AG%]]</f>
        <v>0.17051066240385801</v>
      </c>
      <c r="AS59" s="29">
        <f t="shared" ref="AS59:AS62" si="14">AVERAGE($AR$58:$AR$62)</f>
        <v>0.17281406080504963</v>
      </c>
      <c r="AT59" s="29">
        <f>CEILING(Table1419[[#This Row],[Proposed_QT_M_Agegrouped]],"00:01:00")</f>
        <v>0.17291666666666666</v>
      </c>
      <c r="AU59" s="30">
        <f>Table1419[[#This Row],[Proposed_QT_M_Agegrouped_roundedup]]*1440</f>
        <v>249</v>
      </c>
      <c r="AV59" s="30">
        <f>Table1419[[#This Row],[Proposed_QT_M_Agegrouped_roundedup_min]]-Table1419[[#This Row],[QT_Men_2020_min]]</f>
        <v>-11</v>
      </c>
      <c r="AW59" s="40">
        <f>(Table1419[[#This Row],[Proposed_QT_M_Agegrouped_roundedup_min]]-Table1419[[#This Row],[QT_Men_2020_min]])/Table1419[[#This Row],[QT_Men_2020_min]]</f>
        <v>-4.230769230769231E-2</v>
      </c>
      <c r="AX59" s="32">
        <f>Table1419[[#This Row],[Age Best_Women]]/Table1419[[#This Row],[Proposed_uniform_AG%]]</f>
        <v>0.20906167051065683</v>
      </c>
      <c r="AY59" s="29">
        <f>AVERAGE($AX$58:$AX$62)</f>
        <v>0.21277221580211467</v>
      </c>
      <c r="AZ59" s="33">
        <f>CEILING(Table1419[[#This Row],[Proposed_QT_W_Agegrouped]],"00:01:00")</f>
        <v>0.21319444444444446</v>
      </c>
      <c r="BA59" s="34">
        <f>Table1419[[#This Row],[Proposed_QT_W_Agegrouped_roundedup]]*1440</f>
        <v>307</v>
      </c>
      <c r="BB59" s="34">
        <f>Table1419[[#This Row],[Proposed_QT_W_Agegrouped_roundedup_min]]-Table1419[[#This Row],[Qualifying_Time_Women_2020_min]]</f>
        <v>17.000000000000057</v>
      </c>
      <c r="BC59" s="41">
        <f>(Table1419[[#This Row],[Proposed_QT_W_Agegrouped_roundedup_min]]-Table1419[[#This Row],[Qualifying_Time_Women_2020_min]])/Table1419[[#This Row],[Qualifying_Time_Women_2020_min]]</f>
        <v>5.8620689655172621E-2</v>
      </c>
      <c r="BD59" s="36" t="s">
        <v>81</v>
      </c>
      <c r="BE59" s="37">
        <f>Table1419[[#This Row],[Age Best_Men_20]]/Table1419[[#This Row],[Proposed_QT_M_Agegrouped_roundedup]]</f>
        <v>0.67053831576649714</v>
      </c>
      <c r="BF59" s="38">
        <f>Table1419[[#This Row],[Age Best_Women]]/Table1419[[#This Row],[Proposed_QT_W_Agegrouped_roundedup]]</f>
        <v>0.66681820118578228</v>
      </c>
    </row>
    <row r="60" spans="1:86" x14ac:dyDescent="0.55000000000000004">
      <c r="A60" s="18">
        <v>72</v>
      </c>
      <c r="B60" s="19">
        <f>IF(BQs_over_time_AG20!$A60="","",SUMIF('2020_Road Weights'!$A:$A,"M",'2020_Road Weights'!$F:$F)/3600/24)</f>
        <v>8.4479166666666661E-2</v>
      </c>
      <c r="C60" s="20">
        <f>IF(A60="","",INDEX('2020_Road Weights'!$A:$CX,MATCH("M",'2020_Road Weights'!$A:$A,FALSE),MATCH(BQs_over_time_AG20!$A60,'2020_Road Weights'!$1:$1,FALSE)))</f>
        <v>0.7198</v>
      </c>
      <c r="D60" s="19">
        <f>IFERROR(BQs_over_time_AG20!$B60/BQs_over_time_AG20!$C60,"")</f>
        <v>0.11736477725294063</v>
      </c>
      <c r="E60" s="19">
        <v>0.1875</v>
      </c>
      <c r="F60" s="21">
        <f>Table1419[[#This Row],[QT_Men_03_12]]*1440</f>
        <v>270</v>
      </c>
      <c r="G60" s="20">
        <f>IFERROR(BQs_over_time_AG20!$D60/BQs_over_time_AG20!$E60,"")</f>
        <v>0.62594547868235006</v>
      </c>
      <c r="H60" s="19">
        <f>IFERROR(Table1419[[#This Row],[QT_Men_03_12]]*Table1419[[#This Row],[Age_Factor_Men_20]],"")</f>
        <v>0.13496249999999999</v>
      </c>
      <c r="I60" s="21">
        <f>Table1419[[#This Row],[AG_Time_Men_03_12]]*1440</f>
        <v>194.34599999999998</v>
      </c>
      <c r="J60" s="19">
        <v>0.18402777777777779</v>
      </c>
      <c r="K60" s="21">
        <f>Table1419[[#This Row],[QT_Men_13_19]]*1440</f>
        <v>265</v>
      </c>
      <c r="L60" s="20">
        <f>IFERROR(BQs_over_time_AG20!$D60/BQs_over_time_AG20!$J60,"")</f>
        <v>0.63775577073296041</v>
      </c>
      <c r="M60" s="19">
        <f>Table1419[[#This Row],[QT_Men_13_19]]*Table1419[[#This Row],[Age_Factor_Men_20]]</f>
        <v>0.13246319444444446</v>
      </c>
      <c r="N60" s="21">
        <f>Table1419[[#This Row],[AG_Time_Men_13_19]]*1440</f>
        <v>190.74700000000001</v>
      </c>
      <c r="O60" s="19">
        <v>0.18055555555555555</v>
      </c>
      <c r="P60" s="21">
        <f>Table1419[[#This Row],[QT_Men_2020]]*1440</f>
        <v>260</v>
      </c>
      <c r="Q60" s="22">
        <f>IFERROR(BQs_over_time_AG20!$D60/BQs_over_time_AG20!$O60,"")</f>
        <v>0.65002030478551731</v>
      </c>
      <c r="R60" s="19">
        <f>Table1419[[#This Row],[QT_Men_2020]]*Table1419[[#This Row],[Age_Factor_Men_20]]</f>
        <v>0.12996388888888888</v>
      </c>
      <c r="S60" s="21">
        <f>Table1419[[#This Row],[AG_Time_Men_2020]]*1440</f>
        <v>187.148</v>
      </c>
      <c r="T60" s="19">
        <f>IF(BQs_over_time_AG20!$A60="","",SUMIF('2020_Road Weights'!$A:$A,"F",'2020_Road Weights'!$F:$F)/3600/24)</f>
        <v>9.3101851851851838E-2</v>
      </c>
      <c r="U60" s="20">
        <f>INDEX('2020_Road Weights'!$A:$CX,MATCH("F",'2020_Road Weights'!$A:$A,FALSE),MATCH(BQs_over_time_AG20!$A60,'2020_Road Weights'!$1:$1,FALSE))</f>
        <v>0.64390000000000003</v>
      </c>
      <c r="V60" s="19">
        <f>IFERROR(BQs_over_time_AG20!$T60/BQs_over_time_AG20!$U60,"")</f>
        <v>0.14459054488562173</v>
      </c>
      <c r="W60" s="19">
        <v>0.20833333333333331</v>
      </c>
      <c r="X60" s="21">
        <f>Table1419[[#This Row],[Qualifying_Time_Women_03_12]]*1440</f>
        <v>300</v>
      </c>
      <c r="Y60" s="20">
        <f>IFERROR(BQs_over_time_AG20!$V60/BQs_over_time_AG20!$W60,"")</f>
        <v>0.69403461545098433</v>
      </c>
      <c r="Z60" s="19">
        <f>Table1419[[#This Row],[Qualifying_Time_Women_03_12]]*Table1419[[#This Row],[Age_Factor_Women]]</f>
        <v>0.13414583333333333</v>
      </c>
      <c r="AA60" s="21">
        <f>Table1419[[#This Row],[AG_Time_Women_03_12]]*1440</f>
        <v>193.17</v>
      </c>
      <c r="AB60" s="19">
        <v>0.20486111111111113</v>
      </c>
      <c r="AC60" s="21">
        <f>Table1419[[#This Row],[Qualifying_Time_Women_13_19]]*1440</f>
        <v>295.00000000000006</v>
      </c>
      <c r="AD60" s="23">
        <f>IFERROR(BQs_over_time_AG20!$V60/BQs_over_time_AG20!$AB60,"")</f>
        <v>0.70579791401795011</v>
      </c>
      <c r="AE60" s="19">
        <f>Table1419[[#This Row],[Qualifying_Time_Women_13_19]]*Table1419[[#This Row],[Age_Factor_Women]]</f>
        <v>0.13191006944444447</v>
      </c>
      <c r="AF60" s="21">
        <f>Table1419[[#This Row],[AG_Time_Women_13_19]]*1440</f>
        <v>189.95050000000003</v>
      </c>
      <c r="AG60" s="19">
        <v>0.20138888888888887</v>
      </c>
      <c r="AH60" s="21">
        <f>Table1419[[#This Row],[Qualifying_Time_Women_2020]]*1440</f>
        <v>289.99999999999994</v>
      </c>
      <c r="AI60" s="24">
        <f>IFERROR(BQs_over_time_AG20!$V60/BQs_over_time_AG20!$AG60,"")</f>
        <v>0.71796684356998386</v>
      </c>
      <c r="AJ60" s="19">
        <f>Table1419[[#This Row],[Qualifying_Time_Women_2020]]*Table1419[[#This Row],[Age_Factor_Women]]</f>
        <v>0.12967430555555554</v>
      </c>
      <c r="AK60" s="25">
        <f>Table1419[[#This Row],[AG_Time_Women_2020]]*1440</f>
        <v>186.73099999999997</v>
      </c>
      <c r="AL60" s="26">
        <f t="shared" si="0"/>
        <v>0.6</v>
      </c>
      <c r="AM60" s="27">
        <f t="shared" si="1"/>
        <v>9.9999999999999978E-2</v>
      </c>
      <c r="AN60" s="27">
        <f t="shared" si="2"/>
        <v>0.10000000000000009</v>
      </c>
      <c r="AO60" s="27">
        <f t="shared" si="3"/>
        <v>9.9999999999999978E-2</v>
      </c>
      <c r="AP60" s="27">
        <f t="shared" si="4"/>
        <v>9.9999999999999978E-2</v>
      </c>
      <c r="AQ60" s="28">
        <v>0.68</v>
      </c>
      <c r="AR60" s="29">
        <f>Table1419[[#This Row],[Age Best_Men_20]]/Table1419[[#This Row],[Proposed_uniform_AG%]]</f>
        <v>0.17259526066608916</v>
      </c>
      <c r="AS60" s="29">
        <f t="shared" si="14"/>
        <v>0.17281406080504963</v>
      </c>
      <c r="AT60" s="29">
        <f>CEILING(Table1419[[#This Row],[Proposed_QT_M_Agegrouped]],"00:01:00")</f>
        <v>0.17291666666666666</v>
      </c>
      <c r="AU60" s="30">
        <f>Table1419[[#This Row],[Proposed_QT_M_Agegrouped_roundedup]]*1440</f>
        <v>249</v>
      </c>
      <c r="AV60" s="30">
        <f>Table1419[[#This Row],[Proposed_QT_M_Agegrouped_roundedup_min]]-Table1419[[#This Row],[QT_Men_2020_min]]</f>
        <v>-11</v>
      </c>
      <c r="AW60" s="40">
        <f>(Table1419[[#This Row],[Proposed_QT_M_Agegrouped_roundedup_min]]-Table1419[[#This Row],[QT_Men_2020_min]])/Table1419[[#This Row],[QT_Men_2020_min]]</f>
        <v>-4.230769230769231E-2</v>
      </c>
      <c r="AX60" s="32">
        <f>Table1419[[#This Row],[Age Best_Women]]/Table1419[[#This Row],[Proposed_uniform_AG%]]</f>
        <v>0.21263315424356136</v>
      </c>
      <c r="AY60" s="29">
        <f>AVERAGE($AX$58:$AX$62)</f>
        <v>0.21277221580211467</v>
      </c>
      <c r="AZ60" s="33">
        <f>CEILING(Table1419[[#This Row],[Proposed_QT_W_Agegrouped]],"00:01:00")</f>
        <v>0.21319444444444446</v>
      </c>
      <c r="BA60" s="34">
        <f>Table1419[[#This Row],[Proposed_QT_W_Agegrouped_roundedup]]*1440</f>
        <v>307</v>
      </c>
      <c r="BB60" s="34">
        <f>Table1419[[#This Row],[Proposed_QT_W_Agegrouped_roundedup_min]]-Table1419[[#This Row],[Qualifying_Time_Women_2020_min]]</f>
        <v>17.000000000000057</v>
      </c>
      <c r="BC60" s="41">
        <f>(Table1419[[#This Row],[Proposed_QT_W_Agegrouped_roundedup_min]]-Table1419[[#This Row],[Qualifying_Time_Women_2020_min]])/Table1419[[#This Row],[Qualifying_Time_Women_2020_min]]</f>
        <v>5.8620689655172621E-2</v>
      </c>
      <c r="BD60" s="36" t="s">
        <v>81</v>
      </c>
      <c r="BE60" s="37">
        <f>Table1419[[#This Row],[Age Best_Men_20]]/Table1419[[#This Row],[Proposed_QT_M_Agegrouped_roundedup]]</f>
        <v>0.67873606122182539</v>
      </c>
      <c r="BF60" s="38">
        <f>Table1419[[#This Row],[Age Best_Women]]/Table1419[[#This Row],[Proposed_QT_W_Agegrouped_roundedup]]</f>
        <v>0.67820972193907259</v>
      </c>
    </row>
    <row r="61" spans="1:86" x14ac:dyDescent="0.55000000000000004">
      <c r="A61" s="18">
        <v>73</v>
      </c>
      <c r="B61" s="19">
        <f>IF(BQs_over_time_AG20!$A61="","",SUMIF('2020_Road Weights'!$A:$A,"M",'2020_Road Weights'!$F:$F)/3600/24)</f>
        <v>8.4479166666666661E-2</v>
      </c>
      <c r="C61" s="20">
        <f>IF(A61="","",INDEX('2020_Road Weights'!$A:$CX,MATCH("M",'2020_Road Weights'!$A:$A,FALSE),MATCH(BQs_over_time_AG20!$A61,'2020_Road Weights'!$1:$1,FALSE)))</f>
        <v>0.71040000000000003</v>
      </c>
      <c r="D61" s="19">
        <f>IFERROR(BQs_over_time_AG20!$B61/BQs_over_time_AG20!$C61,"")</f>
        <v>0.11891774587087085</v>
      </c>
      <c r="E61" s="19">
        <v>0.1875</v>
      </c>
      <c r="F61" s="21">
        <f>Table1419[[#This Row],[QT_Men_03_12]]*1440</f>
        <v>270</v>
      </c>
      <c r="G61" s="20">
        <f>IFERROR(BQs_over_time_AG20!$D61/BQs_over_time_AG20!$E61,"")</f>
        <v>0.63422797797797792</v>
      </c>
      <c r="H61" s="19">
        <f>IFERROR(Table1419[[#This Row],[QT_Men_03_12]]*Table1419[[#This Row],[Age_Factor_Men_20]],"")</f>
        <v>0.13320000000000001</v>
      </c>
      <c r="I61" s="21">
        <f>Table1419[[#This Row],[AG_Time_Men_03_12]]*1440</f>
        <v>191.80800000000002</v>
      </c>
      <c r="J61" s="19">
        <v>0.18402777777777779</v>
      </c>
      <c r="K61" s="21">
        <f>Table1419[[#This Row],[QT_Men_13_19]]*1440</f>
        <v>265</v>
      </c>
      <c r="L61" s="20">
        <f>IFERROR(BQs_over_time_AG20!$D61/BQs_over_time_AG20!$J61,"")</f>
        <v>0.64619454360020379</v>
      </c>
      <c r="M61" s="19">
        <f>Table1419[[#This Row],[QT_Men_13_19]]*Table1419[[#This Row],[Age_Factor_Men_20]]</f>
        <v>0.13073333333333334</v>
      </c>
      <c r="N61" s="21">
        <f>Table1419[[#This Row],[AG_Time_Men_13_19]]*1440</f>
        <v>188.256</v>
      </c>
      <c r="O61" s="19">
        <v>0.18055555555555555</v>
      </c>
      <c r="P61" s="21">
        <f>Table1419[[#This Row],[QT_Men_2020]]*1440</f>
        <v>260</v>
      </c>
      <c r="Q61" s="22">
        <f>IFERROR(BQs_over_time_AG20!$D61/BQs_over_time_AG20!$O61,"")</f>
        <v>0.65862136174636166</v>
      </c>
      <c r="R61" s="19">
        <f>Table1419[[#This Row],[QT_Men_2020]]*Table1419[[#This Row],[Age_Factor_Men_20]]</f>
        <v>0.12826666666666667</v>
      </c>
      <c r="S61" s="21">
        <f>Table1419[[#This Row],[AG_Time_Men_2020]]*1440</f>
        <v>184.70400000000001</v>
      </c>
      <c r="T61" s="19">
        <f>IF(BQs_over_time_AG20!$A61="","",SUMIF('2020_Road Weights'!$A:$A,"F",'2020_Road Weights'!$F:$F)/3600/24)</f>
        <v>9.3101851851851838E-2</v>
      </c>
      <c r="U61" s="20">
        <f>INDEX('2020_Road Weights'!$A:$CX,MATCH("F",'2020_Road Weights'!$A:$A,FALSE),MATCH(BQs_over_time_AG20!$A61,'2020_Road Weights'!$1:$1,FALSE))</f>
        <v>0.63280000000000003</v>
      </c>
      <c r="V61" s="19">
        <f>IFERROR(BQs_over_time_AG20!$T61/BQs_over_time_AG20!$U61,"")</f>
        <v>0.14712682024628926</v>
      </c>
      <c r="W61" s="19">
        <v>0.20833333333333331</v>
      </c>
      <c r="X61" s="21">
        <f>Table1419[[#This Row],[Qualifying_Time_Women_03_12]]*1440</f>
        <v>300</v>
      </c>
      <c r="Y61" s="20">
        <f>IFERROR(BQs_over_time_AG20!$V61/BQs_over_time_AG20!$W61,"")</f>
        <v>0.70620873718218846</v>
      </c>
      <c r="Z61" s="19">
        <f>Table1419[[#This Row],[Qualifying_Time_Women_03_12]]*Table1419[[#This Row],[Age_Factor_Women]]</f>
        <v>0.13183333333333333</v>
      </c>
      <c r="AA61" s="21">
        <f>Table1419[[#This Row],[AG_Time_Women_03_12]]*1440</f>
        <v>189.84</v>
      </c>
      <c r="AB61" s="19">
        <v>0.20486111111111113</v>
      </c>
      <c r="AC61" s="21">
        <f>Table1419[[#This Row],[Qualifying_Time_Women_13_19]]*1440</f>
        <v>295.00000000000006</v>
      </c>
      <c r="AD61" s="23">
        <f>IFERROR(BQs_over_time_AG20!$V61/BQs_over_time_AG20!$AB61,"")</f>
        <v>0.71817837679544583</v>
      </c>
      <c r="AE61" s="19">
        <f>Table1419[[#This Row],[Qualifying_Time_Women_13_19]]*Table1419[[#This Row],[Age_Factor_Women]]</f>
        <v>0.12963611111111112</v>
      </c>
      <c r="AF61" s="21">
        <f>Table1419[[#This Row],[AG_Time_Women_13_19]]*1440</f>
        <v>186.67600000000002</v>
      </c>
      <c r="AG61" s="19">
        <v>0.20138888888888887</v>
      </c>
      <c r="AH61" s="21">
        <f>Table1419[[#This Row],[Qualifying_Time_Women_2020]]*1440</f>
        <v>289.99999999999994</v>
      </c>
      <c r="AI61" s="24">
        <f>IFERROR(BQs_over_time_AG20!$V61/BQs_over_time_AG20!$AG61,"")</f>
        <v>0.73056076260226399</v>
      </c>
      <c r="AJ61" s="19">
        <f>Table1419[[#This Row],[Qualifying_Time_Women_2020]]*Table1419[[#This Row],[Age_Factor_Women]]</f>
        <v>0.12743888888888888</v>
      </c>
      <c r="AK61" s="25">
        <f>Table1419[[#This Row],[AG_Time_Women_2020]]*1440</f>
        <v>183.512</v>
      </c>
      <c r="AL61" s="26">
        <f t="shared" si="0"/>
        <v>0.6</v>
      </c>
      <c r="AM61" s="27">
        <f t="shared" si="1"/>
        <v>9.9999999999999978E-2</v>
      </c>
      <c r="AN61" s="27">
        <f t="shared" si="2"/>
        <v>0.10000000000000009</v>
      </c>
      <c r="AO61" s="27">
        <f t="shared" si="3"/>
        <v>9.9999999999999978E-2</v>
      </c>
      <c r="AP61" s="27">
        <f t="shared" si="4"/>
        <v>9.9999999999999978E-2</v>
      </c>
      <c r="AQ61" s="28">
        <v>0.68</v>
      </c>
      <c r="AR61" s="29">
        <f>Table1419[[#This Row],[Age Best_Men_20]]/Table1419[[#This Row],[Proposed_uniform_AG%]]</f>
        <v>0.17487903804539831</v>
      </c>
      <c r="AS61" s="29">
        <f t="shared" si="14"/>
        <v>0.17281406080504963</v>
      </c>
      <c r="AT61" s="29">
        <f>CEILING(Table1419[[#This Row],[Proposed_QT_M_Agegrouped]],"00:01:00")</f>
        <v>0.17291666666666666</v>
      </c>
      <c r="AU61" s="30">
        <f>Table1419[[#This Row],[Proposed_QT_M_Agegrouped_roundedup]]*1440</f>
        <v>249</v>
      </c>
      <c r="AV61" s="30">
        <f>Table1419[[#This Row],[Proposed_QT_M_Agegrouped_roundedup_min]]-Table1419[[#This Row],[QT_Men_2020_min]]</f>
        <v>-11</v>
      </c>
      <c r="AW61" s="40">
        <f>(Table1419[[#This Row],[Proposed_QT_M_Agegrouped_roundedup_min]]-Table1419[[#This Row],[QT_Men_2020_min]])/Table1419[[#This Row],[QT_Men_2020_min]]</f>
        <v>-4.230769230769231E-2</v>
      </c>
      <c r="AX61" s="32">
        <f>Table1419[[#This Row],[Age Best_Women]]/Table1419[[#This Row],[Proposed_uniform_AG%]]</f>
        <v>0.21636297095042537</v>
      </c>
      <c r="AY61" s="29">
        <f>AVERAGE($AX$58:$AX$62)</f>
        <v>0.21277221580211467</v>
      </c>
      <c r="AZ61" s="33">
        <f>CEILING(Table1419[[#This Row],[Proposed_QT_W_Agegrouped]],"00:01:00")</f>
        <v>0.21319444444444446</v>
      </c>
      <c r="BA61" s="34">
        <f>Table1419[[#This Row],[Proposed_QT_W_Agegrouped_roundedup]]*1440</f>
        <v>307</v>
      </c>
      <c r="BB61" s="34">
        <f>Table1419[[#This Row],[Proposed_QT_W_Agegrouped_roundedup_min]]-Table1419[[#This Row],[Qualifying_Time_Women_2020_min]]</f>
        <v>17.000000000000057</v>
      </c>
      <c r="BC61" s="41">
        <f>(Table1419[[#This Row],[Proposed_QT_W_Agegrouped_roundedup_min]]-Table1419[[#This Row],[Qualifying_Time_Women_2020_min]])/Table1419[[#This Row],[Qualifying_Time_Women_2020_min]]</f>
        <v>5.8620689655172621E-2</v>
      </c>
      <c r="BD61" s="36" t="s">
        <v>81</v>
      </c>
      <c r="BE61" s="37">
        <f>Table1419[[#This Row],[Age Best_Men_20]]/Table1419[[#This Row],[Proposed_QT_M_Agegrouped_roundedup]]</f>
        <v>0.68771708455443381</v>
      </c>
      <c r="BF61" s="38">
        <f>Table1419[[#This Row],[Age Best_Women]]/Table1419[[#This Row],[Proposed_QT_W_Agegrouped_roundedup]]</f>
        <v>0.69010625783275736</v>
      </c>
    </row>
    <row r="62" spans="1:86" x14ac:dyDescent="0.55000000000000004">
      <c r="A62" s="18">
        <v>74</v>
      </c>
      <c r="B62" s="19">
        <f>IF(BQs_over_time_AG20!$A62="","",SUMIF('2020_Road Weights'!$A:$A,"M",'2020_Road Weights'!$F:$F)/3600/24)</f>
        <v>8.4479166666666661E-2</v>
      </c>
      <c r="C62" s="20">
        <f>IF(A62="","",INDEX('2020_Road Weights'!$A:$CX,MATCH("M",'2020_Road Weights'!$A:$A,FALSE),MATCH(BQs_over_time_AG20!$A62,'2020_Road Weights'!$1:$1,FALSE)))</f>
        <v>0.70020000000000004</v>
      </c>
      <c r="D62" s="19">
        <f>IFERROR(BQs_over_time_AG20!$B62/BQs_over_time_AG20!$C62,"")</f>
        <v>0.12065005236599065</v>
      </c>
      <c r="E62" s="19">
        <v>0.1875</v>
      </c>
      <c r="F62" s="21">
        <f>Table1419[[#This Row],[QT_Men_03_12]]*1440</f>
        <v>270</v>
      </c>
      <c r="G62" s="20">
        <f>IFERROR(BQs_over_time_AG20!$D62/BQs_over_time_AG20!$E62,"")</f>
        <v>0.64346694595195009</v>
      </c>
      <c r="H62" s="19">
        <f>IFERROR(Table1419[[#This Row],[QT_Men_03_12]]*Table1419[[#This Row],[Age_Factor_Men_20]],"")</f>
        <v>0.1312875</v>
      </c>
      <c r="I62" s="21">
        <f>Table1419[[#This Row],[AG_Time_Men_03_12]]*1440</f>
        <v>189.054</v>
      </c>
      <c r="J62" s="19">
        <v>0.18402777777777779</v>
      </c>
      <c r="K62" s="21">
        <f>Table1419[[#This Row],[QT_Men_13_19]]*1440</f>
        <v>265</v>
      </c>
      <c r="L62" s="20">
        <f>IFERROR(BQs_over_time_AG20!$D62/BQs_over_time_AG20!$J62,"")</f>
        <v>0.65560783172462833</v>
      </c>
      <c r="M62" s="19">
        <f>Table1419[[#This Row],[QT_Men_13_19]]*Table1419[[#This Row],[Age_Factor_Men_20]]</f>
        <v>0.12885625000000001</v>
      </c>
      <c r="N62" s="21">
        <f>Table1419[[#This Row],[AG_Time_Men_13_19]]*1440</f>
        <v>185.553</v>
      </c>
      <c r="O62" s="19">
        <v>0.18055555555555555</v>
      </c>
      <c r="P62" s="21">
        <f>Table1419[[#This Row],[QT_Men_2020]]*1440</f>
        <v>260</v>
      </c>
      <c r="Q62" s="22">
        <f>IFERROR(BQs_over_time_AG20!$D62/BQs_over_time_AG20!$O62,"")</f>
        <v>0.66821567464240972</v>
      </c>
      <c r="R62" s="19">
        <f>Table1419[[#This Row],[QT_Men_2020]]*Table1419[[#This Row],[Age_Factor_Men_20]]</f>
        <v>0.12642500000000001</v>
      </c>
      <c r="S62" s="21">
        <f>Table1419[[#This Row],[AG_Time_Men_2020]]*1440</f>
        <v>182.05200000000002</v>
      </c>
      <c r="T62" s="19">
        <f>IF(BQs_over_time_AG20!$A62="","",SUMIF('2020_Road Weights'!$A:$A,"F",'2020_Road Weights'!$F:$F)/3600/24)</f>
        <v>9.3101851851851838E-2</v>
      </c>
      <c r="U62" s="20">
        <f>INDEX('2020_Road Weights'!$A:$CX,MATCH("F",'2020_Road Weights'!$A:$A,FALSE),MATCH(BQs_over_time_AG20!$A62,'2020_Road Weights'!$1:$1,FALSE))</f>
        <v>0.62170000000000003</v>
      </c>
      <c r="V62" s="19">
        <f>IFERROR(BQs_over_time_AG20!$T62/BQs_over_time_AG20!$U62,"")</f>
        <v>0.14975366229990644</v>
      </c>
      <c r="W62" s="19">
        <v>0.20833333333333331</v>
      </c>
      <c r="X62" s="21">
        <f>Table1419[[#This Row],[Qualifying_Time_Women_03_12]]*1440</f>
        <v>300</v>
      </c>
      <c r="Y62" s="20">
        <f>IFERROR(BQs_over_time_AG20!$V62/BQs_over_time_AG20!$W62,"")</f>
        <v>0.71881757903955101</v>
      </c>
      <c r="Z62" s="19">
        <f>Table1419[[#This Row],[Qualifying_Time_Women_03_12]]*Table1419[[#This Row],[Age_Factor_Women]]</f>
        <v>0.12952083333333334</v>
      </c>
      <c r="AA62" s="21">
        <f>Table1419[[#This Row],[AG_Time_Women_03_12]]*1440</f>
        <v>186.51</v>
      </c>
      <c r="AB62" s="19">
        <v>0.20486111111111113</v>
      </c>
      <c r="AC62" s="21">
        <f>Table1419[[#This Row],[Qualifying_Time_Women_13_19]]*1440</f>
        <v>295.00000000000006</v>
      </c>
      <c r="AD62" s="23">
        <f>IFERROR(BQs_over_time_AG20!$V62/BQs_over_time_AG20!$AB62,"")</f>
        <v>0.73100092783683135</v>
      </c>
      <c r="AE62" s="19">
        <f>Table1419[[#This Row],[Qualifying_Time_Women_13_19]]*Table1419[[#This Row],[Age_Factor_Women]]</f>
        <v>0.12736215277777779</v>
      </c>
      <c r="AF62" s="21">
        <f>Table1419[[#This Row],[AG_Time_Women_13_19]]*1440</f>
        <v>183.40150000000003</v>
      </c>
      <c r="AG62" s="19">
        <v>0.20138888888888887</v>
      </c>
      <c r="AH62" s="21">
        <f>Table1419[[#This Row],[Qualifying_Time_Women_2020]]*1440</f>
        <v>289.99999999999994</v>
      </c>
      <c r="AI62" s="24">
        <f>IFERROR(BQs_over_time_AG20!$V62/BQs_over_time_AG20!$AG62,"")</f>
        <v>0.74360439210988039</v>
      </c>
      <c r="AJ62" s="19">
        <f>Table1419[[#This Row],[Qualifying_Time_Women_2020]]*Table1419[[#This Row],[Age_Factor_Women]]</f>
        <v>0.12520347222222222</v>
      </c>
      <c r="AK62" s="25">
        <f>Table1419[[#This Row],[AG_Time_Women_2020]]*1440</f>
        <v>180.29300000000001</v>
      </c>
      <c r="AL62" s="26">
        <f t="shared" si="0"/>
        <v>0.6</v>
      </c>
      <c r="AM62" s="27">
        <f t="shared" si="1"/>
        <v>9.9999999999999978E-2</v>
      </c>
      <c r="AN62" s="27">
        <f t="shared" si="2"/>
        <v>0.10000000000000009</v>
      </c>
      <c r="AO62" s="27">
        <f t="shared" si="3"/>
        <v>9.9999999999999978E-2</v>
      </c>
      <c r="AP62" s="27">
        <f t="shared" si="4"/>
        <v>9.9999999999999978E-2</v>
      </c>
      <c r="AQ62" s="28">
        <v>0.68</v>
      </c>
      <c r="AR62" s="29">
        <f>Table1419[[#This Row],[Age Best_Men_20]]/Table1419[[#This Row],[Proposed_uniform_AG%]]</f>
        <v>0.17742654759704507</v>
      </c>
      <c r="AS62" s="29">
        <f t="shared" si="14"/>
        <v>0.17281406080504963</v>
      </c>
      <c r="AT62" s="29">
        <f>CEILING(Table1419[[#This Row],[Proposed_QT_M_Agegrouped]],"00:01:00")</f>
        <v>0.17291666666666666</v>
      </c>
      <c r="AU62" s="30">
        <f>Table1419[[#This Row],[Proposed_QT_M_Agegrouped_roundedup]]*1440</f>
        <v>249</v>
      </c>
      <c r="AV62" s="30">
        <f>Table1419[[#This Row],[Proposed_QT_M_Agegrouped_roundedup_min]]-Table1419[[#This Row],[QT_Men_2020_min]]</f>
        <v>-11</v>
      </c>
      <c r="AW62" s="40">
        <f>(Table1419[[#This Row],[Proposed_QT_M_Agegrouped_roundedup_min]]-Table1419[[#This Row],[QT_Men_2020_min]])/Table1419[[#This Row],[QT_Men_2020_min]]</f>
        <v>-4.230769230769231E-2</v>
      </c>
      <c r="AX62" s="32">
        <f>Table1419[[#This Row],[Age Best_Women]]/Table1419[[#This Row],[Proposed_uniform_AG%]]</f>
        <v>0.22022597397045063</v>
      </c>
      <c r="AY62" s="29">
        <f>AVERAGE($AX$58:$AX$62)</f>
        <v>0.21277221580211467</v>
      </c>
      <c r="AZ62" s="33">
        <f>CEILING(Table1419[[#This Row],[Proposed_QT_W_Agegrouped]],"00:01:00")</f>
        <v>0.21319444444444446</v>
      </c>
      <c r="BA62" s="34">
        <f>Table1419[[#This Row],[Proposed_QT_W_Agegrouped_roundedup]]*1440</f>
        <v>307</v>
      </c>
      <c r="BB62" s="34">
        <f>Table1419[[#This Row],[Proposed_QT_W_Agegrouped_roundedup_min]]-Table1419[[#This Row],[Qualifying_Time_Women_2020_min]]</f>
        <v>17.000000000000057</v>
      </c>
      <c r="BC62" s="41">
        <f>(Table1419[[#This Row],[Proposed_QT_W_Agegrouped_roundedup_min]]-Table1419[[#This Row],[Qualifying_Time_Women_2020_min]])/Table1419[[#This Row],[Qualifying_Time_Women_2020_min]]</f>
        <v>5.8620689655172621E-2</v>
      </c>
      <c r="BD62" s="36" t="s">
        <v>81</v>
      </c>
      <c r="BE62" s="37">
        <f>Table1419[[#This Row],[Age Best_Men_20]]/Table1419[[#This Row],[Proposed_QT_M_Agegrouped_roundedup]]</f>
        <v>0.69773524259850017</v>
      </c>
      <c r="BF62" s="38">
        <f>Table1419[[#This Row],[Age Best_Women]]/Table1419[[#This Row],[Proposed_QT_W_Agegrouped_roundedup]]</f>
        <v>0.70242760166731355</v>
      </c>
    </row>
    <row r="63" spans="1:86" s="39" customFormat="1" x14ac:dyDescent="0.55000000000000004">
      <c r="A63" s="18">
        <v>75</v>
      </c>
      <c r="B63" s="19">
        <f>IF(BQs_over_time_AG20!$A63="","",SUMIF('2020_Road Weights'!$A:$A,"M",'2020_Road Weights'!$F:$F)/3600/24)</f>
        <v>8.4479166666666661E-2</v>
      </c>
      <c r="C63" s="20">
        <f>IF(A63="","",INDEX('2020_Road Weights'!$A:$CX,MATCH("M",'2020_Road Weights'!$A:$A,FALSE),MATCH(BQs_over_time_AG20!$A63,'2020_Road Weights'!$1:$1,FALSE)))</f>
        <v>0.68930000000000002</v>
      </c>
      <c r="D63" s="19">
        <f>IFERROR(BQs_over_time_AG20!$B63/BQs_over_time_AG20!$C63,"")</f>
        <v>0.1225579089897964</v>
      </c>
      <c r="E63" s="19">
        <v>0.19791666666666666</v>
      </c>
      <c r="F63" s="21">
        <f>Table1419[[#This Row],[QT_Men_03_12]]*1440</f>
        <v>285</v>
      </c>
      <c r="G63" s="20">
        <f>IFERROR(BQs_over_time_AG20!$D63/BQs_over_time_AG20!$E63,"")</f>
        <v>0.61923996121160296</v>
      </c>
      <c r="H63" s="19">
        <f>IFERROR(Table1419[[#This Row],[QT_Men_03_12]]*Table1419[[#This Row],[Age_Factor_Men_20]],"")</f>
        <v>0.13642395833333334</v>
      </c>
      <c r="I63" s="21">
        <f>Table1419[[#This Row],[AG_Time_Men_03_12]]*1440</f>
        <v>196.45050000000001</v>
      </c>
      <c r="J63" s="19">
        <v>0.19444444444444445</v>
      </c>
      <c r="K63" s="21">
        <f>Table1419[[#This Row],[QT_Men_13_19]]*1440</f>
        <v>280</v>
      </c>
      <c r="L63" s="20">
        <f>IFERROR(BQs_over_time_AG20!$D63/BQs_over_time_AG20!$J63,"")</f>
        <v>0.63029781766181003</v>
      </c>
      <c r="M63" s="19">
        <f>Table1419[[#This Row],[QT_Men_13_19]]*Table1419[[#This Row],[Age_Factor_Men_20]]</f>
        <v>0.13403055555555557</v>
      </c>
      <c r="N63" s="21">
        <f>Table1419[[#This Row],[AG_Time_Men_13_19]]*1440</f>
        <v>193.00400000000002</v>
      </c>
      <c r="O63" s="19">
        <v>0.19097222222222221</v>
      </c>
      <c r="P63" s="21">
        <f>Table1419[[#This Row],[QT_Men_2020]]*1440</f>
        <v>275</v>
      </c>
      <c r="Q63" s="22">
        <f>IFERROR(BQs_over_time_AG20!$D63/BQs_over_time_AG20!$O63,"")</f>
        <v>0.64175777798293399</v>
      </c>
      <c r="R63" s="19">
        <f>Table1419[[#This Row],[QT_Men_2020]]*Table1419[[#This Row],[Age_Factor_Men_20]]</f>
        <v>0.13163715277777777</v>
      </c>
      <c r="S63" s="21">
        <f>Table1419[[#This Row],[AG_Time_Men_2020]]*1440</f>
        <v>189.55749999999998</v>
      </c>
      <c r="T63" s="19">
        <f>IF(BQs_over_time_AG20!$A63="","",SUMIF('2020_Road Weights'!$A:$A,"F",'2020_Road Weights'!$F:$F)/3600/24)</f>
        <v>9.3101851851851838E-2</v>
      </c>
      <c r="U63" s="20">
        <f>INDEX('2020_Road Weights'!$A:$CX,MATCH("F",'2020_Road Weights'!$A:$A,FALSE),MATCH(BQs_over_time_AG20!$A63,'2020_Road Weights'!$1:$1,FALSE))</f>
        <v>0.61029999999999995</v>
      </c>
      <c r="V63" s="19">
        <f>IFERROR(BQs_over_time_AG20!$T63/BQs_over_time_AG20!$U63,"")</f>
        <v>0.15255096157930828</v>
      </c>
      <c r="W63" s="19">
        <v>0.21875</v>
      </c>
      <c r="X63" s="21">
        <f>Table1419[[#This Row],[Qualifying_Time_Women_03_12]]*1440</f>
        <v>315</v>
      </c>
      <c r="Y63" s="20">
        <f>IFERROR(BQs_over_time_AG20!$V63/BQs_over_time_AG20!$W63,"")</f>
        <v>0.69737582436255219</v>
      </c>
      <c r="Z63" s="19">
        <f>Table1419[[#This Row],[Qualifying_Time_Women_03_12]]*Table1419[[#This Row],[Age_Factor_Women]]</f>
        <v>0.133503125</v>
      </c>
      <c r="AA63" s="21">
        <f>Table1419[[#This Row],[AG_Time_Women_03_12]]*1440</f>
        <v>192.24449999999999</v>
      </c>
      <c r="AB63" s="19">
        <v>0.21527777777777779</v>
      </c>
      <c r="AC63" s="21">
        <f>Table1419[[#This Row],[Qualifying_Time_Women_13_19]]*1440</f>
        <v>310</v>
      </c>
      <c r="AD63" s="23">
        <f>IFERROR(BQs_over_time_AG20!$V63/BQs_over_time_AG20!$AB63,"")</f>
        <v>0.70862382152969006</v>
      </c>
      <c r="AE63" s="19">
        <f>Table1419[[#This Row],[Qualifying_Time_Women_13_19]]*Table1419[[#This Row],[Age_Factor_Women]]</f>
        <v>0.13138402777777777</v>
      </c>
      <c r="AF63" s="21">
        <f>Table1419[[#This Row],[AG_Time_Women_13_19]]*1440</f>
        <v>189.19299999999998</v>
      </c>
      <c r="AG63" s="19">
        <v>0.21180555555555555</v>
      </c>
      <c r="AH63" s="21">
        <f>Table1419[[#This Row],[Qualifying_Time_Women_2020]]*1440</f>
        <v>305</v>
      </c>
      <c r="AI63" s="24">
        <f>IFERROR(BQs_over_time_AG20!$V63/BQs_over_time_AG20!$AG63,"")</f>
        <v>0.72024060548919322</v>
      </c>
      <c r="AJ63" s="19">
        <f>Table1419[[#This Row],[Qualifying_Time_Women_2020]]*Table1419[[#This Row],[Age_Factor_Women]]</f>
        <v>0.12926493055555555</v>
      </c>
      <c r="AK63" s="25">
        <f>Table1419[[#This Row],[AG_Time_Women_2020]]*1440</f>
        <v>186.14149999999998</v>
      </c>
      <c r="AL63" s="26">
        <f t="shared" si="0"/>
        <v>0.6</v>
      </c>
      <c r="AM63" s="27">
        <f t="shared" si="1"/>
        <v>9.9999999999999978E-2</v>
      </c>
      <c r="AN63" s="27">
        <f t="shared" si="2"/>
        <v>0.10000000000000009</v>
      </c>
      <c r="AO63" s="27">
        <f t="shared" si="3"/>
        <v>9.9999999999999978E-2</v>
      </c>
      <c r="AP63" s="27">
        <f t="shared" si="4"/>
        <v>9.9999999999999978E-2</v>
      </c>
      <c r="AQ63" s="28">
        <v>0.68</v>
      </c>
      <c r="AR63" s="29">
        <f>Table1419[[#This Row],[Age Best_Men_20]]/Table1419[[#This Row],[Proposed_uniform_AG%]]</f>
        <v>0.18023221910264176</v>
      </c>
      <c r="AS63" s="29">
        <f>AVERAGE($AR$63:$AR$67)</f>
        <v>0.18700359468982666</v>
      </c>
      <c r="AT63" s="29">
        <f>CEILING(Table1419[[#This Row],[Proposed_QT_M_Agegrouped]],"00:01:00")</f>
        <v>0.1875</v>
      </c>
      <c r="AU63" s="30">
        <f>Table1419[[#This Row],[Proposed_QT_M_Agegrouped_roundedup]]*1440</f>
        <v>270</v>
      </c>
      <c r="AV63" s="30">
        <f>Table1419[[#This Row],[Proposed_QT_M_Agegrouped_roundedup_min]]-Table1419[[#This Row],[QT_Men_2020_min]]</f>
        <v>-5</v>
      </c>
      <c r="AW63" s="40">
        <f>(Table1419[[#This Row],[Proposed_QT_M_Agegrouped_roundedup_min]]-Table1419[[#This Row],[QT_Men_2020_min]])/Table1419[[#This Row],[QT_Men_2020_min]]</f>
        <v>-1.8181818181818181E-2</v>
      </c>
      <c r="AX63" s="32">
        <f>Table1419[[#This Row],[Age Best_Women]]/Table1419[[#This Row],[Proposed_uniform_AG%]]</f>
        <v>0.22433964938133569</v>
      </c>
      <c r="AY63" s="29">
        <f>AVERAGE($AX$63:$AX$67)</f>
        <v>0.23462915099898046</v>
      </c>
      <c r="AZ63" s="33">
        <f>CEILING(Table1419[[#This Row],[Proposed_QT_W_Agegrouped]],"00:01:00")</f>
        <v>0.23472222222222222</v>
      </c>
      <c r="BA63" s="34">
        <f>Table1419[[#This Row],[Proposed_QT_W_Agegrouped_roundedup]]*1440</f>
        <v>338</v>
      </c>
      <c r="BB63" s="34">
        <f>Table1419[[#This Row],[Proposed_QT_W_Agegrouped_roundedup_min]]-Table1419[[#This Row],[Qualifying_Time_Women_2020_min]]</f>
        <v>33</v>
      </c>
      <c r="BC63" s="41">
        <f>(Table1419[[#This Row],[Proposed_QT_W_Agegrouped_roundedup_min]]-Table1419[[#This Row],[Qualifying_Time_Women_2020_min]])/Table1419[[#This Row],[Qualifying_Time_Women_2020_min]]</f>
        <v>0.10819672131147541</v>
      </c>
      <c r="BD63" s="36" t="s">
        <v>82</v>
      </c>
      <c r="BE63" s="37">
        <f>Table1419[[#This Row],[Age Best_Men_20]]/Table1419[[#This Row],[Proposed_QT_M_Agegrouped_roundedup]]</f>
        <v>0.65364218127891416</v>
      </c>
      <c r="BF63" s="38">
        <f>Table1419[[#This Row],[Age Best_Women]]/Table1419[[#This Row],[Proposed_QT_W_Agegrouped_roundedup]]</f>
        <v>0.64992125643255594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</row>
    <row r="64" spans="1:86" x14ac:dyDescent="0.55000000000000004">
      <c r="A64" s="18">
        <v>76</v>
      </c>
      <c r="B64" s="19">
        <f>IF(BQs_over_time_AG20!$A64="","",SUMIF('2020_Road Weights'!$A:$A,"M",'2020_Road Weights'!$F:$F)/3600/24)</f>
        <v>8.4479166666666661E-2</v>
      </c>
      <c r="C64" s="20">
        <f>IF(A64="","",INDEX('2020_Road Weights'!$A:$CX,MATCH("M",'2020_Road Weights'!$A:$A,FALSE),MATCH(BQs_over_time_AG20!$A64,'2020_Road Weights'!$1:$1,FALSE)))</f>
        <v>0.67779999999999996</v>
      </c>
      <c r="D64" s="19">
        <f>IFERROR(BQs_over_time_AG20!$B64/BQs_over_time_AG20!$C64,"")</f>
        <v>0.12463730697354185</v>
      </c>
      <c r="E64" s="19">
        <v>0.19791666666666666</v>
      </c>
      <c r="F64" s="21">
        <f>Table1419[[#This Row],[QT_Men_03_12]]*1440</f>
        <v>285</v>
      </c>
      <c r="G64" s="20">
        <f>IFERROR(BQs_over_time_AG20!$D64/BQs_over_time_AG20!$E64,"")</f>
        <v>0.62974639312947467</v>
      </c>
      <c r="H64" s="19">
        <f>IFERROR(Table1419[[#This Row],[QT_Men_03_12]]*Table1419[[#This Row],[Age_Factor_Men_20]],"")</f>
        <v>0.13414791666666664</v>
      </c>
      <c r="I64" s="21">
        <f>Table1419[[#This Row],[AG_Time_Men_03_12]]*1440</f>
        <v>193.17299999999997</v>
      </c>
      <c r="J64" s="19">
        <v>0.19444444444444445</v>
      </c>
      <c r="K64" s="21">
        <f>Table1419[[#This Row],[QT_Men_13_19]]*1440</f>
        <v>280</v>
      </c>
      <c r="L64" s="20">
        <f>IFERROR(BQs_over_time_AG20!$D64/BQs_over_time_AG20!$J64,"")</f>
        <v>0.64099186443535805</v>
      </c>
      <c r="M64" s="19">
        <f>Table1419[[#This Row],[QT_Men_13_19]]*Table1419[[#This Row],[Age_Factor_Men_20]]</f>
        <v>0.13179444444444444</v>
      </c>
      <c r="N64" s="21">
        <f>Table1419[[#This Row],[AG_Time_Men_13_19]]*1440</f>
        <v>189.78399999999999</v>
      </c>
      <c r="O64" s="19">
        <v>0.19097222222222221</v>
      </c>
      <c r="P64" s="21">
        <f>Table1419[[#This Row],[QT_Men_2020]]*1440</f>
        <v>275</v>
      </c>
      <c r="Q64" s="22">
        <f>IFERROR(BQs_over_time_AG20!$D64/BQs_over_time_AG20!$O64,"")</f>
        <v>0.65264626197054643</v>
      </c>
      <c r="R64" s="19">
        <f>Table1419[[#This Row],[QT_Men_2020]]*Table1419[[#This Row],[Age_Factor_Men_20]]</f>
        <v>0.1294409722222222</v>
      </c>
      <c r="S64" s="21">
        <f>Table1419[[#This Row],[AG_Time_Men_2020]]*1440</f>
        <v>186.39499999999998</v>
      </c>
      <c r="T64" s="19">
        <f>IF(BQs_over_time_AG20!$A64="","",SUMIF('2020_Road Weights'!$A:$A,"F",'2020_Road Weights'!$F:$F)/3600/24)</f>
        <v>9.3101851851851838E-2</v>
      </c>
      <c r="U64" s="20">
        <f>INDEX('2020_Road Weights'!$A:$CX,MATCH("F",'2020_Road Weights'!$A:$A,FALSE),MATCH(BQs_over_time_AG20!$A64,'2020_Road Weights'!$1:$1,FALSE))</f>
        <v>0.59799999999999998</v>
      </c>
      <c r="V64" s="19">
        <f>IFERROR(BQs_over_time_AG20!$T64/BQs_over_time_AG20!$U64,"")</f>
        <v>0.15568871547132415</v>
      </c>
      <c r="W64" s="19">
        <v>0.21875</v>
      </c>
      <c r="X64" s="21">
        <f>Table1419[[#This Row],[Qualifying_Time_Women_03_12]]*1440</f>
        <v>315</v>
      </c>
      <c r="Y64" s="20">
        <f>IFERROR(BQs_over_time_AG20!$V64/BQs_over_time_AG20!$W64,"")</f>
        <v>0.71171984215462469</v>
      </c>
      <c r="Z64" s="19">
        <f>Table1419[[#This Row],[Qualifying_Time_Women_03_12]]*Table1419[[#This Row],[Age_Factor_Women]]</f>
        <v>0.1308125</v>
      </c>
      <c r="AA64" s="21">
        <f>Table1419[[#This Row],[AG_Time_Women_03_12]]*1440</f>
        <v>188.37</v>
      </c>
      <c r="AB64" s="19">
        <v>0.21527777777777779</v>
      </c>
      <c r="AC64" s="21">
        <f>Table1419[[#This Row],[Qualifying_Time_Women_13_19]]*1440</f>
        <v>310</v>
      </c>
      <c r="AD64" s="23">
        <f>IFERROR(BQs_over_time_AG20!$V64/BQs_over_time_AG20!$AB64,"")</f>
        <v>0.72319919444744118</v>
      </c>
      <c r="AE64" s="19">
        <f>Table1419[[#This Row],[Qualifying_Time_Women_13_19]]*Table1419[[#This Row],[Age_Factor_Women]]</f>
        <v>0.12873611111111111</v>
      </c>
      <c r="AF64" s="21">
        <f>Table1419[[#This Row],[AG_Time_Women_13_19]]*1440</f>
        <v>185.38</v>
      </c>
      <c r="AG64" s="19">
        <v>0.21180555555555555</v>
      </c>
      <c r="AH64" s="21">
        <f>Table1419[[#This Row],[Qualifying_Time_Women_2020]]*1440</f>
        <v>305</v>
      </c>
      <c r="AI64" s="24">
        <f>IFERROR(BQs_over_time_AG20!$V64/BQs_over_time_AG20!$AG64,"")</f>
        <v>0.73505491894657959</v>
      </c>
      <c r="AJ64" s="19">
        <f>Table1419[[#This Row],[Qualifying_Time_Women_2020]]*Table1419[[#This Row],[Age_Factor_Women]]</f>
        <v>0.12665972222222222</v>
      </c>
      <c r="AK64" s="25">
        <f>Table1419[[#This Row],[AG_Time_Women_2020]]*1440</f>
        <v>182.39</v>
      </c>
      <c r="AL64" s="26">
        <f t="shared" si="0"/>
        <v>0.6</v>
      </c>
      <c r="AM64" s="27">
        <f t="shared" si="1"/>
        <v>9.9999999999999978E-2</v>
      </c>
      <c r="AN64" s="27">
        <f t="shared" si="2"/>
        <v>0.10000000000000009</v>
      </c>
      <c r="AO64" s="27">
        <f t="shared" si="3"/>
        <v>9.9999999999999978E-2</v>
      </c>
      <c r="AP64" s="27">
        <f t="shared" si="4"/>
        <v>9.9999999999999978E-2</v>
      </c>
      <c r="AQ64" s="28">
        <v>0.68</v>
      </c>
      <c r="AR64" s="29">
        <f>Table1419[[#This Row],[Age Best_Men_20]]/Table1419[[#This Row],[Proposed_uniform_AG%]]</f>
        <v>0.18329015731403211</v>
      </c>
      <c r="AS64" s="29">
        <f t="shared" ref="AS64:AS67" si="15">AVERAGE($AR$63:$AR$67)</f>
        <v>0.18700359468982666</v>
      </c>
      <c r="AT64" s="29">
        <f>CEILING(Table1419[[#This Row],[Proposed_QT_M_Agegrouped]],"00:01:00")</f>
        <v>0.1875</v>
      </c>
      <c r="AU64" s="30">
        <f>Table1419[[#This Row],[Proposed_QT_M_Agegrouped_roundedup]]*1440</f>
        <v>270</v>
      </c>
      <c r="AV64" s="30">
        <f>Table1419[[#This Row],[Proposed_QT_M_Agegrouped_roundedup_min]]-Table1419[[#This Row],[QT_Men_2020_min]]</f>
        <v>-5</v>
      </c>
      <c r="AW64" s="40">
        <f>(Table1419[[#This Row],[Proposed_QT_M_Agegrouped_roundedup_min]]-Table1419[[#This Row],[QT_Men_2020_min]])/Table1419[[#This Row],[QT_Men_2020_min]]</f>
        <v>-1.8181818181818181E-2</v>
      </c>
      <c r="AX64" s="32">
        <f>Table1419[[#This Row],[Age Best_Women]]/Table1419[[#This Row],[Proposed_uniform_AG%]]</f>
        <v>0.22895399334018257</v>
      </c>
      <c r="AY64" s="29">
        <f>AVERAGE($AX$63:$AX$67)</f>
        <v>0.23462915099898046</v>
      </c>
      <c r="AZ64" s="33">
        <f>CEILING(Table1419[[#This Row],[Proposed_QT_W_Agegrouped]],"00:01:00")</f>
        <v>0.23472222222222222</v>
      </c>
      <c r="BA64" s="34">
        <f>Table1419[[#This Row],[Proposed_QT_W_Agegrouped_roundedup]]*1440</f>
        <v>338</v>
      </c>
      <c r="BB64" s="34">
        <f>Table1419[[#This Row],[Proposed_QT_W_Agegrouped_roundedup_min]]-Table1419[[#This Row],[Qualifying_Time_Women_2020_min]]</f>
        <v>33</v>
      </c>
      <c r="BC64" s="41">
        <f>(Table1419[[#This Row],[Proposed_QT_W_Agegrouped_roundedup_min]]-Table1419[[#This Row],[Qualifying_Time_Women_2020_min]])/Table1419[[#This Row],[Qualifying_Time_Women_2020_min]]</f>
        <v>0.10819672131147541</v>
      </c>
      <c r="BD64" s="36" t="s">
        <v>82</v>
      </c>
      <c r="BE64" s="37">
        <f>Table1419[[#This Row],[Age Best_Men_20]]/Table1419[[#This Row],[Proposed_QT_M_Agegrouped_roundedup]]</f>
        <v>0.66473230385888982</v>
      </c>
      <c r="BF64" s="38">
        <f>Table1419[[#This Row],[Age Best_Women]]/Table1419[[#This Row],[Proposed_QT_W_Agegrouped_roundedup]]</f>
        <v>0.66328920200800823</v>
      </c>
    </row>
    <row r="65" spans="1:86" x14ac:dyDescent="0.55000000000000004">
      <c r="A65" s="18">
        <v>77</v>
      </c>
      <c r="B65" s="19">
        <f>IF(BQs_over_time_AG20!$A65="","",SUMIF('2020_Road Weights'!$A:$A,"M",'2020_Road Weights'!$F:$F)/3600/24)</f>
        <v>8.4479166666666661E-2</v>
      </c>
      <c r="C65" s="20">
        <f>IF(A65="","",INDEX('2020_Road Weights'!$A:$CX,MATCH("M",'2020_Road Weights'!$A:$A,FALSE),MATCH(BQs_over_time_AG20!$A65,'2020_Road Weights'!$1:$1,FALSE)))</f>
        <v>0.66549999999999998</v>
      </c>
      <c r="D65" s="19">
        <f>IFERROR(BQs_over_time_AG20!$B65/BQs_over_time_AG20!$C65,"")</f>
        <v>0.12694089656899574</v>
      </c>
      <c r="E65" s="19">
        <v>0.19791666666666666</v>
      </c>
      <c r="F65" s="21">
        <f>Table1419[[#This Row],[QT_Men_03_12]]*1440</f>
        <v>285</v>
      </c>
      <c r="G65" s="20">
        <f>IFERROR(BQs_over_time_AG20!$D65/BQs_over_time_AG20!$E65,"")</f>
        <v>0.64138558266439949</v>
      </c>
      <c r="H65" s="19">
        <f>IFERROR(Table1419[[#This Row],[QT_Men_03_12]]*Table1419[[#This Row],[Age_Factor_Men_20]],"")</f>
        <v>0.13171354166666666</v>
      </c>
      <c r="I65" s="21">
        <f>Table1419[[#This Row],[AG_Time_Men_03_12]]*1440</f>
        <v>189.66749999999999</v>
      </c>
      <c r="J65" s="19">
        <v>0.19444444444444445</v>
      </c>
      <c r="K65" s="21">
        <f>Table1419[[#This Row],[QT_Men_13_19]]*1440</f>
        <v>280</v>
      </c>
      <c r="L65" s="20">
        <f>IFERROR(BQs_over_time_AG20!$D65/BQs_over_time_AG20!$J65,"")</f>
        <v>0.6528388966405495</v>
      </c>
      <c r="M65" s="19">
        <f>Table1419[[#This Row],[QT_Men_13_19]]*Table1419[[#This Row],[Age_Factor_Men_20]]</f>
        <v>0.12940277777777778</v>
      </c>
      <c r="N65" s="21">
        <f>Table1419[[#This Row],[AG_Time_Men_13_19]]*1440</f>
        <v>186.34</v>
      </c>
      <c r="O65" s="19">
        <v>0.19097222222222221</v>
      </c>
      <c r="P65" s="21">
        <f>Table1419[[#This Row],[QT_Men_2020]]*1440</f>
        <v>275</v>
      </c>
      <c r="Q65" s="22">
        <f>IFERROR(BQs_over_time_AG20!$D65/BQs_over_time_AG20!$O65,"")</f>
        <v>0.6647086947612868</v>
      </c>
      <c r="R65" s="19">
        <f>Table1419[[#This Row],[QT_Men_2020]]*Table1419[[#This Row],[Age_Factor_Men_20]]</f>
        <v>0.12709201388888888</v>
      </c>
      <c r="S65" s="21">
        <f>Table1419[[#This Row],[AG_Time_Men_2020]]*1440</f>
        <v>183.01249999999999</v>
      </c>
      <c r="T65" s="19">
        <f>IF(BQs_over_time_AG20!$A65="","",SUMIF('2020_Road Weights'!$A:$A,"F",'2020_Road Weights'!$F:$F)/3600/24)</f>
        <v>9.3101851851851838E-2</v>
      </c>
      <c r="U65" s="20">
        <f>INDEX('2020_Road Weights'!$A:$CX,MATCH("F",'2020_Road Weights'!$A:$A,FALSE),MATCH(BQs_over_time_AG20!$A65,'2020_Road Weights'!$1:$1,FALSE))</f>
        <v>0.58499999999999996</v>
      </c>
      <c r="V65" s="19">
        <f>IFERROR(BQs_over_time_AG20!$T65/BQs_over_time_AG20!$U65,"")</f>
        <v>0.15914846470402025</v>
      </c>
      <c r="W65" s="19">
        <v>0.21875</v>
      </c>
      <c r="X65" s="21">
        <f>Table1419[[#This Row],[Qualifying_Time_Women_03_12]]*1440</f>
        <v>315</v>
      </c>
      <c r="Y65" s="20">
        <f>IFERROR(BQs_over_time_AG20!$V65/BQs_over_time_AG20!$W65,"")</f>
        <v>0.72753583864694971</v>
      </c>
      <c r="Z65" s="19">
        <f>Table1419[[#This Row],[Qualifying_Time_Women_03_12]]*Table1419[[#This Row],[Age_Factor_Women]]</f>
        <v>0.12796874999999999</v>
      </c>
      <c r="AA65" s="21">
        <f>Table1419[[#This Row],[AG_Time_Women_03_12]]*1440</f>
        <v>184.27499999999998</v>
      </c>
      <c r="AB65" s="19">
        <v>0.21527777777777779</v>
      </c>
      <c r="AC65" s="21">
        <f>Table1419[[#This Row],[Qualifying_Time_Women_13_19]]*1440</f>
        <v>310</v>
      </c>
      <c r="AD65" s="23">
        <f>IFERROR(BQs_over_time_AG20!$V65/BQs_over_time_AG20!$AB65,"")</f>
        <v>0.73927028765738434</v>
      </c>
      <c r="AE65" s="19">
        <f>Table1419[[#This Row],[Qualifying_Time_Women_13_19]]*Table1419[[#This Row],[Age_Factor_Women]]</f>
        <v>0.12593750000000001</v>
      </c>
      <c r="AF65" s="21">
        <f>Table1419[[#This Row],[AG_Time_Women_13_19]]*1440</f>
        <v>181.35000000000002</v>
      </c>
      <c r="AG65" s="19">
        <v>0.21180555555555555</v>
      </c>
      <c r="AH65" s="21">
        <f>Table1419[[#This Row],[Qualifying_Time_Women_2020]]*1440</f>
        <v>305</v>
      </c>
      <c r="AI65" s="24">
        <f>IFERROR(BQs_over_time_AG20!$V65/BQs_over_time_AG20!$AG65,"")</f>
        <v>0.75138947270094802</v>
      </c>
      <c r="AJ65" s="19">
        <f>Table1419[[#This Row],[Qualifying_Time_Women_2020]]*Table1419[[#This Row],[Age_Factor_Women]]</f>
        <v>0.12390625</v>
      </c>
      <c r="AK65" s="25">
        <f>Table1419[[#This Row],[AG_Time_Women_2020]]*1440</f>
        <v>178.42499999999998</v>
      </c>
      <c r="AL65" s="26">
        <f t="shared" si="0"/>
        <v>0.6</v>
      </c>
      <c r="AM65" s="27">
        <f t="shared" si="1"/>
        <v>9.9999999999999978E-2</v>
      </c>
      <c r="AN65" s="27">
        <f t="shared" si="2"/>
        <v>0.10000000000000009</v>
      </c>
      <c r="AO65" s="27">
        <f t="shared" si="3"/>
        <v>9.9999999999999978E-2</v>
      </c>
      <c r="AP65" s="27">
        <f t="shared" si="4"/>
        <v>9.9999999999999978E-2</v>
      </c>
      <c r="AQ65" s="28">
        <v>0.68</v>
      </c>
      <c r="AR65" s="29">
        <f>Table1419[[#This Row],[Age Best_Men_20]]/Table1419[[#This Row],[Proposed_uniform_AG%]]</f>
        <v>0.18667778907205254</v>
      </c>
      <c r="AS65" s="29">
        <f t="shared" si="15"/>
        <v>0.18700359468982666</v>
      </c>
      <c r="AT65" s="29">
        <f>CEILING(Table1419[[#This Row],[Proposed_QT_M_Agegrouped]],"00:01:00")</f>
        <v>0.1875</v>
      </c>
      <c r="AU65" s="30">
        <f>Table1419[[#This Row],[Proposed_QT_M_Agegrouped_roundedup]]*1440</f>
        <v>270</v>
      </c>
      <c r="AV65" s="30">
        <f>Table1419[[#This Row],[Proposed_QT_M_Agegrouped_roundedup_min]]-Table1419[[#This Row],[QT_Men_2020_min]]</f>
        <v>-5</v>
      </c>
      <c r="AW65" s="40">
        <f>(Table1419[[#This Row],[Proposed_QT_M_Agegrouped_roundedup_min]]-Table1419[[#This Row],[QT_Men_2020_min]])/Table1419[[#This Row],[QT_Men_2020_min]]</f>
        <v>-1.8181818181818181E-2</v>
      </c>
      <c r="AX65" s="32">
        <f>Table1419[[#This Row],[Age Best_Women]]/Table1419[[#This Row],[Proposed_uniform_AG%]]</f>
        <v>0.23404185985885329</v>
      </c>
      <c r="AY65" s="29">
        <f>AVERAGE($AX$63:$AX$67)</f>
        <v>0.23462915099898046</v>
      </c>
      <c r="AZ65" s="33">
        <f>CEILING(Table1419[[#This Row],[Proposed_QT_W_Agegrouped]],"00:01:00")</f>
        <v>0.23472222222222222</v>
      </c>
      <c r="BA65" s="34">
        <f>Table1419[[#This Row],[Proposed_QT_W_Agegrouped_roundedup]]*1440</f>
        <v>338</v>
      </c>
      <c r="BB65" s="34">
        <f>Table1419[[#This Row],[Proposed_QT_W_Agegrouped_roundedup_min]]-Table1419[[#This Row],[Qualifying_Time_Women_2020_min]]</f>
        <v>33</v>
      </c>
      <c r="BC65" s="41">
        <f>(Table1419[[#This Row],[Proposed_QT_W_Agegrouped_roundedup_min]]-Table1419[[#This Row],[Qualifying_Time_Women_2020_min]])/Table1419[[#This Row],[Qualifying_Time_Women_2020_min]]</f>
        <v>0.10819672131147541</v>
      </c>
      <c r="BD65" s="36" t="s">
        <v>82</v>
      </c>
      <c r="BE65" s="37">
        <f>Table1419[[#This Row],[Age Best_Men_20]]/Table1419[[#This Row],[Proposed_QT_M_Agegrouped_roundedup]]</f>
        <v>0.67701811503464393</v>
      </c>
      <c r="BF65" s="38">
        <f>Table1419[[#This Row],[Age Best_Women]]/Table1419[[#This Row],[Proposed_QT_W_Agegrouped_roundedup]]</f>
        <v>0.67802896205263063</v>
      </c>
    </row>
    <row r="66" spans="1:86" x14ac:dyDescent="0.55000000000000004">
      <c r="A66" s="18">
        <v>78</v>
      </c>
      <c r="B66" s="19">
        <f>IF(BQs_over_time_AG20!$A66="","",SUMIF('2020_Road Weights'!$A:$A,"M",'2020_Road Weights'!$F:$F)/3600/24)</f>
        <v>8.4479166666666661E-2</v>
      </c>
      <c r="C66" s="20">
        <f>IF(A66="","",INDEX('2020_Road Weights'!$A:$CX,MATCH("M",'2020_Road Weights'!$A:$A,FALSE),MATCH(BQs_over_time_AG20!$A66,'2020_Road Weights'!$1:$1,FALSE)))</f>
        <v>0.65259999999999996</v>
      </c>
      <c r="D66" s="19">
        <f>IFERROR(BQs_over_time_AG20!$B66/BQs_over_time_AG20!$C66,"")</f>
        <v>0.12945014812544692</v>
      </c>
      <c r="E66" s="19">
        <v>0.19791666666666666</v>
      </c>
      <c r="F66" s="21">
        <f>Table1419[[#This Row],[QT_Men_03_12]]*1440</f>
        <v>285</v>
      </c>
      <c r="G66" s="20">
        <f>IFERROR(BQs_over_time_AG20!$D66/BQs_over_time_AG20!$E66,"")</f>
        <v>0.65406390631804756</v>
      </c>
      <c r="H66" s="19">
        <f>IFERROR(Table1419[[#This Row],[QT_Men_03_12]]*Table1419[[#This Row],[Age_Factor_Men_20]],"")</f>
        <v>0.12916041666666664</v>
      </c>
      <c r="I66" s="21">
        <f>Table1419[[#This Row],[AG_Time_Men_03_12]]*1440</f>
        <v>185.99099999999996</v>
      </c>
      <c r="J66" s="19">
        <v>0.19444444444444445</v>
      </c>
      <c r="K66" s="21">
        <f>Table1419[[#This Row],[QT_Men_13_19]]*1440</f>
        <v>280</v>
      </c>
      <c r="L66" s="20">
        <f>IFERROR(BQs_over_time_AG20!$D66/BQs_over_time_AG20!$J66,"")</f>
        <v>0.66574361893086986</v>
      </c>
      <c r="M66" s="19">
        <f>Table1419[[#This Row],[QT_Men_13_19]]*Table1419[[#This Row],[Age_Factor_Men_20]]</f>
        <v>0.12689444444444445</v>
      </c>
      <c r="N66" s="21">
        <f>Table1419[[#This Row],[AG_Time_Men_13_19]]*1440</f>
        <v>182.72800000000001</v>
      </c>
      <c r="O66" s="19">
        <v>0.19097222222222221</v>
      </c>
      <c r="P66" s="21">
        <f>Table1419[[#This Row],[QT_Men_2020]]*1440</f>
        <v>275</v>
      </c>
      <c r="Q66" s="22">
        <f>IFERROR(BQs_over_time_AG20!$D66/BQs_over_time_AG20!$O66,"")</f>
        <v>0.67784804836597667</v>
      </c>
      <c r="R66" s="19">
        <f>Table1419[[#This Row],[QT_Men_2020]]*Table1419[[#This Row],[Age_Factor_Men_20]]</f>
        <v>0.1246284722222222</v>
      </c>
      <c r="S66" s="21">
        <f>Table1419[[#This Row],[AG_Time_Men_2020]]*1440</f>
        <v>179.46499999999997</v>
      </c>
      <c r="T66" s="19">
        <f>IF(BQs_over_time_AG20!$A66="","",SUMIF('2020_Road Weights'!$A:$A,"F",'2020_Road Weights'!$F:$F)/3600/24)</f>
        <v>9.3101851851851838E-2</v>
      </c>
      <c r="U66" s="20">
        <f>INDEX('2020_Road Weights'!$A:$CX,MATCH("F",'2020_Road Weights'!$A:$A,FALSE),MATCH(BQs_over_time_AG20!$A66,'2020_Road Weights'!$1:$1,FALSE))</f>
        <v>0.57110000000000005</v>
      </c>
      <c r="V66" s="19">
        <f>IFERROR(BQs_over_time_AG20!$T66/BQs_over_time_AG20!$U66,"")</f>
        <v>0.16302197837830823</v>
      </c>
      <c r="W66" s="19">
        <v>0.21875</v>
      </c>
      <c r="X66" s="21">
        <f>Table1419[[#This Row],[Qualifying_Time_Women_03_12]]*1440</f>
        <v>315</v>
      </c>
      <c r="Y66" s="20">
        <f>IFERROR(BQs_over_time_AG20!$V66/BQs_over_time_AG20!$W66,"")</f>
        <v>0.7452433297294091</v>
      </c>
      <c r="Z66" s="19">
        <f>Table1419[[#This Row],[Qualifying_Time_Women_03_12]]*Table1419[[#This Row],[Age_Factor_Women]]</f>
        <v>0.12492812500000001</v>
      </c>
      <c r="AA66" s="21">
        <f>Table1419[[#This Row],[AG_Time_Women_03_12]]*1440</f>
        <v>179.89650000000003</v>
      </c>
      <c r="AB66" s="19">
        <v>0.21527777777777779</v>
      </c>
      <c r="AC66" s="21">
        <f>Table1419[[#This Row],[Qualifying_Time_Women_13_19]]*1440</f>
        <v>310</v>
      </c>
      <c r="AD66" s="23">
        <f>IFERROR(BQs_over_time_AG20!$V66/BQs_over_time_AG20!$AB66,"")</f>
        <v>0.7572633834347221</v>
      </c>
      <c r="AE66" s="19">
        <f>Table1419[[#This Row],[Qualifying_Time_Women_13_19]]*Table1419[[#This Row],[Age_Factor_Women]]</f>
        <v>0.1229451388888889</v>
      </c>
      <c r="AF66" s="21">
        <f>Table1419[[#This Row],[AG_Time_Women_13_19]]*1440</f>
        <v>177.04100000000003</v>
      </c>
      <c r="AG66" s="19">
        <v>0.21180555555555555</v>
      </c>
      <c r="AH66" s="21">
        <f>Table1419[[#This Row],[Qualifying_Time_Women_2020]]*1440</f>
        <v>305</v>
      </c>
      <c r="AI66" s="24">
        <f>IFERROR(BQs_over_time_AG20!$V66/BQs_over_time_AG20!$AG66,"")</f>
        <v>0.76967753726152088</v>
      </c>
      <c r="AJ66" s="19">
        <f>Table1419[[#This Row],[Qualifying_Time_Women_2020]]*Table1419[[#This Row],[Age_Factor_Women]]</f>
        <v>0.12096215277777779</v>
      </c>
      <c r="AK66" s="25">
        <f>Table1419[[#This Row],[AG_Time_Women_2020]]*1440</f>
        <v>174.18550000000002</v>
      </c>
      <c r="AL66" s="26">
        <f t="shared" si="0"/>
        <v>0.6</v>
      </c>
      <c r="AM66" s="27">
        <f t="shared" si="1"/>
        <v>9.9999999999999978E-2</v>
      </c>
      <c r="AN66" s="27">
        <f t="shared" si="2"/>
        <v>0.10000000000000009</v>
      </c>
      <c r="AO66" s="27">
        <f t="shared" si="3"/>
        <v>9.9999999999999978E-2</v>
      </c>
      <c r="AP66" s="27">
        <f t="shared" si="4"/>
        <v>9.9999999999999978E-2</v>
      </c>
      <c r="AQ66" s="28">
        <v>0.68</v>
      </c>
      <c r="AR66" s="29">
        <f>Table1419[[#This Row],[Age Best_Men_20]]/Table1419[[#This Row],[Proposed_uniform_AG%]]</f>
        <v>0.19036786489036311</v>
      </c>
      <c r="AS66" s="29">
        <f t="shared" si="15"/>
        <v>0.18700359468982666</v>
      </c>
      <c r="AT66" s="29">
        <f>CEILING(Table1419[[#This Row],[Proposed_QT_M_Agegrouped]],"00:01:00")</f>
        <v>0.1875</v>
      </c>
      <c r="AU66" s="30">
        <f>Table1419[[#This Row],[Proposed_QT_M_Agegrouped_roundedup]]*1440</f>
        <v>270</v>
      </c>
      <c r="AV66" s="30">
        <f>Table1419[[#This Row],[Proposed_QT_M_Agegrouped_roundedup_min]]-Table1419[[#This Row],[QT_Men_2020_min]]</f>
        <v>-5</v>
      </c>
      <c r="AW66" s="40">
        <f>(Table1419[[#This Row],[Proposed_QT_M_Agegrouped_roundedup_min]]-Table1419[[#This Row],[QT_Men_2020_min]])/Table1419[[#This Row],[QT_Men_2020_min]]</f>
        <v>-1.8181818181818181E-2</v>
      </c>
      <c r="AX66" s="32">
        <f>Table1419[[#This Row],[Age Best_Women]]/Table1419[[#This Row],[Proposed_uniform_AG%]]</f>
        <v>0.2397382034975121</v>
      </c>
      <c r="AY66" s="29">
        <f>AVERAGE($AX$63:$AX$67)</f>
        <v>0.23462915099898046</v>
      </c>
      <c r="AZ66" s="33">
        <f>CEILING(Table1419[[#This Row],[Proposed_QT_W_Agegrouped]],"00:01:00")</f>
        <v>0.23472222222222222</v>
      </c>
      <c r="BA66" s="34">
        <f>Table1419[[#This Row],[Proposed_QT_W_Agegrouped_roundedup]]*1440</f>
        <v>338</v>
      </c>
      <c r="BB66" s="34">
        <f>Table1419[[#This Row],[Proposed_QT_W_Agegrouped_roundedup_min]]-Table1419[[#This Row],[Qualifying_Time_Women_2020_min]]</f>
        <v>33</v>
      </c>
      <c r="BC66" s="41">
        <f>(Table1419[[#This Row],[Proposed_QT_W_Agegrouped_roundedup_min]]-Table1419[[#This Row],[Qualifying_Time_Women_2020_min]])/Table1419[[#This Row],[Qualifying_Time_Women_2020_min]]</f>
        <v>0.10819672131147541</v>
      </c>
      <c r="BD66" s="36" t="s">
        <v>82</v>
      </c>
      <c r="BE66" s="37">
        <f>Table1419[[#This Row],[Age Best_Men_20]]/Table1419[[#This Row],[Proposed_QT_M_Agegrouped_roundedup]]</f>
        <v>0.69040079000238352</v>
      </c>
      <c r="BF66" s="38">
        <f>Table1419[[#This Row],[Age Best_Women]]/Table1419[[#This Row],[Proposed_QT_W_Agegrouped_roundedup]]</f>
        <v>0.69453150551705278</v>
      </c>
    </row>
    <row r="67" spans="1:86" x14ac:dyDescent="0.55000000000000004">
      <c r="A67" s="18">
        <v>79</v>
      </c>
      <c r="B67" s="19">
        <f>IF(BQs_over_time_AG20!$A67="","",SUMIF('2020_Road Weights'!$A:$A,"M",'2020_Road Weights'!$F:$F)/3600/24)</f>
        <v>8.4479166666666661E-2</v>
      </c>
      <c r="C67" s="20">
        <f>IF(A67="","",INDEX('2020_Road Weights'!$A:$CX,MATCH("M",'2020_Road Weights'!$A:$A,FALSE),MATCH(BQs_over_time_AG20!$A67,'2020_Road Weights'!$1:$1,FALSE)))</f>
        <v>0.63890000000000002</v>
      </c>
      <c r="D67" s="19">
        <f>IFERROR(BQs_over_time_AG20!$B67/BQs_over_time_AG20!$C67,"")</f>
        <v>0.13222596128762976</v>
      </c>
      <c r="E67" s="19">
        <v>0.19791666666666666</v>
      </c>
      <c r="F67" s="21">
        <f>Table1419[[#This Row],[QT_Men_03_12]]*1440</f>
        <v>285</v>
      </c>
      <c r="G67" s="20">
        <f>IFERROR(BQs_over_time_AG20!$D67/BQs_over_time_AG20!$E67,"")</f>
        <v>0.66808906755855035</v>
      </c>
      <c r="H67" s="19">
        <f>IFERROR(Table1419[[#This Row],[QT_Men_03_12]]*Table1419[[#This Row],[Age_Factor_Men_20]],"")</f>
        <v>0.12644895833333333</v>
      </c>
      <c r="I67" s="21">
        <f>Table1419[[#This Row],[AG_Time_Men_03_12]]*1440</f>
        <v>182.0865</v>
      </c>
      <c r="J67" s="19">
        <v>0.19444444444444445</v>
      </c>
      <c r="K67" s="21">
        <f>Table1419[[#This Row],[QT_Men_13_19]]*1440</f>
        <v>280</v>
      </c>
      <c r="L67" s="20">
        <f>IFERROR(BQs_over_time_AG20!$D67/BQs_over_time_AG20!$J67,"")</f>
        <v>0.68001922947923876</v>
      </c>
      <c r="M67" s="19">
        <f>Table1419[[#This Row],[QT_Men_13_19]]*Table1419[[#This Row],[Age_Factor_Men_20]]</f>
        <v>0.12423055555555557</v>
      </c>
      <c r="N67" s="21">
        <f>Table1419[[#This Row],[AG_Time_Men_13_19]]*1440</f>
        <v>178.89200000000002</v>
      </c>
      <c r="O67" s="19">
        <v>0.19097222222222221</v>
      </c>
      <c r="P67" s="21">
        <f>Table1419[[#This Row],[QT_Men_2020]]*1440</f>
        <v>275</v>
      </c>
      <c r="Q67" s="22">
        <f>IFERROR(BQs_over_time_AG20!$D67/BQs_over_time_AG20!$O67,"")</f>
        <v>0.69238321546977044</v>
      </c>
      <c r="R67" s="19">
        <f>Table1419[[#This Row],[QT_Men_2020]]*Table1419[[#This Row],[Age_Factor_Men_20]]</f>
        <v>0.12201215277777777</v>
      </c>
      <c r="S67" s="21">
        <f>Table1419[[#This Row],[AG_Time_Men_2020]]*1440</f>
        <v>175.69749999999999</v>
      </c>
      <c r="T67" s="19">
        <f>IF(BQs_over_time_AG20!$A67="","",SUMIF('2020_Road Weights'!$A:$A,"F",'2020_Road Weights'!$F:$F)/3600/24)</f>
        <v>9.3101851851851838E-2</v>
      </c>
      <c r="U67" s="20">
        <f>INDEX('2020_Road Weights'!$A:$CX,MATCH("F",'2020_Road Weights'!$A:$A,FALSE),MATCH(BQs_over_time_AG20!$A67,'2020_Road Weights'!$1:$1,FALSE))</f>
        <v>0.55640000000000001</v>
      </c>
      <c r="V67" s="19">
        <f>IFERROR(BQs_over_time_AG20!$T67/BQs_over_time_AG20!$U67,"")</f>
        <v>0.16732899326357267</v>
      </c>
      <c r="W67" s="19">
        <v>0.21875</v>
      </c>
      <c r="X67" s="21">
        <f>Table1419[[#This Row],[Qualifying_Time_Women_03_12]]*1440</f>
        <v>315</v>
      </c>
      <c r="Y67" s="20">
        <f>IFERROR(BQs_over_time_AG20!$V67/BQs_over_time_AG20!$W67,"")</f>
        <v>0.76493254063347504</v>
      </c>
      <c r="Z67" s="19">
        <f>Table1419[[#This Row],[Qualifying_Time_Women_03_12]]*Table1419[[#This Row],[Age_Factor_Women]]</f>
        <v>0.1217125</v>
      </c>
      <c r="AA67" s="21">
        <f>Table1419[[#This Row],[AG_Time_Women_03_12]]*1440</f>
        <v>175.26599999999999</v>
      </c>
      <c r="AB67" s="19">
        <v>0.21527777777777779</v>
      </c>
      <c r="AC67" s="21">
        <f>Table1419[[#This Row],[Qualifying_Time_Women_13_19]]*1440</f>
        <v>310</v>
      </c>
      <c r="AD67" s="23">
        <f>IFERROR(BQs_over_time_AG20!$V67/BQs_over_time_AG20!$AB67,"")</f>
        <v>0.77727016225659562</v>
      </c>
      <c r="AE67" s="19">
        <f>Table1419[[#This Row],[Qualifying_Time_Women_13_19]]*Table1419[[#This Row],[Age_Factor_Women]]</f>
        <v>0.11978055555555556</v>
      </c>
      <c r="AF67" s="21">
        <f>Table1419[[#This Row],[AG_Time_Women_13_19]]*1440</f>
        <v>172.48400000000001</v>
      </c>
      <c r="AG67" s="19">
        <v>0.21180555555555555</v>
      </c>
      <c r="AH67" s="21">
        <f>Table1419[[#This Row],[Qualifying_Time_Women_2020]]*1440</f>
        <v>305</v>
      </c>
      <c r="AI67" s="24">
        <f>IFERROR(BQs_over_time_AG20!$V67/BQs_over_time_AG20!$AG67,"")</f>
        <v>0.79001229606408085</v>
      </c>
      <c r="AJ67" s="19">
        <f>Table1419[[#This Row],[Qualifying_Time_Women_2020]]*Table1419[[#This Row],[Age_Factor_Women]]</f>
        <v>0.11784861111111111</v>
      </c>
      <c r="AK67" s="25">
        <f>Table1419[[#This Row],[AG_Time_Women_2020]]*1440</f>
        <v>169.702</v>
      </c>
      <c r="AL67" s="26">
        <f t="shared" si="0"/>
        <v>0.6</v>
      </c>
      <c r="AM67" s="27">
        <f t="shared" si="1"/>
        <v>9.9999999999999978E-2</v>
      </c>
      <c r="AN67" s="27">
        <f t="shared" si="2"/>
        <v>0.10000000000000009</v>
      </c>
      <c r="AO67" s="27">
        <f t="shared" si="3"/>
        <v>9.9999999999999978E-2</v>
      </c>
      <c r="AP67" s="27">
        <f t="shared" si="4"/>
        <v>9.9999999999999978E-2</v>
      </c>
      <c r="AQ67" s="28">
        <v>0.68</v>
      </c>
      <c r="AR67" s="29">
        <f>Table1419[[#This Row],[Age Best_Men_20]]/Table1419[[#This Row],[Proposed_uniform_AG%]]</f>
        <v>0.19444994307004373</v>
      </c>
      <c r="AS67" s="29">
        <f t="shared" si="15"/>
        <v>0.18700359468982666</v>
      </c>
      <c r="AT67" s="29">
        <f>CEILING(Table1419[[#This Row],[Proposed_QT_M_Agegrouped]],"00:01:00")</f>
        <v>0.1875</v>
      </c>
      <c r="AU67" s="30">
        <f>Table1419[[#This Row],[Proposed_QT_M_Agegrouped_roundedup]]*1440</f>
        <v>270</v>
      </c>
      <c r="AV67" s="30">
        <f>Table1419[[#This Row],[Proposed_QT_M_Agegrouped_roundedup_min]]-Table1419[[#This Row],[QT_Men_2020_min]]</f>
        <v>-5</v>
      </c>
      <c r="AW67" s="40">
        <f>(Table1419[[#This Row],[Proposed_QT_M_Agegrouped_roundedup_min]]-Table1419[[#This Row],[QT_Men_2020_min]])/Table1419[[#This Row],[QT_Men_2020_min]]</f>
        <v>-1.8181818181818181E-2</v>
      </c>
      <c r="AX67" s="32">
        <f>Table1419[[#This Row],[Age Best_Women]]/Table1419[[#This Row],[Proposed_uniform_AG%]]</f>
        <v>0.24607204891701862</v>
      </c>
      <c r="AY67" s="29">
        <f>AVERAGE($AX$63:$AX$67)</f>
        <v>0.23462915099898046</v>
      </c>
      <c r="AZ67" s="33">
        <f>CEILING(Table1419[[#This Row],[Proposed_QT_W_Agegrouped]],"00:01:00")</f>
        <v>0.23472222222222222</v>
      </c>
      <c r="BA67" s="34">
        <f>Table1419[[#This Row],[Proposed_QT_W_Agegrouped_roundedup]]*1440</f>
        <v>338</v>
      </c>
      <c r="BB67" s="34">
        <f>Table1419[[#This Row],[Proposed_QT_W_Agegrouped_roundedup_min]]-Table1419[[#This Row],[Qualifying_Time_Women_2020_min]]</f>
        <v>33</v>
      </c>
      <c r="BC67" s="41">
        <f>(Table1419[[#This Row],[Proposed_QT_W_Agegrouped_roundedup_min]]-Table1419[[#This Row],[Qualifying_Time_Women_2020_min]])/Table1419[[#This Row],[Qualifying_Time_Women_2020_min]]</f>
        <v>0.10819672131147541</v>
      </c>
      <c r="BD67" s="36" t="s">
        <v>82</v>
      </c>
      <c r="BE67" s="37">
        <f>Table1419[[#This Row],[Age Best_Men_20]]/Table1419[[#This Row],[Proposed_QT_M_Agegrouped_roundedup]]</f>
        <v>0.7052051268673587</v>
      </c>
      <c r="BF67" s="38">
        <f>Table1419[[#This Row],[Age Best_Women]]/Table1419[[#This Row],[Proposed_QT_W_Agegrouped_roundedup]]</f>
        <v>0.71288091804599008</v>
      </c>
    </row>
    <row r="68" spans="1:86" s="39" customFormat="1" x14ac:dyDescent="0.55000000000000004">
      <c r="A68" s="18">
        <v>80</v>
      </c>
      <c r="B68" s="19">
        <f>IF(BQs_over_time_AG20!$A68="","",SUMIF('2020_Road Weights'!$A:$A,"M",'2020_Road Weights'!$F:$F)/3600/24)</f>
        <v>8.4479166666666661E-2</v>
      </c>
      <c r="C68" s="20">
        <f>IF(A68="","",INDEX('2020_Road Weights'!$A:$CX,MATCH("M",'2020_Road Weights'!$A:$A,FALSE),MATCH(BQs_over_time_AG20!$A68,'2020_Road Weights'!$1:$1,FALSE)))</f>
        <v>0.62450000000000006</v>
      </c>
      <c r="D68" s="19">
        <f>IFERROR(BQs_over_time_AG20!$B68/BQs_over_time_AG20!$C68,"")</f>
        <v>0.1352748865759274</v>
      </c>
      <c r="E68" s="19">
        <v>0.20833333333333331</v>
      </c>
      <c r="F68" s="21">
        <f>Table1419[[#This Row],[QT_Men_03_12]]*1440</f>
        <v>300</v>
      </c>
      <c r="G68" s="20">
        <f>IFERROR(BQs_over_time_AG20!$D68/BQs_over_time_AG20!$E68,"")</f>
        <v>0.64931945556445159</v>
      </c>
      <c r="H68" s="19">
        <f>IFERROR(Table1419[[#This Row],[QT_Men_03_12]]*Table1419[[#This Row],[Age_Factor_Men_20]],"")</f>
        <v>0.13010416666666666</v>
      </c>
      <c r="I68" s="21">
        <f>Table1419[[#This Row],[AG_Time_Men_03_12]]*1440</f>
        <v>187.35</v>
      </c>
      <c r="J68" s="19">
        <v>0.20486111111111113</v>
      </c>
      <c r="K68" s="21">
        <f>Table1419[[#This Row],[QT_Men_13_19]]*1440</f>
        <v>295.00000000000006</v>
      </c>
      <c r="L68" s="20">
        <f>IFERROR(BQs_over_time_AG20!$D68/BQs_over_time_AG20!$J68,"")</f>
        <v>0.66032487006554386</v>
      </c>
      <c r="M68" s="19">
        <f>Table1419[[#This Row],[QT_Men_13_19]]*Table1419[[#This Row],[Age_Factor_Men_20]]</f>
        <v>0.12793576388888891</v>
      </c>
      <c r="N68" s="21">
        <f>Table1419[[#This Row],[AG_Time_Men_13_19]]*1440</f>
        <v>184.22750000000005</v>
      </c>
      <c r="O68" s="19">
        <v>0.20138888888888887</v>
      </c>
      <c r="P68" s="21">
        <f>Table1419[[#This Row],[QT_Men_2020]]*1440</f>
        <v>289.99999999999994</v>
      </c>
      <c r="Q68" s="22">
        <f>IFERROR(BQs_over_time_AG20!$D68/BQs_over_time_AG20!$O68,"")</f>
        <v>0.67170978161839823</v>
      </c>
      <c r="R68" s="19">
        <f>Table1419[[#This Row],[QT_Men_2020]]*Table1419[[#This Row],[Age_Factor_Men_20]]</f>
        <v>0.12576736111111111</v>
      </c>
      <c r="S68" s="21">
        <f>Table1419[[#This Row],[AG_Time_Men_2020]]*1440</f>
        <v>181.10500000000002</v>
      </c>
      <c r="T68" s="19">
        <f>IF(BQs_over_time_AG20!$A68="","",SUMIF('2020_Road Weights'!$A:$A,"F",'2020_Road Weights'!$F:$F)/3600/24)</f>
        <v>9.3101851851851838E-2</v>
      </c>
      <c r="U68" s="20">
        <f>INDEX('2020_Road Weights'!$A:$CX,MATCH("F",'2020_Road Weights'!$A:$A,FALSE),MATCH(BQs_over_time_AG20!$A68,'2020_Road Weights'!$1:$1,FALSE))</f>
        <v>0.54100000000000004</v>
      </c>
      <c r="V68" s="19">
        <f>IFERROR(BQs_over_time_AG20!$T68/BQs_over_time_AG20!$U68,"")</f>
        <v>0.17209214760046548</v>
      </c>
      <c r="W68" s="19">
        <v>0.22916666666666666</v>
      </c>
      <c r="X68" s="21">
        <f>Table1419[[#This Row],[Qualifying_Time_Women_03_12]]*1440</f>
        <v>330</v>
      </c>
      <c r="Y68" s="20">
        <f>IFERROR(BQs_over_time_AG20!$V68/BQs_over_time_AG20!$W68,"")</f>
        <v>0.75094755316566764</v>
      </c>
      <c r="Z68" s="19">
        <f>Table1419[[#This Row],[Qualifying_Time_Women_03_12]]*Table1419[[#This Row],[Age_Factor_Women]]</f>
        <v>0.12397916666666667</v>
      </c>
      <c r="AA68" s="21">
        <f>Table1419[[#This Row],[AG_Time_Women_03_12]]*1440</f>
        <v>178.53</v>
      </c>
      <c r="AB68" s="19">
        <v>0.22569444444444445</v>
      </c>
      <c r="AC68" s="21">
        <f>Table1419[[#This Row],[Qualifying_Time_Women_13_19]]*1440</f>
        <v>325</v>
      </c>
      <c r="AD68" s="23">
        <f>IFERROR(BQs_over_time_AG20!$V68/BQs_over_time_AG20!$AB68,"")</f>
        <v>0.76250059244513935</v>
      </c>
      <c r="AE68" s="19">
        <f>Table1419[[#This Row],[Qualifying_Time_Women_13_19]]*Table1419[[#This Row],[Age_Factor_Women]]</f>
        <v>0.12210069444444445</v>
      </c>
      <c r="AF68" s="21">
        <f>Table1419[[#This Row],[AG_Time_Women_13_19]]*1440</f>
        <v>175.82500000000002</v>
      </c>
      <c r="AG68" s="19">
        <v>0.22222222222222221</v>
      </c>
      <c r="AH68" s="21">
        <f>Table1419[[#This Row],[Qualifying_Time_Women_2020]]*1440</f>
        <v>320</v>
      </c>
      <c r="AI68" s="24">
        <f>IFERROR(BQs_over_time_AG20!$V68/BQs_over_time_AG20!$AG68,"")</f>
        <v>0.7744146642020947</v>
      </c>
      <c r="AJ68" s="19">
        <f>Table1419[[#This Row],[Qualifying_Time_Women_2020]]*Table1419[[#This Row],[Age_Factor_Women]]</f>
        <v>0.12022222222222223</v>
      </c>
      <c r="AK68" s="25">
        <f>Table1419[[#This Row],[AG_Time_Women_2020]]*1440</f>
        <v>173.12</v>
      </c>
      <c r="AL68" s="26">
        <f t="shared" si="0"/>
        <v>0.6</v>
      </c>
      <c r="AM68" s="27">
        <f t="shared" si="1"/>
        <v>9.9999999999999978E-2</v>
      </c>
      <c r="AN68" s="27">
        <f t="shared" si="2"/>
        <v>0.10000000000000009</v>
      </c>
      <c r="AO68" s="27">
        <f t="shared" si="3"/>
        <v>9.9999999999999978E-2</v>
      </c>
      <c r="AP68" s="27">
        <f t="shared" si="4"/>
        <v>9.9999999999999978E-2</v>
      </c>
      <c r="AQ68" s="28">
        <v>0.68</v>
      </c>
      <c r="AR68" s="29">
        <f>Table1419[[#This Row],[Age Best_Men_20]]/Table1419[[#This Row],[Proposed_uniform_AG%]]</f>
        <v>0.19893365672930499</v>
      </c>
      <c r="AS68" s="29">
        <f>AVERAGE($AR$68:$AR$72)</f>
        <v>0.20980449677111887</v>
      </c>
      <c r="AT68" s="29">
        <f>CEILING(Table1419[[#This Row],[Proposed_QT_M_Agegrouped]],"00:01:00")</f>
        <v>0.21041666666666667</v>
      </c>
      <c r="AU68" s="30">
        <f>Table1419[[#This Row],[Proposed_QT_M_Agegrouped_roundedup]]*1440</f>
        <v>303</v>
      </c>
      <c r="AV68" s="30">
        <f>Table1419[[#This Row],[Proposed_QT_M_Agegrouped_roundedup_min]]-Table1419[[#This Row],[QT_Men_2020_min]]</f>
        <v>13.000000000000057</v>
      </c>
      <c r="AW68" s="40">
        <f>(Table1419[[#This Row],[Proposed_QT_M_Agegrouped_roundedup_min]]-Table1419[[#This Row],[QT_Men_2020_min]])/Table1419[[#This Row],[QT_Men_2020_min]]</f>
        <v>4.4827586206896759E-2</v>
      </c>
      <c r="AX68" s="32">
        <f>Table1419[[#This Row],[Age Best_Women]]/Table1419[[#This Row],[Proposed_uniform_AG%]]</f>
        <v>0.25307668764774333</v>
      </c>
      <c r="AY68" s="29">
        <f>AVERAGE($AX$68:$AX$72)</f>
        <v>0.27076998188615015</v>
      </c>
      <c r="AZ68" s="33">
        <f>CEILING(Table1419[[#This Row],[Proposed_QT_W_Agegrouped]],"00:01:00")</f>
        <v>0.27083333333333337</v>
      </c>
      <c r="BA68" s="34">
        <f>Table1419[[#This Row],[Proposed_QT_W_Agegrouped_roundedup]]*1440</f>
        <v>390.00000000000006</v>
      </c>
      <c r="BB68" s="34">
        <f>Table1419[[#This Row],[Proposed_QT_W_Agegrouped_roundedup_min]]-Table1419[[#This Row],[Qualifying_Time_Women_2020_min]]</f>
        <v>70.000000000000057</v>
      </c>
      <c r="BC68" s="41">
        <f>(Table1419[[#This Row],[Proposed_QT_W_Agegrouped_roundedup_min]]-Table1419[[#This Row],[Qualifying_Time_Women_2020_min]])/Table1419[[#This Row],[Qualifying_Time_Women_2020_min]]</f>
        <v>0.21875000000000017</v>
      </c>
      <c r="BD68" s="36" t="s">
        <v>83</v>
      </c>
      <c r="BE68" s="37">
        <f>Table1419[[#This Row],[Age Best_Men_20]]/Table1419[[#This Row],[Proposed_QT_M_Agegrouped_roundedup]]</f>
        <v>0.64289055006381335</v>
      </c>
      <c r="BF68" s="38">
        <f>Table1419[[#This Row],[Age Best_Women]]/Table1419[[#This Row],[Proposed_QT_W_Agegrouped_roundedup]]</f>
        <v>0.63541716037094942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</row>
    <row r="69" spans="1:86" x14ac:dyDescent="0.55000000000000004">
      <c r="A69" s="18">
        <v>81</v>
      </c>
      <c r="B69" s="19">
        <f>IF(BQs_over_time_AG20!$A69="","",SUMIF('2020_Road Weights'!$A:$A,"M",'2020_Road Weights'!$F:$F)/3600/24)</f>
        <v>8.4479166666666661E-2</v>
      </c>
      <c r="C69" s="20">
        <f>IF(A69="","",INDEX('2020_Road Weights'!$A:$CX,MATCH("M",'2020_Road Weights'!$A:$A,FALSE),MATCH(BQs_over_time_AG20!$A69,'2020_Road Weights'!$1:$1,FALSE)))</f>
        <v>0.60950000000000004</v>
      </c>
      <c r="D69" s="19">
        <f>IFERROR(BQs_over_time_AG20!$B69/BQs_over_time_AG20!$C69,"")</f>
        <v>0.13860404703308721</v>
      </c>
      <c r="E69" s="19">
        <v>0.20833333333333331</v>
      </c>
      <c r="F69" s="21">
        <f>Table1419[[#This Row],[QT_Men_03_12]]*1440</f>
        <v>300</v>
      </c>
      <c r="G69" s="20">
        <f>IFERROR(BQs_over_time_AG20!$D69/BQs_over_time_AG20!$E69,"")</f>
        <v>0.66529942575881862</v>
      </c>
      <c r="H69" s="19">
        <f>IFERROR(Table1419[[#This Row],[QT_Men_03_12]]*Table1419[[#This Row],[Age_Factor_Men_20]],"")</f>
        <v>0.12697916666666667</v>
      </c>
      <c r="I69" s="21">
        <f>Table1419[[#This Row],[AG_Time_Men_03_12]]*1440</f>
        <v>182.85</v>
      </c>
      <c r="J69" s="19">
        <v>0.20486111111111113</v>
      </c>
      <c r="K69" s="21">
        <f>Table1419[[#This Row],[QT_Men_13_19]]*1440</f>
        <v>295.00000000000006</v>
      </c>
      <c r="L69" s="20">
        <f>IFERROR(BQs_over_time_AG20!$D69/BQs_over_time_AG20!$J69,"")</f>
        <v>0.67657568721235783</v>
      </c>
      <c r="M69" s="19">
        <f>Table1419[[#This Row],[QT_Men_13_19]]*Table1419[[#This Row],[Age_Factor_Men_20]]</f>
        <v>0.12486284722222224</v>
      </c>
      <c r="N69" s="21">
        <f>Table1419[[#This Row],[AG_Time_Men_13_19]]*1440</f>
        <v>179.80250000000004</v>
      </c>
      <c r="O69" s="19">
        <v>0.20138888888888887</v>
      </c>
      <c r="P69" s="21">
        <f>Table1419[[#This Row],[QT_Men_2020]]*1440</f>
        <v>289.99999999999994</v>
      </c>
      <c r="Q69" s="22">
        <f>IFERROR(BQs_over_time_AG20!$D69/BQs_over_time_AG20!$O69,"")</f>
        <v>0.68824078526774346</v>
      </c>
      <c r="R69" s="19">
        <f>Table1419[[#This Row],[QT_Men_2020]]*Table1419[[#This Row],[Age_Factor_Men_20]]</f>
        <v>0.12274652777777777</v>
      </c>
      <c r="S69" s="21">
        <f>Table1419[[#This Row],[AG_Time_Men_2020]]*1440</f>
        <v>176.755</v>
      </c>
      <c r="T69" s="19">
        <f>IF(BQs_over_time_AG20!$A69="","",SUMIF('2020_Road Weights'!$A:$A,"F",'2020_Road Weights'!$F:$F)/3600/24)</f>
        <v>9.3101851851851838E-2</v>
      </c>
      <c r="U69" s="20">
        <f>INDEX('2020_Road Weights'!$A:$CX,MATCH("F",'2020_Road Weights'!$A:$A,FALSE),MATCH(BQs_over_time_AG20!$A69,'2020_Road Weights'!$1:$1,FALSE))</f>
        <v>0.52470000000000006</v>
      </c>
      <c r="V69" s="19">
        <f>IFERROR(BQs_over_time_AG20!$T69/BQs_over_time_AG20!$U69,"")</f>
        <v>0.17743825395817006</v>
      </c>
      <c r="W69" s="19">
        <v>0.22916666666666666</v>
      </c>
      <c r="X69" s="21">
        <f>Table1419[[#This Row],[Qualifying_Time_Women_03_12]]*1440</f>
        <v>330</v>
      </c>
      <c r="Y69" s="20">
        <f>IFERROR(BQs_over_time_AG20!$V69/BQs_over_time_AG20!$W69,"")</f>
        <v>0.77427601727201489</v>
      </c>
      <c r="Z69" s="19">
        <f>Table1419[[#This Row],[Qualifying_Time_Women_03_12]]*Table1419[[#This Row],[Age_Factor_Women]]</f>
        <v>0.12024375000000001</v>
      </c>
      <c r="AA69" s="21">
        <f>Table1419[[#This Row],[AG_Time_Women_03_12]]*1440</f>
        <v>173.15100000000001</v>
      </c>
      <c r="AB69" s="19">
        <v>0.22569444444444445</v>
      </c>
      <c r="AC69" s="21">
        <f>Table1419[[#This Row],[Qualifying_Time_Women_13_19]]*1440</f>
        <v>325</v>
      </c>
      <c r="AD69" s="23">
        <f>IFERROR(BQs_over_time_AG20!$V69/BQs_over_time_AG20!$AB69,"")</f>
        <v>0.7861879559992766</v>
      </c>
      <c r="AE69" s="19">
        <f>Table1419[[#This Row],[Qualifying_Time_Women_13_19]]*Table1419[[#This Row],[Age_Factor_Women]]</f>
        <v>0.11842187500000001</v>
      </c>
      <c r="AF69" s="21">
        <f>Table1419[[#This Row],[AG_Time_Women_13_19]]*1440</f>
        <v>170.5275</v>
      </c>
      <c r="AG69" s="19">
        <v>0.22222222222222221</v>
      </c>
      <c r="AH69" s="21">
        <f>Table1419[[#This Row],[Qualifying_Time_Women_2020]]*1440</f>
        <v>320</v>
      </c>
      <c r="AI69" s="24">
        <f>IFERROR(BQs_over_time_AG20!$V69/BQs_over_time_AG20!$AG69,"")</f>
        <v>0.79847214281176537</v>
      </c>
      <c r="AJ69" s="19">
        <f>Table1419[[#This Row],[Qualifying_Time_Women_2020]]*Table1419[[#This Row],[Age_Factor_Women]]</f>
        <v>0.11660000000000001</v>
      </c>
      <c r="AK69" s="25">
        <f>Table1419[[#This Row],[AG_Time_Women_2020]]*1440</f>
        <v>167.90400000000002</v>
      </c>
      <c r="AL69" s="26">
        <f t="shared" si="0"/>
        <v>0.6</v>
      </c>
      <c r="AM69" s="27">
        <f t="shared" si="1"/>
        <v>9.9999999999999978E-2</v>
      </c>
      <c r="AN69" s="27">
        <f t="shared" si="2"/>
        <v>0.10000000000000009</v>
      </c>
      <c r="AO69" s="27">
        <f t="shared" si="3"/>
        <v>9.9999999999999978E-2</v>
      </c>
      <c r="AP69" s="27">
        <f t="shared" si="4"/>
        <v>9.9999999999999978E-2</v>
      </c>
      <c r="AQ69" s="28">
        <v>0.68</v>
      </c>
      <c r="AR69" s="29">
        <f>Table1419[[#This Row],[Age Best_Men_20]]/Table1419[[#This Row],[Proposed_uniform_AG%]]</f>
        <v>0.20382948093101058</v>
      </c>
      <c r="AS69" s="29">
        <f t="shared" ref="AS69:AS72" si="16">AVERAGE($AR$68:$AR$72)</f>
        <v>0.20980449677111887</v>
      </c>
      <c r="AT69" s="29">
        <f>CEILING(Table1419[[#This Row],[Proposed_QT_M_Agegrouped]],"00:01:00")</f>
        <v>0.21041666666666667</v>
      </c>
      <c r="AU69" s="30">
        <f>Table1419[[#This Row],[Proposed_QT_M_Agegrouped_roundedup]]*1440</f>
        <v>303</v>
      </c>
      <c r="AV69" s="30">
        <f>Table1419[[#This Row],[Proposed_QT_M_Agegrouped_roundedup_min]]-Table1419[[#This Row],[QT_Men_2020_min]]</f>
        <v>13.000000000000057</v>
      </c>
      <c r="AW69" s="40">
        <f>(Table1419[[#This Row],[Proposed_QT_M_Agegrouped_roundedup_min]]-Table1419[[#This Row],[QT_Men_2020_min]])/Table1419[[#This Row],[QT_Men_2020_min]]</f>
        <v>4.4827586206896759E-2</v>
      </c>
      <c r="AX69" s="32">
        <f>Table1419[[#This Row],[Age Best_Women]]/Table1419[[#This Row],[Proposed_uniform_AG%]]</f>
        <v>0.2609386087620148</v>
      </c>
      <c r="AY69" s="29">
        <f>AVERAGE($AX$68:$AX$72)</f>
        <v>0.27076998188615015</v>
      </c>
      <c r="AZ69" s="33">
        <f>CEILING(Table1419[[#This Row],[Proposed_QT_W_Agegrouped]],"00:01:00")</f>
        <v>0.27083333333333337</v>
      </c>
      <c r="BA69" s="34">
        <f>Table1419[[#This Row],[Proposed_QT_W_Agegrouped_roundedup]]*1440</f>
        <v>390.00000000000006</v>
      </c>
      <c r="BB69" s="34">
        <f>Table1419[[#This Row],[Proposed_QT_W_Agegrouped_roundedup_min]]-Table1419[[#This Row],[Qualifying_Time_Women_2020_min]]</f>
        <v>70.000000000000057</v>
      </c>
      <c r="BC69" s="41">
        <f>(Table1419[[#This Row],[Proposed_QT_W_Agegrouped_roundedup_min]]-Table1419[[#This Row],[Qualifying_Time_Women_2020_min]])/Table1419[[#This Row],[Qualifying_Time_Women_2020_min]]</f>
        <v>0.21875000000000017</v>
      </c>
      <c r="BD69" s="36" t="s">
        <v>83</v>
      </c>
      <c r="BE69" s="37">
        <f>Table1419[[#This Row],[Age Best_Men_20]]/Table1419[[#This Row],[Proposed_QT_M_Agegrouped_roundedup]]</f>
        <v>0.65871230273150361</v>
      </c>
      <c r="BF69" s="38">
        <f>Table1419[[#This Row],[Age Best_Women]]/Table1419[[#This Row],[Proposed_QT_W_Agegrouped_roundedup]]</f>
        <v>0.65515662999939706</v>
      </c>
    </row>
    <row r="70" spans="1:86" x14ac:dyDescent="0.55000000000000004">
      <c r="A70" s="18">
        <v>82</v>
      </c>
      <c r="B70" s="19">
        <f>IF(BQs_over_time_AG20!$A70="","",SUMIF('2020_Road Weights'!$A:$A,"M",'2020_Road Weights'!$F:$F)/3600/24)</f>
        <v>8.4479166666666661E-2</v>
      </c>
      <c r="C70" s="20">
        <f>IF(A70="","",INDEX('2020_Road Weights'!$A:$CX,MATCH("M",'2020_Road Weights'!$A:$A,FALSE),MATCH(BQs_over_time_AG20!$A70,'2020_Road Weights'!$1:$1,FALSE)))</f>
        <v>0.59370000000000001</v>
      </c>
      <c r="D70" s="19">
        <f>IFERROR(BQs_over_time_AG20!$B70/BQs_over_time_AG20!$C70,"")</f>
        <v>0.14229268429622141</v>
      </c>
      <c r="E70" s="19">
        <v>0.20833333333333345</v>
      </c>
      <c r="F70" s="21">
        <f>Table1419[[#This Row],[QT_Men_03_12]]*1440</f>
        <v>300.00000000000017</v>
      </c>
      <c r="G70" s="20">
        <f>IFERROR(BQs_over_time_AG20!$D70/BQs_over_time_AG20!$E70,"")</f>
        <v>0.68300488462186237</v>
      </c>
      <c r="H70" s="19">
        <f>IFERROR(Table1419[[#This Row],[QT_Men_03_12]]*Table1419[[#This Row],[Age_Factor_Men_20]],"")</f>
        <v>0.12368750000000008</v>
      </c>
      <c r="I70" s="21">
        <f>Table1419[[#This Row],[AG_Time_Men_03_12]]*1440</f>
        <v>178.1100000000001</v>
      </c>
      <c r="J70" s="19">
        <v>0.20486111111111113</v>
      </c>
      <c r="K70" s="21">
        <f>Table1419[[#This Row],[QT_Men_13_19]]*1440</f>
        <v>295.00000000000006</v>
      </c>
      <c r="L70" s="20">
        <f>IFERROR(BQs_over_time_AG20!$D70/BQs_over_time_AG20!$J70,"")</f>
        <v>0.6945812385985044</v>
      </c>
      <c r="M70" s="19">
        <f>Table1419[[#This Row],[QT_Men_13_19]]*Table1419[[#This Row],[Age_Factor_Men_20]]</f>
        <v>0.12162604166666668</v>
      </c>
      <c r="N70" s="21">
        <f>Table1419[[#This Row],[AG_Time_Men_13_19]]*1440</f>
        <v>175.14150000000004</v>
      </c>
      <c r="O70" s="19">
        <v>0.20138888888888901</v>
      </c>
      <c r="P70" s="21">
        <f>Table1419[[#This Row],[QT_Men_2020]]*1440</f>
        <v>290.00000000000017</v>
      </c>
      <c r="Q70" s="22">
        <f>IFERROR(BQs_over_time_AG20!$D70/BQs_over_time_AG20!$O70,"")</f>
        <v>0.70655677719503007</v>
      </c>
      <c r="R70" s="19">
        <f>Table1419[[#This Row],[QT_Men_2020]]*Table1419[[#This Row],[Age_Factor_Men_20]]</f>
        <v>0.1195645833333334</v>
      </c>
      <c r="S70" s="21">
        <f>Table1419[[#This Row],[AG_Time_Men_2020]]*1440</f>
        <v>172.17300000000012</v>
      </c>
      <c r="T70" s="19">
        <f>IF(BQs_over_time_AG20!$A70="","",SUMIF('2020_Road Weights'!$A:$A,"F",'2020_Road Weights'!$F:$F)/3600/24)</f>
        <v>9.3101851851851838E-2</v>
      </c>
      <c r="U70" s="20">
        <f>INDEX('2020_Road Weights'!$A:$CX,MATCH("F",'2020_Road Weights'!$A:$A,FALSE),MATCH(BQs_over_time_AG20!$A70,'2020_Road Weights'!$1:$1,FALSE))</f>
        <v>0.50770000000000004</v>
      </c>
      <c r="V70" s="19">
        <f>IFERROR(BQs_over_time_AG20!$T70/BQs_over_time_AG20!$U70,"")</f>
        <v>0.18337965698611744</v>
      </c>
      <c r="W70" s="19">
        <v>0.22916666666666644</v>
      </c>
      <c r="X70" s="21">
        <f>Table1419[[#This Row],[Qualifying_Time_Women_03_12]]*1440</f>
        <v>329.99999999999966</v>
      </c>
      <c r="Y70" s="20">
        <f>IFERROR(BQs_over_time_AG20!$V70/BQs_over_time_AG20!$W70,"")</f>
        <v>0.80020213957578601</v>
      </c>
      <c r="Z70" s="19">
        <f>Table1419[[#This Row],[Qualifying_Time_Women_03_12]]*Table1419[[#This Row],[Age_Factor_Women]]</f>
        <v>0.11634791666666656</v>
      </c>
      <c r="AA70" s="21">
        <f>Table1419[[#This Row],[AG_Time_Women_03_12]]*1440</f>
        <v>167.54099999999985</v>
      </c>
      <c r="AB70" s="19">
        <v>0.22569444444444445</v>
      </c>
      <c r="AC70" s="21">
        <f>Table1419[[#This Row],[Qualifying_Time_Women_13_19]]*1440</f>
        <v>325</v>
      </c>
      <c r="AD70" s="23">
        <f>IFERROR(BQs_over_time_AG20!$V70/BQs_over_time_AG20!$AB70,"")</f>
        <v>0.81251294172310495</v>
      </c>
      <c r="AE70" s="19">
        <f>Table1419[[#This Row],[Qualifying_Time_Women_13_19]]*Table1419[[#This Row],[Age_Factor_Women]]</f>
        <v>0.11458506944444445</v>
      </c>
      <c r="AF70" s="21">
        <f>Table1419[[#This Row],[AG_Time_Women_13_19]]*1440</f>
        <v>165.0025</v>
      </c>
      <c r="AG70" s="19">
        <v>0.22222222222222199</v>
      </c>
      <c r="AH70" s="21">
        <f>Table1419[[#This Row],[Qualifying_Time_Women_2020]]*1440</f>
        <v>319.99999999999966</v>
      </c>
      <c r="AI70" s="24">
        <f>IFERROR(BQs_over_time_AG20!$V70/BQs_over_time_AG20!$AG70,"")</f>
        <v>0.82520845643752938</v>
      </c>
      <c r="AJ70" s="19">
        <f>Table1419[[#This Row],[Qualifying_Time_Women_2020]]*Table1419[[#This Row],[Age_Factor_Women]]</f>
        <v>0.11282222222222212</v>
      </c>
      <c r="AK70" s="25">
        <f>Table1419[[#This Row],[AG_Time_Women_2020]]*1440</f>
        <v>162.46399999999986</v>
      </c>
      <c r="AL70" s="26">
        <f t="shared" ref="AL70:AL72" si="17">$AL$4</f>
        <v>0.6</v>
      </c>
      <c r="AM70" s="27">
        <f t="shared" ref="AM70:AM72" si="18">$AM$4-$AL$4</f>
        <v>9.9999999999999978E-2</v>
      </c>
      <c r="AN70" s="27">
        <f t="shared" ref="AN70:AN72" si="19">$AN$4-$AM$4</f>
        <v>0.10000000000000009</v>
      </c>
      <c r="AO70" s="27">
        <f t="shared" ref="AO70:AO72" si="20">$AO$4-$AN$4</f>
        <v>9.9999999999999978E-2</v>
      </c>
      <c r="AP70" s="27">
        <f t="shared" ref="AP70:AP72" si="21">$AP$4-$AO$4</f>
        <v>9.9999999999999978E-2</v>
      </c>
      <c r="AQ70" s="28">
        <v>0.68</v>
      </c>
      <c r="AR70" s="29">
        <f>Table1419[[#This Row],[Age Best_Men_20]]/Table1419[[#This Row],[Proposed_uniform_AG%]]</f>
        <v>0.20925394749444323</v>
      </c>
      <c r="AS70" s="29">
        <f t="shared" si="16"/>
        <v>0.20980449677111887</v>
      </c>
      <c r="AT70" s="29">
        <f>CEILING(Table1419[[#This Row],[Proposed_QT_M_Agegrouped]],"00:01:00")</f>
        <v>0.21041666666666667</v>
      </c>
      <c r="AU70" s="30">
        <f>Table1419[[#This Row],[Proposed_QT_M_Agegrouped_roundedup]]*1440</f>
        <v>303</v>
      </c>
      <c r="AV70" s="30">
        <f>Table1419[[#This Row],[Proposed_QT_M_Agegrouped_roundedup_min]]-Table1419[[#This Row],[QT_Men_2020_min]]</f>
        <v>12.999999999999829</v>
      </c>
      <c r="AW70" s="40">
        <f>(Table1419[[#This Row],[Proposed_QT_M_Agegrouped_roundedup_min]]-Table1419[[#This Row],[QT_Men_2020_min]])/Table1419[[#This Row],[QT_Men_2020_min]]</f>
        <v>4.482758620689594E-2</v>
      </c>
      <c r="AX70" s="32">
        <f>Table1419[[#This Row],[Age Best_Women]]/Table1419[[#This Row],[Proposed_uniform_AG%]]</f>
        <v>0.26967596615605505</v>
      </c>
      <c r="AY70" s="29">
        <f>AVERAGE($AX$68:$AX$72)</f>
        <v>0.27076998188615015</v>
      </c>
      <c r="AZ70" s="33">
        <f>CEILING(Table1419[[#This Row],[Proposed_QT_W_Agegrouped]],"00:01:00")</f>
        <v>0.27083333333333337</v>
      </c>
      <c r="BA70" s="34">
        <f>Table1419[[#This Row],[Proposed_QT_W_Agegrouped_roundedup]]*1440</f>
        <v>390.00000000000006</v>
      </c>
      <c r="BB70" s="34">
        <f>Table1419[[#This Row],[Proposed_QT_W_Agegrouped_roundedup_min]]-Table1419[[#This Row],[Qualifying_Time_Women_2020_min]]</f>
        <v>70.000000000000398</v>
      </c>
      <c r="BC70" s="41">
        <f>(Table1419[[#This Row],[Proposed_QT_W_Agegrouped_roundedup_min]]-Table1419[[#This Row],[Qualifying_Time_Women_2020_min]])/Table1419[[#This Row],[Qualifying_Time_Women_2020_min]]</f>
        <v>0.21875000000000147</v>
      </c>
      <c r="BD70" s="36" t="s">
        <v>83</v>
      </c>
      <c r="BE70" s="37">
        <f>Table1419[[#This Row],[Age Best_Men_20]]/Table1419[[#This Row],[Proposed_QT_M_Agegrouped_roundedup]]</f>
        <v>0.67624246002164634</v>
      </c>
      <c r="BF70" s="38">
        <f>Table1419[[#This Row],[Age Best_Women]]/Table1419[[#This Row],[Proposed_QT_W_Agegrouped_roundedup]]</f>
        <v>0.67709411810258735</v>
      </c>
    </row>
    <row r="71" spans="1:86" x14ac:dyDescent="0.55000000000000004">
      <c r="A71" s="18">
        <v>83</v>
      </c>
      <c r="B71" s="19">
        <f>IF(BQs_over_time_AG20!$A71="","",SUMIF('2020_Road Weights'!$A:$A,"M",'2020_Road Weights'!$F:$F)/3600/24)</f>
        <v>8.4479166666666661E-2</v>
      </c>
      <c r="C71" s="20">
        <f>IF(A71="","",INDEX('2020_Road Weights'!$A:$CX,MATCH("M",'2020_Road Weights'!$A:$A,FALSE),MATCH(BQs_over_time_AG20!$A71,'2020_Road Weights'!$1:$1,FALSE)))</f>
        <v>0.57730000000000004</v>
      </c>
      <c r="D71" s="19">
        <f>IFERROR(BQs_over_time_AG20!$B71/BQs_over_time_AG20!$C71,"")</f>
        <v>0.14633495005485303</v>
      </c>
      <c r="E71" s="19">
        <v>0.20833333333333345</v>
      </c>
      <c r="F71" s="21">
        <f>Table1419[[#This Row],[QT_Men_03_12]]*1440</f>
        <v>300.00000000000017</v>
      </c>
      <c r="G71" s="20">
        <f>IFERROR(BQs_over_time_AG20!$D71/BQs_over_time_AG20!$E71,"")</f>
        <v>0.7024077602632941</v>
      </c>
      <c r="H71" s="19">
        <f>IFERROR(Table1419[[#This Row],[QT_Men_03_12]]*Table1419[[#This Row],[Age_Factor_Men_20]],"")</f>
        <v>0.12027083333333341</v>
      </c>
      <c r="I71" s="21">
        <f>Table1419[[#This Row],[AG_Time_Men_03_12]]*1440</f>
        <v>173.19000000000011</v>
      </c>
      <c r="J71" s="19">
        <v>0.20486111111111113</v>
      </c>
      <c r="K71" s="21">
        <f>Table1419[[#This Row],[QT_Men_13_19]]*1440</f>
        <v>295.00000000000006</v>
      </c>
      <c r="L71" s="20">
        <f>IFERROR(BQs_over_time_AG20!$D71/BQs_over_time_AG20!$J71,"")</f>
        <v>0.71431297653894354</v>
      </c>
      <c r="M71" s="19">
        <f>Table1419[[#This Row],[QT_Men_13_19]]*Table1419[[#This Row],[Age_Factor_Men_20]]</f>
        <v>0.11826631944444446</v>
      </c>
      <c r="N71" s="21">
        <f>Table1419[[#This Row],[AG_Time_Men_13_19]]*1440</f>
        <v>170.30350000000001</v>
      </c>
      <c r="O71" s="19">
        <v>0.20138888888888901</v>
      </c>
      <c r="P71" s="21">
        <f>Table1419[[#This Row],[QT_Men_2020]]*1440</f>
        <v>290.00000000000017</v>
      </c>
      <c r="Q71" s="22">
        <f>IFERROR(BQs_over_time_AG20!$D71/BQs_over_time_AG20!$O71,"")</f>
        <v>0.72662871751375258</v>
      </c>
      <c r="R71" s="19">
        <f>Table1419[[#This Row],[QT_Men_2020]]*Table1419[[#This Row],[Age_Factor_Men_20]]</f>
        <v>0.11626180555555563</v>
      </c>
      <c r="S71" s="21">
        <f>Table1419[[#This Row],[AG_Time_Men_2020]]*1440</f>
        <v>167.41700000000009</v>
      </c>
      <c r="T71" s="19">
        <f>IF(BQs_over_time_AG20!$A71="","",SUMIF('2020_Road Weights'!$A:$A,"F",'2020_Road Weights'!$F:$F)/3600/24)</f>
        <v>9.3101851851851838E-2</v>
      </c>
      <c r="U71" s="20">
        <f>INDEX('2020_Road Weights'!$A:$CX,MATCH("F",'2020_Road Weights'!$A:$A,FALSE),MATCH(BQs_over_time_AG20!$A71,'2020_Road Weights'!$1:$1,FALSE))</f>
        <v>0.48980000000000001</v>
      </c>
      <c r="V71" s="19">
        <f>IFERROR(BQs_over_time_AG20!$T71/BQs_over_time_AG20!$U71,"")</f>
        <v>0.1900813635195015</v>
      </c>
      <c r="W71" s="19">
        <v>0.22916666666666644</v>
      </c>
      <c r="X71" s="21">
        <f>Table1419[[#This Row],[Qualifying_Time_Women_03_12]]*1440</f>
        <v>329.99999999999966</v>
      </c>
      <c r="Y71" s="20">
        <f>IFERROR(BQs_over_time_AG20!$V71/BQs_over_time_AG20!$W71,"")</f>
        <v>0.82944594990328013</v>
      </c>
      <c r="Z71" s="19">
        <f>Table1419[[#This Row],[Qualifying_Time_Women_03_12]]*Table1419[[#This Row],[Age_Factor_Women]]</f>
        <v>0.11224583333333323</v>
      </c>
      <c r="AA71" s="21">
        <f>Table1419[[#This Row],[AG_Time_Women_03_12]]*1440</f>
        <v>161.63399999999984</v>
      </c>
      <c r="AB71" s="19">
        <v>0.225694444444444</v>
      </c>
      <c r="AC71" s="21">
        <f>Table1419[[#This Row],[Qualifying_Time_Women_13_19]]*1440</f>
        <v>324.99999999999937</v>
      </c>
      <c r="AD71" s="23">
        <f>IFERROR(BQs_over_time_AG20!$V71/BQs_over_time_AG20!$AB71,"")</f>
        <v>0.84220665682486984</v>
      </c>
      <c r="AE71" s="19">
        <f>Table1419[[#This Row],[Qualifying_Time_Women_13_19]]*Table1419[[#This Row],[Age_Factor_Women]]</f>
        <v>0.11054513888888867</v>
      </c>
      <c r="AF71" s="21">
        <f>Table1419[[#This Row],[AG_Time_Women_13_19]]*1440</f>
        <v>159.18499999999969</v>
      </c>
      <c r="AG71" s="19">
        <v>0.22222222222222199</v>
      </c>
      <c r="AH71" s="21">
        <f>Table1419[[#This Row],[Qualifying_Time_Women_2020]]*1440</f>
        <v>319.99999999999966</v>
      </c>
      <c r="AI71" s="24">
        <f>IFERROR(BQs_over_time_AG20!$V71/BQs_over_time_AG20!$AG71,"")</f>
        <v>0.85536613583775767</v>
      </c>
      <c r="AJ71" s="19">
        <f>Table1419[[#This Row],[Qualifying_Time_Women_2020]]*Table1419[[#This Row],[Age_Factor_Women]]</f>
        <v>0.10884444444444433</v>
      </c>
      <c r="AK71" s="25">
        <f>Table1419[[#This Row],[AG_Time_Women_2020]]*1440</f>
        <v>156.73599999999982</v>
      </c>
      <c r="AL71" s="26">
        <f t="shared" si="17"/>
        <v>0.6</v>
      </c>
      <c r="AM71" s="27">
        <f t="shared" si="18"/>
        <v>9.9999999999999978E-2</v>
      </c>
      <c r="AN71" s="27">
        <f t="shared" si="19"/>
        <v>0.10000000000000009</v>
      </c>
      <c r="AO71" s="27">
        <f t="shared" si="20"/>
        <v>9.9999999999999978E-2</v>
      </c>
      <c r="AP71" s="27">
        <f t="shared" si="21"/>
        <v>9.9999999999999978E-2</v>
      </c>
      <c r="AQ71" s="28">
        <v>0.68</v>
      </c>
      <c r="AR71" s="29">
        <f>Table1419[[#This Row],[Age Best_Men_20]]/Table1419[[#This Row],[Proposed_uniform_AG%]]</f>
        <v>0.21519845596301915</v>
      </c>
      <c r="AS71" s="29">
        <f t="shared" si="16"/>
        <v>0.20980449677111887</v>
      </c>
      <c r="AT71" s="29">
        <f>CEILING(Table1419[[#This Row],[Proposed_QT_M_Agegrouped]],"00:01:00")</f>
        <v>0.21041666666666667</v>
      </c>
      <c r="AU71" s="30">
        <f>Table1419[[#This Row],[Proposed_QT_M_Agegrouped_roundedup]]*1440</f>
        <v>303</v>
      </c>
      <c r="AV71" s="30">
        <f>Table1419[[#This Row],[Proposed_QT_M_Agegrouped_roundedup_min]]-Table1419[[#This Row],[QT_Men_2020_min]]</f>
        <v>12.999999999999829</v>
      </c>
      <c r="AW71" s="40">
        <f>(Table1419[[#This Row],[Proposed_QT_M_Agegrouped_roundedup_min]]-Table1419[[#This Row],[QT_Men_2020_min]])/Table1419[[#This Row],[QT_Men_2020_min]]</f>
        <v>4.482758620689594E-2</v>
      </c>
      <c r="AX71" s="32">
        <f>Table1419[[#This Row],[Age Best_Women]]/Table1419[[#This Row],[Proposed_uniform_AG%]]</f>
        <v>0.27953141694044337</v>
      </c>
      <c r="AY71" s="29">
        <f>AVERAGE($AX$68:$AX$72)</f>
        <v>0.27076998188615015</v>
      </c>
      <c r="AZ71" s="33">
        <f>CEILING(Table1419[[#This Row],[Proposed_QT_W_Agegrouped]],"00:01:00")</f>
        <v>0.27083333333333337</v>
      </c>
      <c r="BA71" s="34">
        <f>Table1419[[#This Row],[Proposed_QT_W_Agegrouped_roundedup]]*1440</f>
        <v>390.00000000000006</v>
      </c>
      <c r="BB71" s="34">
        <f>Table1419[[#This Row],[Proposed_QT_W_Agegrouped_roundedup_min]]-Table1419[[#This Row],[Qualifying_Time_Women_2020_min]]</f>
        <v>70.000000000000398</v>
      </c>
      <c r="BC71" s="41">
        <f>(Table1419[[#This Row],[Proposed_QT_W_Agegrouped_roundedup_min]]-Table1419[[#This Row],[Qualifying_Time_Women_2020_min]])/Table1419[[#This Row],[Qualifying_Time_Women_2020_min]]</f>
        <v>0.21875000000000147</v>
      </c>
      <c r="BD71" s="36" t="s">
        <v>83</v>
      </c>
      <c r="BE71" s="37">
        <f>Table1419[[#This Row],[Age Best_Men_20]]/Table1419[[#This Row],[Proposed_QT_M_Agegrouped_roundedup]]</f>
        <v>0.69545322798345999</v>
      </c>
      <c r="BF71" s="38">
        <f>Table1419[[#This Row],[Age Best_Women]]/Table1419[[#This Row],[Proposed_QT_W_Agegrouped_roundedup]]</f>
        <v>0.70183888068739009</v>
      </c>
    </row>
    <row r="72" spans="1:86" x14ac:dyDescent="0.55000000000000004">
      <c r="A72" s="18">
        <v>84</v>
      </c>
      <c r="B72" s="19">
        <f>IF(BQs_over_time_AG20!$A72="","",SUMIF('2020_Road Weights'!$A:$A,"M",'2020_Road Weights'!$F:$F)/3600/24)</f>
        <v>8.4479166666666661E-2</v>
      </c>
      <c r="C72" s="20">
        <f>IF(A72="","",INDEX('2020_Road Weights'!$A:$CX,MATCH("M",'2020_Road Weights'!$A:$A,FALSE),MATCH(BQs_over_time_AG20!$A72,'2020_Road Weights'!$1:$1,FALSE)))</f>
        <v>0.56010000000000004</v>
      </c>
      <c r="D72" s="19">
        <f>IFERROR(BQs_over_time_AG20!$B72/BQs_over_time_AG20!$C72,"")</f>
        <v>0.15082872106171516</v>
      </c>
      <c r="E72" s="19">
        <v>0.20833333333333345</v>
      </c>
      <c r="F72" s="21">
        <f>Table1419[[#This Row],[QT_Men_03_12]]*1440</f>
        <v>300.00000000000017</v>
      </c>
      <c r="G72" s="20">
        <f>IFERROR(BQs_over_time_AG20!$D72/BQs_over_time_AG20!$E72,"")</f>
        <v>0.7239778610962323</v>
      </c>
      <c r="H72" s="19">
        <f>IFERROR(Table1419[[#This Row],[QT_Men_03_12]]*Table1419[[#This Row],[Age_Factor_Men_20]],"")</f>
        <v>0.11668750000000008</v>
      </c>
      <c r="I72" s="21">
        <f>Table1419[[#This Row],[AG_Time_Men_03_12]]*1440</f>
        <v>168.03000000000011</v>
      </c>
      <c r="J72" s="19">
        <v>0.20486111111111113</v>
      </c>
      <c r="K72" s="21">
        <f>Table1419[[#This Row],[QT_Men_13_19]]*1440</f>
        <v>295.00000000000006</v>
      </c>
      <c r="L72" s="20">
        <f>IFERROR(BQs_over_time_AG20!$D72/BQs_over_time_AG20!$J72,"")</f>
        <v>0.73624867230125357</v>
      </c>
      <c r="M72" s="19">
        <f>Table1419[[#This Row],[QT_Men_13_19]]*Table1419[[#This Row],[Age_Factor_Men_20]]</f>
        <v>0.11474270833333336</v>
      </c>
      <c r="N72" s="21">
        <f>Table1419[[#This Row],[AG_Time_Men_13_19]]*1440</f>
        <v>165.22950000000003</v>
      </c>
      <c r="O72" s="19">
        <v>0.20138888888888901</v>
      </c>
      <c r="P72" s="21">
        <f>Table1419[[#This Row],[QT_Men_2020]]*1440</f>
        <v>290.00000000000017</v>
      </c>
      <c r="Q72" s="22">
        <f>IFERROR(BQs_over_time_AG20!$D72/BQs_over_time_AG20!$O72,"")</f>
        <v>0.74894261492713687</v>
      </c>
      <c r="R72" s="19">
        <f>Table1419[[#This Row],[QT_Men_2020]]*Table1419[[#This Row],[Age_Factor_Men_20]]</f>
        <v>0.11279791666666675</v>
      </c>
      <c r="S72" s="21">
        <f>Table1419[[#This Row],[AG_Time_Men_2020]]*1440</f>
        <v>162.42900000000012</v>
      </c>
      <c r="T72" s="19">
        <f>IF(BQs_over_time_AG20!$A72="","",SUMIF('2020_Road Weights'!$A:$A,"F",'2020_Road Weights'!$F:$F)/3600/24)</f>
        <v>9.3101851851851838E-2</v>
      </c>
      <c r="U72" s="20">
        <f>INDEX('2020_Road Weights'!$A:$CX,MATCH("F",'2020_Road Weights'!$A:$A,FALSE),MATCH(BQs_over_time_AG20!$A72,'2020_Road Weights'!$1:$1,FALSE))</f>
        <v>0.47110000000000002</v>
      </c>
      <c r="V72" s="19">
        <f>IFERROR(BQs_over_time_AG20!$T72/BQs_over_time_AG20!$U72,"")</f>
        <v>0.197626516348656</v>
      </c>
      <c r="W72" s="19">
        <v>0.22916666666666599</v>
      </c>
      <c r="X72" s="21">
        <f>Table1419[[#This Row],[Qualifying_Time_Women_03_12]]*1440</f>
        <v>329.99999999999903</v>
      </c>
      <c r="Y72" s="20">
        <f>IFERROR(BQs_over_time_AG20!$V72/BQs_over_time_AG20!$W72,"")</f>
        <v>0.86237025315777416</v>
      </c>
      <c r="Z72" s="19">
        <f>Table1419[[#This Row],[Qualifying_Time_Women_03_12]]*Table1419[[#This Row],[Age_Factor_Women]]</f>
        <v>0.10796041666666635</v>
      </c>
      <c r="AA72" s="21">
        <f>Table1419[[#This Row],[AG_Time_Women_03_12]]*1440</f>
        <v>155.46299999999954</v>
      </c>
      <c r="AB72" s="19">
        <v>0.225694444444444</v>
      </c>
      <c r="AC72" s="21">
        <f>Table1419[[#This Row],[Qualifying_Time_Women_13_19]]*1440</f>
        <v>324.99999999999937</v>
      </c>
      <c r="AD72" s="23">
        <f>IFERROR(BQs_over_time_AG20!$V72/BQs_over_time_AG20!$AB72,"")</f>
        <v>0.875637487821739</v>
      </c>
      <c r="AE72" s="19">
        <f>Table1419[[#This Row],[Qualifying_Time_Women_13_19]]*Table1419[[#This Row],[Age_Factor_Women]]</f>
        <v>0.10632465277777757</v>
      </c>
      <c r="AF72" s="21">
        <f>Table1419[[#This Row],[AG_Time_Women_13_19]]*1440</f>
        <v>153.1074999999997</v>
      </c>
      <c r="AG72" s="19">
        <v>0.22222222222222199</v>
      </c>
      <c r="AH72" s="21">
        <f>Table1419[[#This Row],[Qualifying_Time_Women_2020]]*1440</f>
        <v>319.99999999999966</v>
      </c>
      <c r="AI72" s="24">
        <f>IFERROR(BQs_over_time_AG20!$V72/BQs_over_time_AG20!$AG72,"")</f>
        <v>0.88931932356895294</v>
      </c>
      <c r="AJ72" s="19">
        <f>Table1419[[#This Row],[Qualifying_Time_Women_2020]]*Table1419[[#This Row],[Age_Factor_Women]]</f>
        <v>0.10468888888888878</v>
      </c>
      <c r="AK72" s="25">
        <f>Table1419[[#This Row],[AG_Time_Women_2020]]*1440</f>
        <v>150.75199999999984</v>
      </c>
      <c r="AL72" s="26">
        <f t="shared" si="17"/>
        <v>0.6</v>
      </c>
      <c r="AM72" s="27">
        <f t="shared" si="18"/>
        <v>9.9999999999999978E-2</v>
      </c>
      <c r="AN72" s="27">
        <f t="shared" si="19"/>
        <v>0.10000000000000009</v>
      </c>
      <c r="AO72" s="27">
        <f t="shared" si="20"/>
        <v>9.9999999999999978E-2</v>
      </c>
      <c r="AP72" s="27">
        <f t="shared" si="21"/>
        <v>9.9999999999999978E-2</v>
      </c>
      <c r="AQ72" s="28">
        <v>0.68</v>
      </c>
      <c r="AR72" s="29">
        <f>Table1419[[#This Row],[Age Best_Men_20]]/Table1419[[#This Row],[Proposed_uniform_AG%]]</f>
        <v>0.2218069427378164</v>
      </c>
      <c r="AS72" s="29">
        <f t="shared" si="16"/>
        <v>0.20980449677111887</v>
      </c>
      <c r="AT72" s="29">
        <f>CEILING(Table1419[[#This Row],[Proposed_QT_M_Agegrouped]],"00:01:00")</f>
        <v>0.21041666666666667</v>
      </c>
      <c r="AU72" s="30">
        <f>Table1419[[#This Row],[Proposed_QT_M_Agegrouped_roundedup]]*1440</f>
        <v>303</v>
      </c>
      <c r="AV72" s="30">
        <f>Table1419[[#This Row],[Proposed_QT_M_Agegrouped_roundedup_min]]-Table1419[[#This Row],[QT_Men_2020_min]]</f>
        <v>12.999999999999829</v>
      </c>
      <c r="AW72" s="40">
        <f>(Table1419[[#This Row],[Proposed_QT_M_Agegrouped_roundedup_min]]-Table1419[[#This Row],[QT_Men_2020_min]])/Table1419[[#This Row],[QT_Men_2020_min]]</f>
        <v>4.482758620689594E-2</v>
      </c>
      <c r="AX72" s="32">
        <f>Table1419[[#This Row],[Age Best_Women]]/Table1419[[#This Row],[Proposed_uniform_AG%]]</f>
        <v>0.29062722992449408</v>
      </c>
      <c r="AY72" s="29">
        <f>AVERAGE($AX$68:$AX$72)</f>
        <v>0.27076998188615015</v>
      </c>
      <c r="AZ72" s="33">
        <f>CEILING(Table1419[[#This Row],[Proposed_QT_W_Agegrouped]],"00:01:00")</f>
        <v>0.27083333333333337</v>
      </c>
      <c r="BA72" s="34">
        <f>Table1419[[#This Row],[Proposed_QT_W_Agegrouped_roundedup]]*1440</f>
        <v>390.00000000000006</v>
      </c>
      <c r="BB72" s="34">
        <f>Table1419[[#This Row],[Proposed_QT_W_Agegrouped_roundedup_min]]-Table1419[[#This Row],[Qualifying_Time_Women_2020_min]]</f>
        <v>70.000000000000398</v>
      </c>
      <c r="BC72" s="41">
        <f>(Table1419[[#This Row],[Proposed_QT_W_Agegrouped_roundedup_min]]-Table1419[[#This Row],[Qualifying_Time_Women_2020_min]])/Table1419[[#This Row],[Qualifying_Time_Women_2020_min]]</f>
        <v>0.21875000000000147</v>
      </c>
      <c r="BD72" s="36" t="s">
        <v>83</v>
      </c>
      <c r="BE72" s="37">
        <f>Table1419[[#This Row],[Age Best_Men_20]]/Table1419[[#This Row],[Proposed_QT_M_Agegrouped_roundedup]]</f>
        <v>0.71680976346161662</v>
      </c>
      <c r="BF72" s="38">
        <f>Table1419[[#This Row],[Age Best_Women]]/Table1419[[#This Row],[Proposed_QT_W_Agegrouped_roundedup]]</f>
        <v>0.72969790651811439</v>
      </c>
    </row>
    <row r="73" spans="1:86" x14ac:dyDescent="0.55000000000000004">
      <c r="A73" s="18"/>
      <c r="B73" s="19"/>
      <c r="C73" s="20"/>
      <c r="D73" s="19"/>
      <c r="E73" s="19"/>
      <c r="F73" s="20"/>
      <c r="G73" s="19"/>
      <c r="H73" s="19"/>
      <c r="I73" s="20"/>
      <c r="J73" s="19"/>
      <c r="K73" s="19"/>
      <c r="L73" s="19"/>
      <c r="M73" s="20"/>
      <c r="N73" s="20"/>
      <c r="O73" s="19"/>
      <c r="P73" s="19"/>
      <c r="Q73" s="19"/>
      <c r="R73" s="20"/>
      <c r="S73" s="19"/>
      <c r="T73" s="19"/>
      <c r="U73" s="20"/>
      <c r="V73" s="19"/>
      <c r="W73" s="19"/>
      <c r="X73" s="23"/>
      <c r="Y73" s="19"/>
      <c r="Z73" s="19"/>
      <c r="AA73" s="23"/>
      <c r="AB73" s="19"/>
      <c r="AC73" s="26"/>
      <c r="AD73" s="27"/>
      <c r="AE73" s="27"/>
      <c r="AF73" s="27"/>
      <c r="AG73" s="27"/>
    </row>
  </sheetData>
  <mergeCells count="11">
    <mergeCell ref="AL3:AP3"/>
    <mergeCell ref="B4:S4"/>
    <mergeCell ref="T4:AK4"/>
    <mergeCell ref="AR4:AW4"/>
    <mergeCell ref="AX4:BC4"/>
    <mergeCell ref="E3:I3"/>
    <mergeCell ref="J3:N3"/>
    <mergeCell ref="O3:S3"/>
    <mergeCell ref="W3:AA3"/>
    <mergeCell ref="AB3:AF3"/>
    <mergeCell ref="AG3:AK3"/>
  </mergeCells>
  <pageMargins left="0.7" right="0.7" top="0.75" bottom="0.75" header="0.3" footer="0.3"/>
  <pageSetup orientation="portrait" r:id="rId1"/>
  <ignoredErrors>
    <ignoredError sqref="C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0F69-E1C7-4B41-AE8D-8FC40BADF5F0}">
  <dimension ref="A1:C13"/>
  <sheetViews>
    <sheetView workbookViewId="0">
      <selection activeCell="I16" sqref="I16"/>
    </sheetView>
  </sheetViews>
  <sheetFormatPr defaultRowHeight="14.4" x14ac:dyDescent="0.55000000000000004"/>
  <sheetData>
    <row r="1" spans="1:3" x14ac:dyDescent="0.55000000000000004">
      <c r="A1" t="s">
        <v>89</v>
      </c>
    </row>
    <row r="3" spans="1:3" x14ac:dyDescent="0.55000000000000004">
      <c r="A3" s="17" t="s">
        <v>88</v>
      </c>
      <c r="B3" s="17" t="s">
        <v>13</v>
      </c>
      <c r="C3" s="17" t="s">
        <v>14</v>
      </c>
    </row>
    <row r="4" spans="1:3" x14ac:dyDescent="0.55000000000000004">
      <c r="A4" s="17">
        <v>2010</v>
      </c>
      <c r="B4" s="17">
        <f>_xlfn.MAXIFS([12]!Table1[AgeOnRaceDay],[12]!Table1[Gender],"M")</f>
        <v>81</v>
      </c>
      <c r="C4" s="17">
        <f>_xlfn.MAXIFS([12]!Table1[AgeOnRaceDay],[12]!Table1[Gender],"F")</f>
        <v>77</v>
      </c>
    </row>
    <row r="5" spans="1:3" x14ac:dyDescent="0.55000000000000004">
      <c r="A5" s="17">
        <v>2011</v>
      </c>
      <c r="B5" s="17">
        <f>_xlfn.MAXIFS([13]!Table1[AgeOnRaceDay],[13]!Table1[Gender],"M")</f>
        <v>81</v>
      </c>
      <c r="C5" s="17">
        <f>_xlfn.MAXIFS([13]!Table1[AgeOnRaceDay],[13]!Table1[Gender],"F")</f>
        <v>80</v>
      </c>
    </row>
    <row r="6" spans="1:3" x14ac:dyDescent="0.55000000000000004">
      <c r="A6" s="17">
        <v>2012</v>
      </c>
      <c r="B6" s="17">
        <f>_xlfn.MAXIFS([4]!Table1[AgeOnRaceDay],[4]!Table1[Gender],"M")</f>
        <v>83</v>
      </c>
      <c r="C6" s="17">
        <f>_xlfn.MAXIFS([4]!Table1[AgeOnRaceDay],[4]!Table1[Gender],"F")</f>
        <v>81</v>
      </c>
    </row>
    <row r="7" spans="1:3" x14ac:dyDescent="0.55000000000000004">
      <c r="A7" s="17">
        <v>2013</v>
      </c>
      <c r="B7" s="17">
        <f>_xlfn.MAXIFS([5]!Table1[AgeOnRaceDay],[5]!Table1[Gender],"M")</f>
        <v>80</v>
      </c>
      <c r="C7" s="17">
        <f>_xlfn.MAXIFS([5]!Table1[AgeOnRaceDay],[5]!Table1[Gender],"F")</f>
        <v>74</v>
      </c>
    </row>
    <row r="8" spans="1:3" x14ac:dyDescent="0.55000000000000004">
      <c r="A8" s="17">
        <v>2014</v>
      </c>
      <c r="B8" s="17">
        <f>_xlfn.MAXIFS([6]!Table1[AgeOnRaceDay],[6]!Table1[Gender],"M")</f>
        <v>81</v>
      </c>
      <c r="C8" s="17">
        <f>_xlfn.MAXIFS([6]!Table1[AgeOnRaceDay],[6]!Table1[Gender],"F")</f>
        <v>81</v>
      </c>
    </row>
    <row r="9" spans="1:3" x14ac:dyDescent="0.55000000000000004">
      <c r="A9" s="17">
        <v>2015</v>
      </c>
      <c r="B9" s="17">
        <f>_xlfn.MAXIFS([7]!Table1[AgeOnRaceDay],[7]!Table1[Gender],"M")</f>
        <v>82</v>
      </c>
      <c r="C9" s="17">
        <f>_xlfn.MAXIFS([7]!Table1[AgeOnRaceDay],[7]!Table1[Gender],"F")</f>
        <v>82</v>
      </c>
    </row>
    <row r="10" spans="1:3" x14ac:dyDescent="0.55000000000000004">
      <c r="A10" s="17">
        <v>2016</v>
      </c>
      <c r="B10" s="17">
        <f>_xlfn.MAXIFS([8]!Table1[AgeOnRaceDay],[8]!Table1[Gender],"M")</f>
        <v>83</v>
      </c>
      <c r="C10" s="17">
        <f>_xlfn.MAXIFS([8]!Table1[AgeOnRaceDay],[8]!Table1[Gender],"F")</f>
        <v>83</v>
      </c>
    </row>
    <row r="11" spans="1:3" x14ac:dyDescent="0.55000000000000004">
      <c r="A11" s="17">
        <v>2017</v>
      </c>
      <c r="B11" s="17">
        <f>_xlfn.MAXIFS([9]!Table1[AgeOnRaceDay],[9]!Table1[Gender],"M")</f>
        <v>83</v>
      </c>
      <c r="C11" s="17">
        <f>_xlfn.MAXIFS([9]!Table1[AgeOnRaceDay],[9]!Table1[Gender],"F")</f>
        <v>84</v>
      </c>
    </row>
    <row r="12" spans="1:3" x14ac:dyDescent="0.55000000000000004">
      <c r="A12" s="17">
        <v>2018</v>
      </c>
      <c r="B12" s="17">
        <f>_xlfn.MAXIFS([10]!Table1[AgeOnRaceDay],[10]!Table1[Gender],"M")</f>
        <v>82</v>
      </c>
      <c r="C12" s="17">
        <f>_xlfn.MAXIFS([10]!Table1[AgeOnRaceDay],[10]!Table1[Gender],"F")</f>
        <v>76</v>
      </c>
    </row>
    <row r="13" spans="1:3" x14ac:dyDescent="0.55000000000000004">
      <c r="A13" s="17">
        <v>2019</v>
      </c>
      <c r="B13" s="17">
        <f>_xlfn.MAXIFS([11]!Table1[AgeOnRaceDay],[11]!Table1[Gender],"M")</f>
        <v>83</v>
      </c>
      <c r="C13" s="17">
        <f>_xlfn.MAXIFS([11]!Table1[AgeOnRaceDay],[11]!Table1[Gender],"F")</f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FB78-11A9-465E-9D34-E584EE8B4071}">
  <dimension ref="A1:CX11"/>
  <sheetViews>
    <sheetView tabSelected="1" zoomScaleNormal="100" workbookViewId="0">
      <pane xSplit="6" ySplit="1" topLeftCell="CK2" activePane="bottomRight" state="frozen"/>
      <selection activeCell="G18" sqref="G18"/>
      <selection pane="topRight" activeCell="G18" sqref="G18"/>
      <selection pane="bottomLeft" activeCell="G18" sqref="G18"/>
      <selection pane="bottomRight" activeCell="CM6" sqref="CM6"/>
    </sheetView>
  </sheetViews>
  <sheetFormatPr defaultRowHeight="12.3" x14ac:dyDescent="0.4"/>
  <cols>
    <col min="1" max="1" width="8.83984375" style="1"/>
    <col min="2" max="2" width="13.68359375" style="1" bestFit="1" customWidth="1"/>
    <col min="3" max="3" width="11.7890625" style="1" bestFit="1" customWidth="1"/>
    <col min="4" max="4" width="9.3125" style="2" bestFit="1" customWidth="1"/>
    <col min="5" max="5" width="9.3125" style="2" customWidth="1"/>
    <col min="6" max="6" width="11.578125" style="1" bestFit="1" customWidth="1"/>
    <col min="7" max="7" width="8.83984375" style="1"/>
    <col min="8" max="8" width="10.3671875" style="1" bestFit="1" customWidth="1"/>
    <col min="9" max="9" width="8.83984375" style="1"/>
    <col min="10" max="10" width="9.20703125" style="1" bestFit="1" customWidth="1"/>
    <col min="11" max="16384" width="8.83984375" style="1"/>
  </cols>
  <sheetData>
    <row r="1" spans="1:102" x14ac:dyDescent="0.4">
      <c r="A1" s="1" t="s">
        <v>0</v>
      </c>
      <c r="B1" s="1" t="s">
        <v>1</v>
      </c>
      <c r="C1" s="1" t="s">
        <v>1</v>
      </c>
      <c r="D1" s="2" t="s">
        <v>2</v>
      </c>
      <c r="E1" s="2" t="s">
        <v>3</v>
      </c>
      <c r="F1" s="1" t="s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</row>
    <row r="2" spans="1:102" x14ac:dyDescent="0.4">
      <c r="A2" s="1" t="s">
        <v>5</v>
      </c>
      <c r="B2" s="1" t="s">
        <v>6</v>
      </c>
      <c r="C2" s="1" t="s">
        <v>7</v>
      </c>
      <c r="D2" s="2">
        <v>42.195</v>
      </c>
      <c r="E2" s="2">
        <f>D2/(5280*0.3048/1000)</f>
        <v>26.218757456454306</v>
      </c>
      <c r="F2" s="1">
        <v>7299</v>
      </c>
      <c r="G2" s="1">
        <v>0.60560000000000003</v>
      </c>
      <c r="H2" s="1">
        <v>0.65959999999999996</v>
      </c>
      <c r="I2" s="1">
        <v>0.70960000000000001</v>
      </c>
      <c r="J2" s="1">
        <v>0.75560000000000005</v>
      </c>
      <c r="K2" s="1">
        <v>0.79759999999999998</v>
      </c>
      <c r="L2" s="1">
        <v>0.83560000000000001</v>
      </c>
      <c r="M2" s="1">
        <v>0.86960000000000004</v>
      </c>
      <c r="N2" s="1">
        <v>0.89959999999999996</v>
      </c>
      <c r="O2" s="1">
        <v>0.92559999999999998</v>
      </c>
      <c r="P2" s="1">
        <v>0.9476</v>
      </c>
      <c r="Q2" s="1">
        <v>0.96560000000000001</v>
      </c>
      <c r="R2" s="1">
        <v>0.97960000000000003</v>
      </c>
      <c r="S2" s="1">
        <v>0.99160000000000004</v>
      </c>
      <c r="T2" s="1">
        <v>0.99929999999999997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0.99980000000000002</v>
      </c>
      <c r="AI2" s="1">
        <v>0.99880000000000002</v>
      </c>
      <c r="AJ2" s="1">
        <v>0.99709999999999999</v>
      </c>
      <c r="AK2" s="1">
        <v>0.99450000000000005</v>
      </c>
      <c r="AL2" s="1">
        <v>0.99109999999999998</v>
      </c>
      <c r="AM2" s="1">
        <v>0.98699999999999999</v>
      </c>
      <c r="AN2" s="1">
        <v>0.98199999999999998</v>
      </c>
      <c r="AO2" s="1">
        <v>0.97619999999999996</v>
      </c>
      <c r="AP2" s="1">
        <v>0.96960000000000002</v>
      </c>
      <c r="AQ2" s="1">
        <v>0.96230000000000004</v>
      </c>
      <c r="AR2" s="1">
        <v>0.95450000000000002</v>
      </c>
      <c r="AS2" s="1">
        <v>0.94669999999999999</v>
      </c>
      <c r="AT2" s="1">
        <v>0.93889999999999996</v>
      </c>
      <c r="AU2" s="1">
        <v>0.93110000000000004</v>
      </c>
      <c r="AV2" s="1">
        <v>0.9234</v>
      </c>
      <c r="AW2" s="1">
        <v>0.91559999999999997</v>
      </c>
      <c r="AX2" s="1">
        <v>0.90780000000000005</v>
      </c>
      <c r="AY2" s="1">
        <v>0.9</v>
      </c>
      <c r="AZ2" s="1">
        <v>0.89219999999999999</v>
      </c>
      <c r="BA2" s="1">
        <v>0.88449999999999995</v>
      </c>
      <c r="BB2" s="1">
        <v>0.87670000000000003</v>
      </c>
      <c r="BC2" s="1">
        <v>0.86890000000000001</v>
      </c>
      <c r="BD2" s="1">
        <v>0.86109999999999998</v>
      </c>
      <c r="BE2" s="1">
        <v>0.85329999999999995</v>
      </c>
      <c r="BF2" s="1">
        <v>0.84560000000000002</v>
      </c>
      <c r="BG2" s="1">
        <v>0.83779999999999999</v>
      </c>
      <c r="BH2" s="1">
        <v>0.83</v>
      </c>
      <c r="BI2" s="1">
        <v>0.82220000000000004</v>
      </c>
      <c r="BJ2" s="1">
        <v>0.81440000000000001</v>
      </c>
      <c r="BK2" s="1">
        <v>0.80669999999999997</v>
      </c>
      <c r="BL2" s="1">
        <v>0.79890000000000005</v>
      </c>
      <c r="BM2" s="1">
        <v>0.79110000000000003</v>
      </c>
      <c r="BN2" s="1">
        <v>0.7833</v>
      </c>
      <c r="BO2" s="1">
        <v>0.77549999999999997</v>
      </c>
      <c r="BP2" s="1">
        <v>0.76780000000000004</v>
      </c>
      <c r="BQ2" s="1">
        <v>0.76</v>
      </c>
      <c r="BR2" s="1">
        <v>0.75219999999999998</v>
      </c>
      <c r="BS2" s="1">
        <v>0.74439999999999995</v>
      </c>
      <c r="BT2" s="1">
        <v>0.73660000000000003</v>
      </c>
      <c r="BU2" s="1">
        <v>0.72860000000000003</v>
      </c>
      <c r="BV2" s="1">
        <v>0.7198</v>
      </c>
      <c r="BW2" s="1">
        <v>0.71040000000000003</v>
      </c>
      <c r="BX2" s="1">
        <v>0.70020000000000004</v>
      </c>
      <c r="BY2" s="1">
        <v>0.68930000000000002</v>
      </c>
      <c r="BZ2" s="1">
        <v>0.67779999999999996</v>
      </c>
      <c r="CA2" s="1">
        <v>0.66549999999999998</v>
      </c>
      <c r="CB2" s="1">
        <v>0.65259999999999996</v>
      </c>
      <c r="CC2" s="1">
        <v>0.63890000000000002</v>
      </c>
      <c r="CD2" s="1">
        <v>0.62450000000000006</v>
      </c>
      <c r="CE2" s="1">
        <v>0.60950000000000004</v>
      </c>
      <c r="CF2" s="1">
        <v>0.59370000000000001</v>
      </c>
      <c r="CG2" s="1">
        <v>0.57730000000000004</v>
      </c>
      <c r="CH2" s="1">
        <v>0.56010000000000004</v>
      </c>
      <c r="CI2" s="1">
        <v>0.54220000000000002</v>
      </c>
      <c r="CJ2" s="1">
        <v>0.52370000000000005</v>
      </c>
      <c r="CK2" s="1">
        <v>0.50439999999999996</v>
      </c>
      <c r="CL2" s="1">
        <v>0.48449999999999999</v>
      </c>
      <c r="CM2" s="1">
        <v>0.46379999999999999</v>
      </c>
      <c r="CN2" s="1">
        <v>0.44240000000000002</v>
      </c>
      <c r="CO2" s="1">
        <v>0.4204</v>
      </c>
      <c r="CP2" s="1">
        <v>0.39760000000000001</v>
      </c>
      <c r="CQ2" s="1">
        <v>0.37419999999999998</v>
      </c>
      <c r="CR2" s="1">
        <v>0.35</v>
      </c>
      <c r="CS2" s="1">
        <v>0.3251</v>
      </c>
      <c r="CT2" s="1">
        <v>0.29959999999999998</v>
      </c>
      <c r="CU2" s="1">
        <v>0.27329999999999999</v>
      </c>
      <c r="CV2" s="1">
        <v>0.24640000000000001</v>
      </c>
      <c r="CW2" s="1">
        <v>0.21870000000000001</v>
      </c>
      <c r="CX2" s="1">
        <v>0.1903</v>
      </c>
    </row>
    <row r="3" spans="1:102" x14ac:dyDescent="0.4">
      <c r="A3" s="1" t="s">
        <v>8</v>
      </c>
      <c r="B3" s="1" t="s">
        <v>9</v>
      </c>
      <c r="C3" s="1" t="s">
        <v>7</v>
      </c>
      <c r="D3" s="2">
        <v>42.195</v>
      </c>
      <c r="E3" s="2">
        <f>D3/(5280*0.3048/1000)</f>
        <v>26.218757456454306</v>
      </c>
      <c r="F3" s="1">
        <v>8044</v>
      </c>
      <c r="G3" s="1">
        <v>0.67700000000000005</v>
      </c>
      <c r="H3" s="1">
        <v>0.71030000000000004</v>
      </c>
      <c r="I3" s="1">
        <v>0.74180000000000001</v>
      </c>
      <c r="J3" s="1">
        <v>0.77139999999999997</v>
      </c>
      <c r="K3" s="1">
        <v>0.79920000000000002</v>
      </c>
      <c r="L3" s="1">
        <v>0.82530000000000003</v>
      </c>
      <c r="M3" s="1">
        <v>0.84940000000000004</v>
      </c>
      <c r="N3" s="1">
        <v>0.87180000000000002</v>
      </c>
      <c r="O3" s="1">
        <v>0.89239999999999997</v>
      </c>
      <c r="P3" s="1">
        <v>0.91110000000000002</v>
      </c>
      <c r="Q3" s="1">
        <v>0.92800000000000005</v>
      </c>
      <c r="R3" s="1">
        <v>0.94399999999999995</v>
      </c>
      <c r="S3" s="1">
        <v>0.96</v>
      </c>
      <c r="T3" s="1">
        <v>0.97440000000000004</v>
      </c>
      <c r="U3" s="1">
        <v>0.98560000000000003</v>
      </c>
      <c r="V3" s="1">
        <v>0.99360000000000004</v>
      </c>
      <c r="W3" s="1">
        <v>0.99839999999999995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0.99990000000000001</v>
      </c>
      <c r="AI3" s="1">
        <v>0.99929999999999997</v>
      </c>
      <c r="AJ3" s="1">
        <v>0.99809999999999999</v>
      </c>
      <c r="AK3" s="1">
        <v>0.99609999999999999</v>
      </c>
      <c r="AL3" s="1">
        <v>0.99350000000000005</v>
      </c>
      <c r="AM3" s="1">
        <v>0.99019999999999997</v>
      </c>
      <c r="AN3" s="1">
        <v>0.98619999999999997</v>
      </c>
      <c r="AO3" s="1">
        <v>0.98150000000000004</v>
      </c>
      <c r="AP3" s="1">
        <v>0.97619999999999996</v>
      </c>
      <c r="AQ3" s="1">
        <v>0.97019999999999995</v>
      </c>
      <c r="AR3" s="1">
        <v>0.96350000000000002</v>
      </c>
      <c r="AS3" s="1">
        <v>0.95620000000000005</v>
      </c>
      <c r="AT3" s="1">
        <v>0.94820000000000004</v>
      </c>
      <c r="AU3" s="1">
        <v>0.9395</v>
      </c>
      <c r="AV3" s="1">
        <v>0.93010000000000004</v>
      </c>
      <c r="AW3" s="1">
        <v>0.92</v>
      </c>
      <c r="AX3" s="1">
        <v>0.9093</v>
      </c>
      <c r="AY3" s="1">
        <v>0.8982</v>
      </c>
      <c r="AZ3" s="1">
        <v>0.88719999999999999</v>
      </c>
      <c r="BA3" s="1">
        <v>0.87609999999999999</v>
      </c>
      <c r="BB3" s="1">
        <v>0.86509999999999998</v>
      </c>
      <c r="BC3" s="1">
        <v>0.85399999999999998</v>
      </c>
      <c r="BD3" s="1">
        <v>0.84289999999999998</v>
      </c>
      <c r="BE3" s="1">
        <v>0.83189999999999997</v>
      </c>
      <c r="BF3" s="1">
        <v>0.82079999999999997</v>
      </c>
      <c r="BG3" s="1">
        <v>0.80979999999999996</v>
      </c>
      <c r="BH3" s="1">
        <v>0.79869999999999997</v>
      </c>
      <c r="BI3" s="1">
        <v>0.78759999999999997</v>
      </c>
      <c r="BJ3" s="1">
        <v>0.77659999999999996</v>
      </c>
      <c r="BK3" s="1">
        <v>0.76549999999999996</v>
      </c>
      <c r="BL3" s="1">
        <v>0.75449999999999995</v>
      </c>
      <c r="BM3" s="1">
        <v>0.74339999999999995</v>
      </c>
      <c r="BN3" s="1">
        <v>0.73229999999999995</v>
      </c>
      <c r="BO3" s="1">
        <v>0.72130000000000005</v>
      </c>
      <c r="BP3" s="1">
        <v>0.71020000000000005</v>
      </c>
      <c r="BQ3" s="1">
        <v>0.69920000000000004</v>
      </c>
      <c r="BR3" s="1">
        <v>0.68810000000000004</v>
      </c>
      <c r="BS3" s="1">
        <v>0.67700000000000005</v>
      </c>
      <c r="BT3" s="1">
        <v>0.66600000000000004</v>
      </c>
      <c r="BU3" s="1">
        <v>0.65490000000000004</v>
      </c>
      <c r="BV3" s="1">
        <v>0.64390000000000003</v>
      </c>
      <c r="BW3" s="1">
        <v>0.63280000000000003</v>
      </c>
      <c r="BX3" s="1">
        <v>0.62170000000000003</v>
      </c>
      <c r="BY3" s="1">
        <v>0.61029999999999995</v>
      </c>
      <c r="BZ3" s="1">
        <v>0.59799999999999998</v>
      </c>
      <c r="CA3" s="1">
        <v>0.58499999999999996</v>
      </c>
      <c r="CB3" s="1">
        <v>0.57110000000000005</v>
      </c>
      <c r="CC3" s="1">
        <v>0.55640000000000001</v>
      </c>
      <c r="CD3" s="1">
        <v>0.54100000000000004</v>
      </c>
      <c r="CE3" s="1">
        <v>0.52470000000000006</v>
      </c>
      <c r="CF3" s="1">
        <v>0.50770000000000004</v>
      </c>
      <c r="CG3" s="1">
        <v>0.48980000000000001</v>
      </c>
      <c r="CH3" s="1">
        <v>0.47110000000000002</v>
      </c>
      <c r="CI3" s="1">
        <v>0.45169999999999999</v>
      </c>
      <c r="CJ3" s="1">
        <v>0.43140000000000001</v>
      </c>
      <c r="CK3" s="1">
        <v>0.41039999999999999</v>
      </c>
      <c r="CL3" s="1">
        <v>0.38850000000000001</v>
      </c>
      <c r="CM3" s="1">
        <v>0.36580000000000001</v>
      </c>
      <c r="CN3" s="1">
        <v>0.34239999999999998</v>
      </c>
      <c r="CO3" s="1">
        <v>0.31809999999999999</v>
      </c>
      <c r="CP3" s="1">
        <v>0.29310000000000003</v>
      </c>
      <c r="CQ3" s="1">
        <v>0.26719999999999999</v>
      </c>
      <c r="CR3" s="1">
        <v>0.24049999999999999</v>
      </c>
      <c r="CS3" s="1">
        <v>0.21310000000000001</v>
      </c>
      <c r="CT3" s="1">
        <v>0.18479999999999999</v>
      </c>
      <c r="CU3" s="1">
        <v>0.15579999999999999</v>
      </c>
      <c r="CV3" s="1">
        <v>0.12590000000000001</v>
      </c>
      <c r="CW3" s="1">
        <v>9.5200000000000007E-2</v>
      </c>
      <c r="CX3" s="1">
        <v>6.3799999999999996E-2</v>
      </c>
    </row>
    <row r="5" spans="1:102" x14ac:dyDescent="0.4">
      <c r="F5" s="3"/>
    </row>
    <row r="6" spans="1:102" ht="130.80000000000001" customHeight="1" x14ac:dyDescent="0.4">
      <c r="A6" s="62" t="s">
        <v>92</v>
      </c>
      <c r="B6" s="62"/>
      <c r="C6" s="62"/>
      <c r="D6" s="62"/>
      <c r="E6" s="62"/>
      <c r="F6" s="62"/>
      <c r="G6" s="47"/>
      <c r="H6" s="47"/>
      <c r="I6" s="47"/>
      <c r="J6" s="47"/>
      <c r="K6" s="47"/>
      <c r="L6" s="47"/>
      <c r="M6" s="47"/>
      <c r="N6" s="47"/>
    </row>
    <row r="8" spans="1:102" x14ac:dyDescent="0.4">
      <c r="J8" s="4"/>
    </row>
    <row r="10" spans="1:102" x14ac:dyDescent="0.4">
      <c r="H10" s="4"/>
    </row>
    <row r="11" spans="1:102" x14ac:dyDescent="0.4">
      <c r="H11" s="4"/>
    </row>
  </sheetData>
  <mergeCells count="1">
    <mergeCell ref="A6:F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Comparison of AG% of BQs</vt:lpstr>
      <vt:lpstr>BQs_over_time_AG20</vt:lpstr>
      <vt:lpstr>Age Maxes</vt:lpstr>
      <vt:lpstr>2020_Road Weights</vt:lpstr>
      <vt:lpstr>'2020_Road Weights'!Events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Anderson</dc:creator>
  <cp:lastModifiedBy>Erin Anderson</cp:lastModifiedBy>
  <dcterms:created xsi:type="dcterms:W3CDTF">2020-07-02T10:58:32Z</dcterms:created>
  <dcterms:modified xsi:type="dcterms:W3CDTF">2020-07-05T23:49:00Z</dcterms:modified>
</cp:coreProperties>
</file>