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erinm\Documents\nss-capstone\Too_Large\"/>
    </mc:Choice>
  </mc:AlternateContent>
  <xr:revisionPtr revIDLastSave="0" documentId="13_ncr:1_{1829CDAF-D4F9-4497-86D0-79F5027AAF5E}" xr6:coauthVersionLast="44" xr6:coauthVersionMax="44" xr10:uidLastSave="{00000000-0000-0000-0000-000000000000}"/>
  <bookViews>
    <workbookView xWindow="-96" yWindow="-96" windowWidth="23232" windowHeight="12552" tabRatio="907" activeTab="5" xr2:uid="{F1871A3E-E044-4488-9526-323BEB482DF1}"/>
  </bookViews>
  <sheets>
    <sheet name="ARRS Marathon SARs (formatted)" sheetId="8" r:id="rId1"/>
    <sheet name="Chart for PowerPoint" sheetId="2" r:id="rId2"/>
    <sheet name="Other Marathon Records" sheetId="1" r:id="rId3"/>
    <sheet name="ARRS Marathon SARs (original)" sheetId="7" r:id="rId4"/>
    <sheet name="2015_Road Weights" sheetId="5" r:id="rId5"/>
    <sheet name="SAR vs 2020AS" sheetId="10" r:id="rId6"/>
  </sheets>
  <externalReferences>
    <externalReference r:id="rId7"/>
    <externalReference r:id="rId8"/>
    <externalReference r:id="rId9"/>
    <externalReference r:id="rId10"/>
  </externalReferences>
  <definedNames>
    <definedName name="_2020_cutoff_margin" localSheetId="4">[1]BQs_over_time!$P$1</definedName>
    <definedName name="_2020_cutoff_margin">[1]BQs_over_time!$P$1</definedName>
    <definedName name="bos_09_total" localSheetId="4">[1]basic_metrics_by_race!$B$4</definedName>
    <definedName name="bos_09_total">[1]basic_metrics_by_race!$B$4</definedName>
    <definedName name="bos_19_total" localSheetId="4">[1]basic_metrics_by_race!$J$4</definedName>
    <definedName name="bos_19_total">[1]basic_metrics_by_race!$J$4</definedName>
    <definedName name="bos_combo_total" localSheetId="4">[1]basic_metrics_by_race!$R$4</definedName>
    <definedName name="bos_combo_total">[1]basic_metrics_by_race!$R$4</definedName>
    <definedName name="Events" localSheetId="4">'2015_Road Weights'!$C$2:$C$2</definedName>
    <definedName name="Events">#REF!</definedName>
    <definedName name="F_OS_15">[2]Age_Factors!$M$12</definedName>
    <definedName name="F_OS_20">[2]Age_Factors!$L$12</definedName>
    <definedName name="Female_2015_Open_Standard">'SAR vs 2020AS'!$G$3</definedName>
    <definedName name="Female_2020_Open_Standard">'SAR vs 2020AS'!$G$4</definedName>
    <definedName name="M_OS_15">[2]Age_Factors!$M$13</definedName>
    <definedName name="M_OS_20">[2]Age_Factors!$L$13</definedName>
    <definedName name="Male_2015_Open_Standard">'SAR vs 2020AS'!$H$3</definedName>
    <definedName name="Male_2020_Open_Standard">'SAR vs 2020AS'!$G$3</definedName>
    <definedName name="rev_d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10" l="1"/>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7" i="10"/>
  <c r="D4" i="10"/>
  <c r="D3" i="10"/>
  <c r="M8" i="10"/>
  <c r="N8" i="10" s="1"/>
  <c r="O8" i="10" s="1"/>
  <c r="M9" i="10"/>
  <c r="N9" i="10" s="1"/>
  <c r="O9" i="10" s="1"/>
  <c r="M10" i="10"/>
  <c r="N10" i="10" s="1"/>
  <c r="O10" i="10" s="1"/>
  <c r="M11" i="10"/>
  <c r="N11" i="10" s="1"/>
  <c r="O11" i="10" s="1"/>
  <c r="M12" i="10"/>
  <c r="N12" i="10" s="1"/>
  <c r="O12" i="10" s="1"/>
  <c r="M13" i="10"/>
  <c r="N13" i="10" s="1"/>
  <c r="O13" i="10" s="1"/>
  <c r="M14" i="10"/>
  <c r="N14" i="10" s="1"/>
  <c r="O14" i="10" s="1"/>
  <c r="M15" i="10"/>
  <c r="N15" i="10" s="1"/>
  <c r="O15" i="10" s="1"/>
  <c r="M16" i="10"/>
  <c r="N16" i="10" s="1"/>
  <c r="O16" i="10" s="1"/>
  <c r="M17" i="10"/>
  <c r="N17" i="10" s="1"/>
  <c r="O17" i="10" s="1"/>
  <c r="M18" i="10"/>
  <c r="N18" i="10" s="1"/>
  <c r="O18" i="10" s="1"/>
  <c r="M19" i="10"/>
  <c r="N19" i="10" s="1"/>
  <c r="O19" i="10" s="1"/>
  <c r="M20" i="10"/>
  <c r="N20" i="10" s="1"/>
  <c r="O20" i="10" s="1"/>
  <c r="M21" i="10"/>
  <c r="N21" i="10" s="1"/>
  <c r="O21" i="10" s="1"/>
  <c r="M22" i="10"/>
  <c r="N22" i="10" s="1"/>
  <c r="O22" i="10" s="1"/>
  <c r="M23" i="10"/>
  <c r="N23" i="10" s="1"/>
  <c r="O23" i="10" s="1"/>
  <c r="M24" i="10"/>
  <c r="N24" i="10" s="1"/>
  <c r="O24" i="10" s="1"/>
  <c r="M25" i="10"/>
  <c r="N25" i="10" s="1"/>
  <c r="O25" i="10" s="1"/>
  <c r="M26" i="10"/>
  <c r="N26" i="10" s="1"/>
  <c r="O26" i="10" s="1"/>
  <c r="M27" i="10"/>
  <c r="N27" i="10" s="1"/>
  <c r="O27" i="10" s="1"/>
  <c r="M28" i="10"/>
  <c r="N28" i="10" s="1"/>
  <c r="O28" i="10" s="1"/>
  <c r="M29" i="10"/>
  <c r="N29" i="10" s="1"/>
  <c r="O29" i="10" s="1"/>
  <c r="M30" i="10"/>
  <c r="N30" i="10" s="1"/>
  <c r="O30" i="10" s="1"/>
  <c r="M31" i="10"/>
  <c r="N31" i="10" s="1"/>
  <c r="O31" i="10" s="1"/>
  <c r="M32" i="10"/>
  <c r="N32" i="10" s="1"/>
  <c r="O32" i="10" s="1"/>
  <c r="M33" i="10"/>
  <c r="N33" i="10" s="1"/>
  <c r="O33" i="10" s="1"/>
  <c r="M34" i="10"/>
  <c r="N34" i="10" s="1"/>
  <c r="O34" i="10" s="1"/>
  <c r="M35" i="10"/>
  <c r="N35" i="10" s="1"/>
  <c r="O35" i="10" s="1"/>
  <c r="M36" i="10"/>
  <c r="N36" i="10" s="1"/>
  <c r="O36" i="10" s="1"/>
  <c r="M37" i="10"/>
  <c r="N37" i="10" s="1"/>
  <c r="O37" i="10" s="1"/>
  <c r="M38" i="10"/>
  <c r="N38" i="10" s="1"/>
  <c r="O38" i="10" s="1"/>
  <c r="M39" i="10"/>
  <c r="N39" i="10" s="1"/>
  <c r="O39" i="10" s="1"/>
  <c r="M40" i="10"/>
  <c r="N40" i="10" s="1"/>
  <c r="O40" i="10" s="1"/>
  <c r="M41" i="10"/>
  <c r="N41" i="10" s="1"/>
  <c r="O41" i="10" s="1"/>
  <c r="M42" i="10"/>
  <c r="N42" i="10" s="1"/>
  <c r="O42" i="10" s="1"/>
  <c r="M43" i="10"/>
  <c r="N43" i="10" s="1"/>
  <c r="O43" i="10" s="1"/>
  <c r="M44" i="10"/>
  <c r="N44" i="10" s="1"/>
  <c r="O44" i="10" s="1"/>
  <c r="M45" i="10"/>
  <c r="N45" i="10" s="1"/>
  <c r="O45" i="10" s="1"/>
  <c r="M46" i="10"/>
  <c r="N46" i="10" s="1"/>
  <c r="O46" i="10" s="1"/>
  <c r="M47" i="10"/>
  <c r="N47" i="10" s="1"/>
  <c r="O47" i="10" s="1"/>
  <c r="M48" i="10"/>
  <c r="N48" i="10" s="1"/>
  <c r="O48" i="10" s="1"/>
  <c r="M49" i="10"/>
  <c r="N49" i="10" s="1"/>
  <c r="O49" i="10" s="1"/>
  <c r="M50" i="10"/>
  <c r="N50" i="10" s="1"/>
  <c r="O50" i="10" s="1"/>
  <c r="M51" i="10"/>
  <c r="N51" i="10" s="1"/>
  <c r="O51" i="10" s="1"/>
  <c r="M52" i="10"/>
  <c r="N52" i="10" s="1"/>
  <c r="O52" i="10" s="1"/>
  <c r="M53" i="10"/>
  <c r="N53" i="10" s="1"/>
  <c r="O53" i="10" s="1"/>
  <c r="M54" i="10"/>
  <c r="N54" i="10" s="1"/>
  <c r="O54" i="10" s="1"/>
  <c r="M55" i="10"/>
  <c r="N55" i="10" s="1"/>
  <c r="O55" i="10" s="1"/>
  <c r="M56" i="10"/>
  <c r="N56" i="10" s="1"/>
  <c r="O56" i="10" s="1"/>
  <c r="M57" i="10"/>
  <c r="N57" i="10" s="1"/>
  <c r="O57" i="10" s="1"/>
  <c r="M58" i="10"/>
  <c r="N58" i="10" s="1"/>
  <c r="O58" i="10" s="1"/>
  <c r="M59" i="10"/>
  <c r="N59" i="10" s="1"/>
  <c r="O59" i="10" s="1"/>
  <c r="M60" i="10"/>
  <c r="N60" i="10" s="1"/>
  <c r="O60" i="10" s="1"/>
  <c r="M61" i="10"/>
  <c r="N61" i="10" s="1"/>
  <c r="O61" i="10" s="1"/>
  <c r="M62" i="10"/>
  <c r="N62" i="10" s="1"/>
  <c r="O62" i="10" s="1"/>
  <c r="M63" i="10"/>
  <c r="N63" i="10" s="1"/>
  <c r="O63" i="10" s="1"/>
  <c r="M64" i="10"/>
  <c r="N64" i="10" s="1"/>
  <c r="O64" i="10" s="1"/>
  <c r="M65" i="10"/>
  <c r="N65" i="10" s="1"/>
  <c r="O65" i="10" s="1"/>
  <c r="M66" i="10"/>
  <c r="N66" i="10" s="1"/>
  <c r="O66" i="10" s="1"/>
  <c r="M67" i="10"/>
  <c r="N67" i="10" s="1"/>
  <c r="O67" i="10" s="1"/>
  <c r="M68" i="10"/>
  <c r="N68" i="10" s="1"/>
  <c r="O68" i="10" s="1"/>
  <c r="M69" i="10"/>
  <c r="N69" i="10" s="1"/>
  <c r="O69" i="10" s="1"/>
  <c r="M70" i="10"/>
  <c r="N70" i="10" s="1"/>
  <c r="O70" i="10" s="1"/>
  <c r="M71" i="10"/>
  <c r="N71" i="10" s="1"/>
  <c r="O71" i="10" s="1"/>
  <c r="M72" i="10"/>
  <c r="N72" i="10" s="1"/>
  <c r="O72" i="10" s="1"/>
  <c r="M73" i="10"/>
  <c r="N73" i="10" s="1"/>
  <c r="O73" i="10" s="1"/>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7" i="10"/>
  <c r="N7" i="10" s="1"/>
  <c r="O7" i="10" s="1"/>
  <c r="K8" i="10" l="1"/>
  <c r="L8" i="10" s="1"/>
  <c r="K9" i="10"/>
  <c r="L9" i="10" s="1"/>
  <c r="K10" i="10"/>
  <c r="L10" i="10" s="1"/>
  <c r="K11" i="10"/>
  <c r="L11" i="10" s="1"/>
  <c r="K12" i="10"/>
  <c r="L12" i="10" s="1"/>
  <c r="K13" i="10"/>
  <c r="L13" i="10" s="1"/>
  <c r="K14" i="10"/>
  <c r="L14" i="10" s="1"/>
  <c r="K15" i="10"/>
  <c r="L15" i="10" s="1"/>
  <c r="K16" i="10"/>
  <c r="L16" i="10" s="1"/>
  <c r="K17" i="10"/>
  <c r="L17" i="10" s="1"/>
  <c r="K18" i="10"/>
  <c r="L18" i="10" s="1"/>
  <c r="K19" i="10"/>
  <c r="L19" i="10" s="1"/>
  <c r="K20" i="10"/>
  <c r="L20" i="10" s="1"/>
  <c r="K21" i="10"/>
  <c r="L21" i="10" s="1"/>
  <c r="K22" i="10"/>
  <c r="L22" i="10" s="1"/>
  <c r="K23" i="10"/>
  <c r="L23" i="10" s="1"/>
  <c r="K24" i="10"/>
  <c r="L24" i="10" s="1"/>
  <c r="K25" i="10"/>
  <c r="L25" i="10" s="1"/>
  <c r="K26" i="10"/>
  <c r="L26" i="10" s="1"/>
  <c r="K27" i="10"/>
  <c r="L27" i="10" s="1"/>
  <c r="K28" i="10"/>
  <c r="L28" i="10" s="1"/>
  <c r="K29" i="10"/>
  <c r="L29" i="10" s="1"/>
  <c r="K30" i="10"/>
  <c r="L30" i="10" s="1"/>
  <c r="K31" i="10"/>
  <c r="L31" i="10" s="1"/>
  <c r="K32" i="10"/>
  <c r="L32" i="10" s="1"/>
  <c r="K33" i="10"/>
  <c r="L33" i="10" s="1"/>
  <c r="K34" i="10"/>
  <c r="L34" i="10" s="1"/>
  <c r="K35" i="10"/>
  <c r="L35" i="10" s="1"/>
  <c r="K36" i="10"/>
  <c r="L36" i="10" s="1"/>
  <c r="K37" i="10"/>
  <c r="L37" i="10" s="1"/>
  <c r="K38" i="10"/>
  <c r="L38" i="10" s="1"/>
  <c r="K39" i="10"/>
  <c r="L39" i="10" s="1"/>
  <c r="K40" i="10"/>
  <c r="L40" i="10" s="1"/>
  <c r="K41" i="10"/>
  <c r="L41" i="10" s="1"/>
  <c r="K42" i="10"/>
  <c r="L42" i="10" s="1"/>
  <c r="K43" i="10"/>
  <c r="L43" i="10" s="1"/>
  <c r="K44" i="10"/>
  <c r="L44" i="10" s="1"/>
  <c r="K45" i="10"/>
  <c r="L45" i="10" s="1"/>
  <c r="K46" i="10"/>
  <c r="L46" i="10" s="1"/>
  <c r="K47" i="10"/>
  <c r="L47" i="10" s="1"/>
  <c r="K48" i="10"/>
  <c r="L48" i="10" s="1"/>
  <c r="K49" i="10"/>
  <c r="L49" i="10" s="1"/>
  <c r="K50" i="10"/>
  <c r="L50" i="10" s="1"/>
  <c r="K51" i="10"/>
  <c r="L51" i="10" s="1"/>
  <c r="K52" i="10"/>
  <c r="L52" i="10" s="1"/>
  <c r="K53" i="10"/>
  <c r="L53" i="10" s="1"/>
  <c r="K54" i="10"/>
  <c r="L54" i="10" s="1"/>
  <c r="K55" i="10"/>
  <c r="L55" i="10" s="1"/>
  <c r="K56" i="10"/>
  <c r="L56" i="10" s="1"/>
  <c r="K57" i="10"/>
  <c r="L57" i="10" s="1"/>
  <c r="K58" i="10"/>
  <c r="L58" i="10" s="1"/>
  <c r="K59" i="10"/>
  <c r="L59" i="10" s="1"/>
  <c r="K60" i="10"/>
  <c r="L60" i="10" s="1"/>
  <c r="K61" i="10"/>
  <c r="L61" i="10" s="1"/>
  <c r="K62" i="10"/>
  <c r="L62" i="10" s="1"/>
  <c r="K63" i="10"/>
  <c r="L63" i="10" s="1"/>
  <c r="K64" i="10"/>
  <c r="L64" i="10" s="1"/>
  <c r="K65" i="10"/>
  <c r="L65" i="10" s="1"/>
  <c r="K66" i="10"/>
  <c r="L66" i="10" s="1"/>
  <c r="K67" i="10"/>
  <c r="L67" i="10" s="1"/>
  <c r="K68" i="10"/>
  <c r="L68" i="10" s="1"/>
  <c r="K69" i="10"/>
  <c r="L69" i="10" s="1"/>
  <c r="K70" i="10"/>
  <c r="L70" i="10" s="1"/>
  <c r="K71" i="10"/>
  <c r="L71" i="10" s="1"/>
  <c r="K72" i="10"/>
  <c r="L72" i="10" s="1"/>
  <c r="K73" i="10"/>
  <c r="L73" i="10" s="1"/>
  <c r="K74" i="10"/>
  <c r="L74" i="10" s="1"/>
  <c r="K75" i="10"/>
  <c r="L75" i="10" s="1"/>
  <c r="K76" i="10"/>
  <c r="L76" i="10" s="1"/>
  <c r="K77" i="10"/>
  <c r="L77" i="10" s="1"/>
  <c r="K78" i="10"/>
  <c r="L78" i="10" s="1"/>
  <c r="K79" i="10"/>
  <c r="L79" i="10" s="1"/>
  <c r="K80" i="10"/>
  <c r="L80" i="10" s="1"/>
  <c r="K81" i="10"/>
  <c r="L81" i="10" s="1"/>
  <c r="K82" i="10"/>
  <c r="L82" i="10" s="1"/>
  <c r="K83" i="10"/>
  <c r="L83" i="10" s="1"/>
  <c r="K84" i="10"/>
  <c r="L84" i="10" s="1"/>
  <c r="K85" i="10"/>
  <c r="L85" i="10" s="1"/>
  <c r="K86" i="10"/>
  <c r="L86" i="10" s="1"/>
  <c r="K87" i="10"/>
  <c r="L87" i="10" s="1"/>
  <c r="K88" i="10"/>
  <c r="L88" i="10" s="1"/>
  <c r="K89" i="10"/>
  <c r="L89" i="10" s="1"/>
  <c r="K90" i="10"/>
  <c r="L90" i="10" s="1"/>
  <c r="K91" i="10"/>
  <c r="L91" i="10" s="1"/>
  <c r="K92" i="10"/>
  <c r="L92" i="10" s="1"/>
  <c r="K93" i="10"/>
  <c r="L93" i="10" s="1"/>
  <c r="K94" i="10"/>
  <c r="L94" i="10" s="1"/>
  <c r="K95" i="10"/>
  <c r="L95" i="10" s="1"/>
  <c r="K96" i="10"/>
  <c r="L96" i="10" s="1"/>
  <c r="K97" i="10"/>
  <c r="L97" i="10" s="1"/>
  <c r="K98" i="10"/>
  <c r="L98" i="10" s="1"/>
  <c r="K99" i="10"/>
  <c r="L99" i="10" s="1"/>
  <c r="K100" i="10"/>
  <c r="L100" i="10" s="1"/>
  <c r="K101" i="10"/>
  <c r="L101" i="10" s="1"/>
  <c r="K102" i="10"/>
  <c r="L102" i="10" s="1"/>
  <c r="K103" i="10"/>
  <c r="L103" i="10" s="1"/>
  <c r="K104" i="10"/>
  <c r="L104" i="10" s="1"/>
  <c r="K105" i="10"/>
  <c r="L105" i="10" s="1"/>
  <c r="K106" i="10"/>
  <c r="L106" i="10" s="1"/>
  <c r="K107" i="10"/>
  <c r="L107" i="10" s="1"/>
  <c r="K108" i="10"/>
  <c r="L108" i="10" s="1"/>
  <c r="K109" i="10"/>
  <c r="L109" i="10" s="1"/>
  <c r="K110" i="10"/>
  <c r="L110" i="10" s="1"/>
  <c r="K111" i="10"/>
  <c r="L111" i="10" s="1"/>
  <c r="K112" i="10"/>
  <c r="L112" i="10" s="1"/>
  <c r="K113" i="10"/>
  <c r="L113" i="10" s="1"/>
  <c r="K114" i="10"/>
  <c r="L114" i="10" s="1"/>
  <c r="K115" i="10"/>
  <c r="L115" i="10" s="1"/>
  <c r="K116" i="10"/>
  <c r="L116" i="10" s="1"/>
  <c r="K117" i="10"/>
  <c r="L117" i="10" s="1"/>
  <c r="K118" i="10"/>
  <c r="L118" i="10" s="1"/>
  <c r="K119" i="10"/>
  <c r="L119" i="10" s="1"/>
  <c r="K120" i="10"/>
  <c r="L120" i="10" s="1"/>
  <c r="K121" i="10"/>
  <c r="L121" i="10" s="1"/>
  <c r="K122" i="10"/>
  <c r="L122" i="10" s="1"/>
  <c r="K123" i="10"/>
  <c r="L123" i="10" s="1"/>
  <c r="K124" i="10"/>
  <c r="L124" i="10" s="1"/>
  <c r="K125" i="10"/>
  <c r="L125" i="10" s="1"/>
  <c r="K126" i="10"/>
  <c r="L126" i="10" s="1"/>
  <c r="K127" i="10"/>
  <c r="L127" i="10" s="1"/>
  <c r="K128" i="10"/>
  <c r="L128" i="10" s="1"/>
  <c r="K129" i="10"/>
  <c r="L129" i="10" s="1"/>
  <c r="K130" i="10"/>
  <c r="L130" i="10" s="1"/>
  <c r="K131" i="10"/>
  <c r="L131" i="10" s="1"/>
  <c r="K132" i="10"/>
  <c r="L132" i="10" s="1"/>
  <c r="K133" i="10"/>
  <c r="L133" i="10" s="1"/>
  <c r="K134" i="10"/>
  <c r="L134" i="10" s="1"/>
  <c r="K135" i="10"/>
  <c r="L135" i="10" s="1"/>
  <c r="K136" i="10"/>
  <c r="L136" i="10" s="1"/>
  <c r="K137" i="10"/>
  <c r="L137" i="10" s="1"/>
  <c r="K138" i="10"/>
  <c r="L138" i="10" s="1"/>
  <c r="K139" i="10"/>
  <c r="L139" i="10" s="1"/>
  <c r="K140" i="10"/>
  <c r="L140" i="10" s="1"/>
  <c r="K7" i="10"/>
  <c r="L7" i="10" s="1"/>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7" i="10"/>
  <c r="G4" i="10"/>
  <c r="G3"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G75" i="10" s="1"/>
  <c r="H75" i="10" s="1"/>
  <c r="F76" i="10"/>
  <c r="G76" i="10" s="1"/>
  <c r="H76" i="10" s="1"/>
  <c r="F77" i="10"/>
  <c r="G77" i="10" s="1"/>
  <c r="H77" i="10" s="1"/>
  <c r="F78" i="10"/>
  <c r="F79" i="10"/>
  <c r="F80" i="10"/>
  <c r="G80" i="10" s="1"/>
  <c r="H80" i="10" s="1"/>
  <c r="F81" i="10"/>
  <c r="G81" i="10" s="1"/>
  <c r="H81" i="10" s="1"/>
  <c r="F82" i="10"/>
  <c r="F83" i="10"/>
  <c r="G83" i="10" s="1"/>
  <c r="H83" i="10" s="1"/>
  <c r="F84" i="10"/>
  <c r="G84" i="10" s="1"/>
  <c r="H84" i="10" s="1"/>
  <c r="F85" i="10"/>
  <c r="G85" i="10" s="1"/>
  <c r="H85" i="10" s="1"/>
  <c r="F86" i="10"/>
  <c r="F87" i="10"/>
  <c r="F88" i="10"/>
  <c r="G88" i="10" s="1"/>
  <c r="H88" i="10" s="1"/>
  <c r="F89" i="10"/>
  <c r="G89" i="10" s="1"/>
  <c r="H89" i="10" s="1"/>
  <c r="F90" i="10"/>
  <c r="F91" i="10"/>
  <c r="G91" i="10" s="1"/>
  <c r="H91" i="10" s="1"/>
  <c r="F92" i="10"/>
  <c r="G92" i="10" s="1"/>
  <c r="H92" i="10" s="1"/>
  <c r="F93" i="10"/>
  <c r="G93" i="10" s="1"/>
  <c r="H93" i="10" s="1"/>
  <c r="F94" i="10"/>
  <c r="F95" i="10"/>
  <c r="F96" i="10"/>
  <c r="G96" i="10" s="1"/>
  <c r="H96" i="10" s="1"/>
  <c r="F97" i="10"/>
  <c r="G97" i="10" s="1"/>
  <c r="H97" i="10" s="1"/>
  <c r="F98" i="10"/>
  <c r="F99" i="10"/>
  <c r="G99" i="10" s="1"/>
  <c r="H99" i="10" s="1"/>
  <c r="F100" i="10"/>
  <c r="G100" i="10" s="1"/>
  <c r="H100" i="10" s="1"/>
  <c r="F101" i="10"/>
  <c r="G101" i="10" s="1"/>
  <c r="H101" i="10" s="1"/>
  <c r="F102" i="10"/>
  <c r="F103" i="10"/>
  <c r="F104" i="10"/>
  <c r="G104" i="10" s="1"/>
  <c r="H104" i="10" s="1"/>
  <c r="F105" i="10"/>
  <c r="G105" i="10" s="1"/>
  <c r="H105" i="10" s="1"/>
  <c r="F106" i="10"/>
  <c r="F107" i="10"/>
  <c r="G107" i="10" s="1"/>
  <c r="H107" i="10" s="1"/>
  <c r="F108" i="10"/>
  <c r="G108" i="10" s="1"/>
  <c r="H108" i="10" s="1"/>
  <c r="F109" i="10"/>
  <c r="G109" i="10" s="1"/>
  <c r="H109" i="10" s="1"/>
  <c r="F110" i="10"/>
  <c r="F111" i="10"/>
  <c r="F112" i="10"/>
  <c r="G112" i="10" s="1"/>
  <c r="H112" i="10" s="1"/>
  <c r="F113" i="10"/>
  <c r="G113" i="10" s="1"/>
  <c r="H113" i="10" s="1"/>
  <c r="F114" i="10"/>
  <c r="F115" i="10"/>
  <c r="G115" i="10" s="1"/>
  <c r="H115" i="10" s="1"/>
  <c r="F116" i="10"/>
  <c r="G116" i="10" s="1"/>
  <c r="H116" i="10" s="1"/>
  <c r="F117" i="10"/>
  <c r="G117" i="10" s="1"/>
  <c r="H117" i="10" s="1"/>
  <c r="F118" i="10"/>
  <c r="F119" i="10"/>
  <c r="F120" i="10"/>
  <c r="G120" i="10" s="1"/>
  <c r="H120" i="10" s="1"/>
  <c r="F121" i="10"/>
  <c r="G121" i="10" s="1"/>
  <c r="H121" i="10" s="1"/>
  <c r="F122" i="10"/>
  <c r="F123" i="10"/>
  <c r="G123" i="10" s="1"/>
  <c r="H123" i="10" s="1"/>
  <c r="F124" i="10"/>
  <c r="G124" i="10" s="1"/>
  <c r="H124" i="10" s="1"/>
  <c r="F125" i="10"/>
  <c r="G125" i="10" s="1"/>
  <c r="H125" i="10" s="1"/>
  <c r="F126" i="10"/>
  <c r="F127" i="10"/>
  <c r="F128" i="10"/>
  <c r="G128" i="10" s="1"/>
  <c r="H128" i="10" s="1"/>
  <c r="F129" i="10"/>
  <c r="G129" i="10" s="1"/>
  <c r="H129" i="10" s="1"/>
  <c r="F130" i="10"/>
  <c r="F131" i="10"/>
  <c r="G131" i="10" s="1"/>
  <c r="H131" i="10" s="1"/>
  <c r="F132" i="10"/>
  <c r="G132" i="10" s="1"/>
  <c r="H132" i="10" s="1"/>
  <c r="F133" i="10"/>
  <c r="G133" i="10" s="1"/>
  <c r="H133" i="10" s="1"/>
  <c r="F134" i="10"/>
  <c r="F135" i="10"/>
  <c r="F136" i="10"/>
  <c r="G136" i="10" s="1"/>
  <c r="H136" i="10" s="1"/>
  <c r="F137" i="10"/>
  <c r="G137" i="10" s="1"/>
  <c r="H137" i="10" s="1"/>
  <c r="F138" i="10"/>
  <c r="F139" i="10"/>
  <c r="G139" i="10" s="1"/>
  <c r="H139" i="10" s="1"/>
  <c r="F140" i="10"/>
  <c r="G140" i="10" s="1"/>
  <c r="H140" i="10" s="1"/>
  <c r="F7" i="10"/>
  <c r="N74" i="10" l="1"/>
  <c r="O74" i="10" s="1"/>
  <c r="N82" i="10"/>
  <c r="O82" i="10" s="1"/>
  <c r="N90" i="10"/>
  <c r="O90" i="10" s="1"/>
  <c r="N98" i="10"/>
  <c r="O98" i="10" s="1"/>
  <c r="N106" i="10"/>
  <c r="O106" i="10" s="1"/>
  <c r="N114" i="10"/>
  <c r="O114" i="10" s="1"/>
  <c r="N122" i="10"/>
  <c r="O122" i="10" s="1"/>
  <c r="N130" i="10"/>
  <c r="O130" i="10" s="1"/>
  <c r="N138" i="10"/>
  <c r="O138" i="10" s="1"/>
  <c r="N101" i="10"/>
  <c r="O101" i="10" s="1"/>
  <c r="N75" i="10"/>
  <c r="O75" i="10" s="1"/>
  <c r="N83" i="10"/>
  <c r="O83" i="10" s="1"/>
  <c r="N91" i="10"/>
  <c r="O91" i="10" s="1"/>
  <c r="N99" i="10"/>
  <c r="O99" i="10" s="1"/>
  <c r="N107" i="10"/>
  <c r="O107" i="10" s="1"/>
  <c r="N115" i="10"/>
  <c r="O115" i="10" s="1"/>
  <c r="N123" i="10"/>
  <c r="O123" i="10" s="1"/>
  <c r="N131" i="10"/>
  <c r="O131" i="10" s="1"/>
  <c r="N139" i="10"/>
  <c r="O139" i="10" s="1"/>
  <c r="N85" i="10"/>
  <c r="O85" i="10" s="1"/>
  <c r="N76" i="10"/>
  <c r="O76" i="10" s="1"/>
  <c r="N84" i="10"/>
  <c r="O84" i="10" s="1"/>
  <c r="N92" i="10"/>
  <c r="O92" i="10" s="1"/>
  <c r="N100" i="10"/>
  <c r="O100" i="10" s="1"/>
  <c r="N108" i="10"/>
  <c r="O108" i="10" s="1"/>
  <c r="N116" i="10"/>
  <c r="O116" i="10" s="1"/>
  <c r="N124" i="10"/>
  <c r="O124" i="10" s="1"/>
  <c r="N132" i="10"/>
  <c r="O132" i="10" s="1"/>
  <c r="N140" i="10"/>
  <c r="O140" i="10" s="1"/>
  <c r="N93" i="10"/>
  <c r="O93" i="10" s="1"/>
  <c r="N117" i="10"/>
  <c r="O117" i="10" s="1"/>
  <c r="N78" i="10"/>
  <c r="O78" i="10" s="1"/>
  <c r="N86" i="10"/>
  <c r="O86" i="10" s="1"/>
  <c r="N94" i="10"/>
  <c r="O94" i="10" s="1"/>
  <c r="N102" i="10"/>
  <c r="O102" i="10" s="1"/>
  <c r="N110" i="10"/>
  <c r="O110" i="10" s="1"/>
  <c r="N118" i="10"/>
  <c r="O118" i="10" s="1"/>
  <c r="N126" i="10"/>
  <c r="O126" i="10" s="1"/>
  <c r="N134" i="10"/>
  <c r="O134" i="10" s="1"/>
  <c r="N109" i="10"/>
  <c r="O109" i="10" s="1"/>
  <c r="N79" i="10"/>
  <c r="O79" i="10" s="1"/>
  <c r="N87" i="10"/>
  <c r="O87" i="10" s="1"/>
  <c r="N95" i="10"/>
  <c r="O95" i="10" s="1"/>
  <c r="N103" i="10"/>
  <c r="O103" i="10" s="1"/>
  <c r="N111" i="10"/>
  <c r="O111" i="10" s="1"/>
  <c r="N119" i="10"/>
  <c r="O119" i="10" s="1"/>
  <c r="N127" i="10"/>
  <c r="O127" i="10" s="1"/>
  <c r="N135" i="10"/>
  <c r="O135" i="10" s="1"/>
  <c r="N133" i="10"/>
  <c r="O133" i="10" s="1"/>
  <c r="N80" i="10"/>
  <c r="O80" i="10" s="1"/>
  <c r="N88" i="10"/>
  <c r="O88" i="10" s="1"/>
  <c r="N96" i="10"/>
  <c r="O96" i="10" s="1"/>
  <c r="N104" i="10"/>
  <c r="O104" i="10" s="1"/>
  <c r="N112" i="10"/>
  <c r="O112" i="10" s="1"/>
  <c r="N120" i="10"/>
  <c r="O120" i="10" s="1"/>
  <c r="N128" i="10"/>
  <c r="O128" i="10" s="1"/>
  <c r="N136" i="10"/>
  <c r="O136" i="10" s="1"/>
  <c r="N125" i="10"/>
  <c r="O125" i="10" s="1"/>
  <c r="N81" i="10"/>
  <c r="O81" i="10" s="1"/>
  <c r="N89" i="10"/>
  <c r="O89" i="10" s="1"/>
  <c r="N97" i="10"/>
  <c r="O97" i="10" s="1"/>
  <c r="N105" i="10"/>
  <c r="O105" i="10" s="1"/>
  <c r="N113" i="10"/>
  <c r="O113" i="10" s="1"/>
  <c r="N121" i="10"/>
  <c r="O121" i="10" s="1"/>
  <c r="N129" i="10"/>
  <c r="O129" i="10" s="1"/>
  <c r="N137" i="10"/>
  <c r="O137" i="10" s="1"/>
  <c r="N77" i="10"/>
  <c r="O77" i="10" s="1"/>
  <c r="G14" i="10"/>
  <c r="H14" i="10" s="1"/>
  <c r="G67" i="10"/>
  <c r="H67" i="10" s="1"/>
  <c r="G59" i="10"/>
  <c r="H59" i="10" s="1"/>
  <c r="G51" i="10"/>
  <c r="H51" i="10" s="1"/>
  <c r="G43" i="10"/>
  <c r="H43" i="10" s="1"/>
  <c r="G35" i="10"/>
  <c r="H35" i="10" s="1"/>
  <c r="G27" i="10"/>
  <c r="H27" i="10" s="1"/>
  <c r="G19" i="10"/>
  <c r="H19" i="10" s="1"/>
  <c r="G11" i="10"/>
  <c r="H11" i="10" s="1"/>
  <c r="G73" i="10"/>
  <c r="H73" i="10" s="1"/>
  <c r="G65" i="10"/>
  <c r="H65" i="10" s="1"/>
  <c r="G57" i="10"/>
  <c r="H57" i="10" s="1"/>
  <c r="G49" i="10"/>
  <c r="H49" i="10" s="1"/>
  <c r="G41" i="10"/>
  <c r="H41" i="10" s="1"/>
  <c r="G33" i="10"/>
  <c r="H33" i="10" s="1"/>
  <c r="G25" i="10"/>
  <c r="H25" i="10" s="1"/>
  <c r="G17" i="10"/>
  <c r="H17" i="10" s="1"/>
  <c r="G9" i="10"/>
  <c r="H9" i="10" s="1"/>
  <c r="G78" i="10"/>
  <c r="H78" i="10" s="1"/>
  <c r="G7" i="10"/>
  <c r="H7" i="10" s="1"/>
  <c r="G69" i="10"/>
  <c r="H69" i="10" s="1"/>
  <c r="G61" i="10"/>
  <c r="H61" i="10" s="1"/>
  <c r="G53" i="10"/>
  <c r="H53" i="10" s="1"/>
  <c r="G45" i="10"/>
  <c r="H45" i="10" s="1"/>
  <c r="G37" i="10"/>
  <c r="H37" i="10" s="1"/>
  <c r="G29" i="10"/>
  <c r="H29" i="10" s="1"/>
  <c r="G21" i="10"/>
  <c r="H21" i="10" s="1"/>
  <c r="G13" i="10"/>
  <c r="H13" i="10" s="1"/>
  <c r="G68" i="10"/>
  <c r="H68" i="10" s="1"/>
  <c r="G60" i="10"/>
  <c r="H60" i="10" s="1"/>
  <c r="G52" i="10"/>
  <c r="H52" i="10" s="1"/>
  <c r="G44" i="10"/>
  <c r="H44" i="10" s="1"/>
  <c r="G36" i="10"/>
  <c r="H36" i="10" s="1"/>
  <c r="G28" i="10"/>
  <c r="H28" i="10" s="1"/>
  <c r="G20" i="10"/>
  <c r="H20" i="10" s="1"/>
  <c r="G12" i="10"/>
  <c r="H12" i="10" s="1"/>
  <c r="G72" i="10"/>
  <c r="H72" i="10" s="1"/>
  <c r="G64" i="10"/>
  <c r="H64" i="10" s="1"/>
  <c r="G56" i="10"/>
  <c r="H56" i="10" s="1"/>
  <c r="G48" i="10"/>
  <c r="H48" i="10" s="1"/>
  <c r="G40" i="10"/>
  <c r="H40" i="10" s="1"/>
  <c r="G32" i="10"/>
  <c r="H32" i="10" s="1"/>
  <c r="G24" i="10"/>
  <c r="H24" i="10" s="1"/>
  <c r="G16" i="10"/>
  <c r="H16" i="10" s="1"/>
  <c r="G8" i="10"/>
  <c r="H8" i="10" s="1"/>
  <c r="G138" i="10"/>
  <c r="H138" i="10" s="1"/>
  <c r="G130" i="10"/>
  <c r="H130" i="10" s="1"/>
  <c r="G122" i="10"/>
  <c r="H122" i="10" s="1"/>
  <c r="G114" i="10"/>
  <c r="H114" i="10" s="1"/>
  <c r="G106" i="10"/>
  <c r="H106" i="10" s="1"/>
  <c r="G98" i="10"/>
  <c r="H98" i="10" s="1"/>
  <c r="G90" i="10"/>
  <c r="H90" i="10" s="1"/>
  <c r="G82" i="10"/>
  <c r="H82" i="10" s="1"/>
  <c r="G74" i="10"/>
  <c r="H74" i="10" s="1"/>
  <c r="G66" i="10"/>
  <c r="H66" i="10" s="1"/>
  <c r="G58" i="10"/>
  <c r="H58" i="10" s="1"/>
  <c r="G50" i="10"/>
  <c r="H50" i="10" s="1"/>
  <c r="G42" i="10"/>
  <c r="H42" i="10" s="1"/>
  <c r="G34" i="10"/>
  <c r="H34" i="10" s="1"/>
  <c r="G26" i="10"/>
  <c r="H26" i="10" s="1"/>
  <c r="G18" i="10"/>
  <c r="H18" i="10" s="1"/>
  <c r="G10" i="10"/>
  <c r="H10" i="10" s="1"/>
  <c r="G135" i="10"/>
  <c r="H135" i="10" s="1"/>
  <c r="G127" i="10"/>
  <c r="H127" i="10" s="1"/>
  <c r="G119" i="10"/>
  <c r="H119" i="10" s="1"/>
  <c r="G111" i="10"/>
  <c r="H111" i="10" s="1"/>
  <c r="G103" i="10"/>
  <c r="H103" i="10" s="1"/>
  <c r="G95" i="10"/>
  <c r="H95" i="10" s="1"/>
  <c r="G87" i="10"/>
  <c r="H87" i="10" s="1"/>
  <c r="G79" i="10"/>
  <c r="H79" i="10" s="1"/>
  <c r="G71" i="10"/>
  <c r="H71" i="10" s="1"/>
  <c r="G63" i="10"/>
  <c r="H63" i="10" s="1"/>
  <c r="G55" i="10"/>
  <c r="H55" i="10" s="1"/>
  <c r="G47" i="10"/>
  <c r="H47" i="10" s="1"/>
  <c r="G39" i="10"/>
  <c r="H39" i="10" s="1"/>
  <c r="G31" i="10"/>
  <c r="H31" i="10" s="1"/>
  <c r="G23" i="10"/>
  <c r="H23" i="10" s="1"/>
  <c r="G15" i="10"/>
  <c r="H15" i="10" s="1"/>
  <c r="G134" i="10"/>
  <c r="H134" i="10" s="1"/>
  <c r="G126" i="10"/>
  <c r="H126" i="10" s="1"/>
  <c r="G118" i="10"/>
  <c r="H118" i="10" s="1"/>
  <c r="G110" i="10"/>
  <c r="H110" i="10" s="1"/>
  <c r="G102" i="10"/>
  <c r="H102" i="10" s="1"/>
  <c r="G94" i="10"/>
  <c r="H94" i="10" s="1"/>
  <c r="G86" i="10"/>
  <c r="H86" i="10" s="1"/>
  <c r="G70" i="10"/>
  <c r="H70" i="10" s="1"/>
  <c r="G62" i="10"/>
  <c r="H62" i="10" s="1"/>
  <c r="G54" i="10"/>
  <c r="H54" i="10" s="1"/>
  <c r="G46" i="10"/>
  <c r="H46" i="10" s="1"/>
  <c r="G38" i="10"/>
  <c r="H38" i="10" s="1"/>
  <c r="G30" i="10"/>
  <c r="H30" i="10" s="1"/>
  <c r="G22" i="10"/>
  <c r="H22" i="10" s="1"/>
  <c r="D7" i="10"/>
  <c r="D8" i="10"/>
  <c r="D9" i="10"/>
  <c r="D10" i="10"/>
  <c r="D11" i="10"/>
  <c r="I11" i="10" s="1"/>
  <c r="J11" i="10" s="1"/>
  <c r="D12" i="10"/>
  <c r="D13" i="10"/>
  <c r="D14" i="10"/>
  <c r="D15" i="10"/>
  <c r="D16" i="10"/>
  <c r="D17" i="10"/>
  <c r="D18" i="10"/>
  <c r="D19" i="10"/>
  <c r="D20" i="10"/>
  <c r="D21" i="10"/>
  <c r="I21" i="10" s="1"/>
  <c r="J21" i="10" s="1"/>
  <c r="D22" i="10"/>
  <c r="D23" i="10"/>
  <c r="D24" i="10"/>
  <c r="D25" i="10"/>
  <c r="D26" i="10"/>
  <c r="D27" i="10"/>
  <c r="D28" i="10"/>
  <c r="I28" i="10" s="1"/>
  <c r="J28" i="10" s="1"/>
  <c r="D29" i="10"/>
  <c r="D30" i="10"/>
  <c r="D31" i="10"/>
  <c r="D32" i="10"/>
  <c r="D33" i="10"/>
  <c r="I33" i="10" s="1"/>
  <c r="J33" i="10" s="1"/>
  <c r="D34" i="10"/>
  <c r="D35" i="10"/>
  <c r="D36" i="10"/>
  <c r="D37" i="10"/>
  <c r="D38" i="10"/>
  <c r="D39" i="10"/>
  <c r="D40" i="10"/>
  <c r="D41" i="10"/>
  <c r="I41" i="10" s="1"/>
  <c r="J41" i="10" s="1"/>
  <c r="D42" i="10"/>
  <c r="D43" i="10"/>
  <c r="D44" i="10"/>
  <c r="D45" i="10"/>
  <c r="D46" i="10"/>
  <c r="D47" i="10"/>
  <c r="D48" i="10"/>
  <c r="D49" i="10"/>
  <c r="D50" i="10"/>
  <c r="D51" i="10"/>
  <c r="D52" i="10"/>
  <c r="D53" i="10"/>
  <c r="D54" i="10"/>
  <c r="D55" i="10"/>
  <c r="D56" i="10"/>
  <c r="D57" i="10"/>
  <c r="D58" i="10"/>
  <c r="I58" i="10" s="1"/>
  <c r="J58" i="10" s="1"/>
  <c r="D59" i="10"/>
  <c r="D60" i="10"/>
  <c r="D61" i="10"/>
  <c r="D62" i="10"/>
  <c r="D63" i="10"/>
  <c r="D64" i="10"/>
  <c r="I64" i="10" s="1"/>
  <c r="J64" i="10" s="1"/>
  <c r="D65" i="10"/>
  <c r="D66" i="10"/>
  <c r="I66" i="10" s="1"/>
  <c r="J66" i="10" s="1"/>
  <c r="D67" i="10"/>
  <c r="I67" i="10" s="1"/>
  <c r="J67" i="10" s="1"/>
  <c r="D68" i="10"/>
  <c r="D69" i="10"/>
  <c r="D70" i="10"/>
  <c r="D71" i="10"/>
  <c r="D72" i="10"/>
  <c r="D73" i="10"/>
  <c r="I73" i="10" s="1"/>
  <c r="J73" i="10" s="1"/>
  <c r="D74" i="10"/>
  <c r="D75" i="10"/>
  <c r="I75" i="10" s="1"/>
  <c r="J75" i="10" s="1"/>
  <c r="D76" i="10"/>
  <c r="I76" i="10" s="1"/>
  <c r="J76" i="10" s="1"/>
  <c r="D77" i="10"/>
  <c r="I77" i="10" s="1"/>
  <c r="J77" i="10" s="1"/>
  <c r="D78" i="10"/>
  <c r="D79" i="10"/>
  <c r="D80" i="10"/>
  <c r="I80" i="10" s="1"/>
  <c r="J80" i="10" s="1"/>
  <c r="D81" i="10"/>
  <c r="I81" i="10" s="1"/>
  <c r="J81" i="10" s="1"/>
  <c r="D82" i="10"/>
  <c r="D83" i="10"/>
  <c r="I83" i="10" s="1"/>
  <c r="J83" i="10" s="1"/>
  <c r="D84" i="10"/>
  <c r="I84" i="10" s="1"/>
  <c r="J84" i="10" s="1"/>
  <c r="D85" i="10"/>
  <c r="I85" i="10" s="1"/>
  <c r="J85" i="10" s="1"/>
  <c r="D86" i="10"/>
  <c r="D87" i="10"/>
  <c r="D88" i="10"/>
  <c r="I88" i="10" s="1"/>
  <c r="J88" i="10" s="1"/>
  <c r="D89" i="10"/>
  <c r="I89" i="10" s="1"/>
  <c r="J89" i="10" s="1"/>
  <c r="D90" i="10"/>
  <c r="D91" i="10"/>
  <c r="I91" i="10" s="1"/>
  <c r="J91" i="10" s="1"/>
  <c r="D92" i="10"/>
  <c r="I92" i="10" s="1"/>
  <c r="J92" i="10" s="1"/>
  <c r="D93" i="10"/>
  <c r="I93" i="10" s="1"/>
  <c r="J93" i="10" s="1"/>
  <c r="D94" i="10"/>
  <c r="I94" i="10" s="1"/>
  <c r="J94" i="10" s="1"/>
  <c r="D95" i="10"/>
  <c r="D96" i="10"/>
  <c r="I96" i="10" s="1"/>
  <c r="J96" i="10" s="1"/>
  <c r="D97" i="10"/>
  <c r="I97" i="10" s="1"/>
  <c r="J97" i="10" s="1"/>
  <c r="D98" i="10"/>
  <c r="D99" i="10"/>
  <c r="I99" i="10" s="1"/>
  <c r="J99" i="10" s="1"/>
  <c r="D100" i="10"/>
  <c r="I100" i="10" s="1"/>
  <c r="J100" i="10" s="1"/>
  <c r="D101" i="10"/>
  <c r="I101" i="10" s="1"/>
  <c r="J101" i="10" s="1"/>
  <c r="D102" i="10"/>
  <c r="D103" i="10"/>
  <c r="D104" i="10"/>
  <c r="I104" i="10" s="1"/>
  <c r="J104" i="10" s="1"/>
  <c r="D105" i="10"/>
  <c r="I105" i="10" s="1"/>
  <c r="J105" i="10" s="1"/>
  <c r="D106" i="10"/>
  <c r="D107" i="10"/>
  <c r="I107" i="10" s="1"/>
  <c r="J107" i="10" s="1"/>
  <c r="D108" i="10"/>
  <c r="I108" i="10" s="1"/>
  <c r="J108" i="10" s="1"/>
  <c r="D109" i="10"/>
  <c r="I109" i="10" s="1"/>
  <c r="J109" i="10" s="1"/>
  <c r="D110" i="10"/>
  <c r="D111" i="10"/>
  <c r="D112" i="10"/>
  <c r="I112" i="10" s="1"/>
  <c r="J112" i="10" s="1"/>
  <c r="D113" i="10"/>
  <c r="I113" i="10" s="1"/>
  <c r="J113" i="10" s="1"/>
  <c r="D114" i="10"/>
  <c r="D115" i="10"/>
  <c r="I115" i="10" s="1"/>
  <c r="J115" i="10" s="1"/>
  <c r="D116" i="10"/>
  <c r="I116" i="10" s="1"/>
  <c r="J116" i="10" s="1"/>
  <c r="D117" i="10"/>
  <c r="I117" i="10" s="1"/>
  <c r="J117" i="10" s="1"/>
  <c r="D118" i="10"/>
  <c r="D119" i="10"/>
  <c r="D120" i="10"/>
  <c r="I120" i="10" s="1"/>
  <c r="J120" i="10" s="1"/>
  <c r="D121" i="10"/>
  <c r="I121" i="10" s="1"/>
  <c r="J121" i="10" s="1"/>
  <c r="D122" i="10"/>
  <c r="I122" i="10" s="1"/>
  <c r="J122" i="10" s="1"/>
  <c r="D123" i="10"/>
  <c r="I123" i="10" s="1"/>
  <c r="J123" i="10" s="1"/>
  <c r="D124" i="10"/>
  <c r="I124" i="10" s="1"/>
  <c r="J124" i="10" s="1"/>
  <c r="D125" i="10"/>
  <c r="I125" i="10" s="1"/>
  <c r="J125" i="10" s="1"/>
  <c r="D126" i="10"/>
  <c r="D127" i="10"/>
  <c r="D128" i="10"/>
  <c r="I128" i="10" s="1"/>
  <c r="J128" i="10" s="1"/>
  <c r="D129" i="10"/>
  <c r="I129" i="10" s="1"/>
  <c r="J129" i="10" s="1"/>
  <c r="D130" i="10"/>
  <c r="I130" i="10" s="1"/>
  <c r="J130" i="10" s="1"/>
  <c r="D131" i="10"/>
  <c r="I131" i="10" s="1"/>
  <c r="J131" i="10" s="1"/>
  <c r="D132" i="10"/>
  <c r="I132" i="10" s="1"/>
  <c r="J132" i="10" s="1"/>
  <c r="D133" i="10"/>
  <c r="I133" i="10" s="1"/>
  <c r="J133" i="10" s="1"/>
  <c r="D134" i="10"/>
  <c r="D135" i="10"/>
  <c r="D136" i="10"/>
  <c r="I136" i="10" s="1"/>
  <c r="J136" i="10" s="1"/>
  <c r="D137" i="10"/>
  <c r="I137" i="10" s="1"/>
  <c r="J137" i="10" s="1"/>
  <c r="D138" i="10"/>
  <c r="D139" i="10"/>
  <c r="I139" i="10" s="1"/>
  <c r="J139" i="10" s="1"/>
  <c r="D140" i="10"/>
  <c r="I140" i="10" s="1"/>
  <c r="J140" i="10" s="1"/>
  <c r="N2" i="8"/>
  <c r="I134" i="10" l="1"/>
  <c r="J134" i="10" s="1"/>
  <c r="I87" i="10"/>
  <c r="J87" i="10" s="1"/>
  <c r="I61" i="10"/>
  <c r="J61" i="10" s="1"/>
  <c r="I60" i="10"/>
  <c r="J60" i="10" s="1"/>
  <c r="I35" i="10"/>
  <c r="J35" i="10" s="1"/>
  <c r="I43" i="10"/>
  <c r="J43" i="10" s="1"/>
  <c r="I23" i="10"/>
  <c r="J23" i="10" s="1"/>
  <c r="I49" i="10"/>
  <c r="J49" i="10" s="1"/>
  <c r="I72" i="10"/>
  <c r="J72" i="10" s="1"/>
  <c r="I8" i="10"/>
  <c r="J8" i="10" s="1"/>
  <c r="I118" i="10"/>
  <c r="J118" i="10" s="1"/>
  <c r="I14" i="10"/>
  <c r="J14" i="10" s="1"/>
  <c r="I69" i="10"/>
  <c r="J69" i="10" s="1"/>
  <c r="I37" i="10"/>
  <c r="J37" i="10" s="1"/>
  <c r="I68" i="10"/>
  <c r="J68" i="10" s="1"/>
  <c r="I25" i="10"/>
  <c r="J25" i="10" s="1"/>
  <c r="I56" i="10"/>
  <c r="J56" i="10" s="1"/>
  <c r="I48" i="10"/>
  <c r="J48" i="10" s="1"/>
  <c r="I135" i="10"/>
  <c r="J135" i="10" s="1"/>
  <c r="I71" i="10"/>
  <c r="J71" i="10" s="1"/>
  <c r="I53" i="10"/>
  <c r="J53" i="10" s="1"/>
  <c r="I45" i="10"/>
  <c r="J45" i="10" s="1"/>
  <c r="I52" i="10"/>
  <c r="J52" i="10" s="1"/>
  <c r="I44" i="10"/>
  <c r="J44" i="10" s="1"/>
  <c r="I27" i="10"/>
  <c r="J27" i="10" s="1"/>
  <c r="I19" i="10"/>
  <c r="J19" i="10" s="1"/>
  <c r="I114" i="10"/>
  <c r="J114" i="10" s="1"/>
  <c r="I90" i="10"/>
  <c r="J90" i="10" s="1"/>
  <c r="I50" i="10"/>
  <c r="J50" i="10" s="1"/>
  <c r="I26" i="10"/>
  <c r="J26" i="10" s="1"/>
  <c r="I59" i="10"/>
  <c r="J59" i="10" s="1"/>
  <c r="I65" i="10"/>
  <c r="J65" i="10" s="1"/>
  <c r="I57" i="10"/>
  <c r="J57" i="10" s="1"/>
  <c r="I17" i="10"/>
  <c r="J17" i="10" s="1"/>
  <c r="I9" i="10"/>
  <c r="J9" i="10" s="1"/>
  <c r="I51" i="10"/>
  <c r="J51" i="10" s="1"/>
  <c r="I40" i="10"/>
  <c r="J40" i="10" s="1"/>
  <c r="I16" i="10"/>
  <c r="J16" i="10" s="1"/>
  <c r="I119" i="10"/>
  <c r="J119" i="10" s="1"/>
  <c r="I95" i="10"/>
  <c r="J95" i="10" s="1"/>
  <c r="I55" i="10"/>
  <c r="J55" i="10" s="1"/>
  <c r="I31" i="10"/>
  <c r="J31" i="10" s="1"/>
  <c r="I7" i="10"/>
  <c r="J7" i="10" s="1"/>
  <c r="I22" i="10"/>
  <c r="J22" i="10" s="1"/>
  <c r="I13" i="10"/>
  <c r="J13" i="10" s="1"/>
  <c r="I36" i="10"/>
  <c r="J36" i="10" s="1"/>
  <c r="I12" i="10"/>
  <c r="J12" i="10" s="1"/>
  <c r="I106" i="10"/>
  <c r="J106" i="10" s="1"/>
  <c r="I42" i="10"/>
  <c r="J42" i="10" s="1"/>
  <c r="I32" i="10"/>
  <c r="J32" i="10" s="1"/>
  <c r="I62" i="10"/>
  <c r="J62" i="10" s="1"/>
  <c r="I46" i="10"/>
  <c r="J46" i="10" s="1"/>
  <c r="I29" i="10"/>
  <c r="J29" i="10" s="1"/>
  <c r="I20" i="10"/>
  <c r="J20" i="10" s="1"/>
  <c r="I127" i="10"/>
  <c r="J127" i="10" s="1"/>
  <c r="I111" i="10"/>
  <c r="J111" i="10" s="1"/>
  <c r="I103" i="10"/>
  <c r="J103" i="10" s="1"/>
  <c r="I63" i="10"/>
  <c r="J63" i="10" s="1"/>
  <c r="I47" i="10"/>
  <c r="J47" i="10" s="1"/>
  <c r="I39" i="10"/>
  <c r="J39" i="10" s="1"/>
  <c r="I24" i="10"/>
  <c r="J24" i="10" s="1"/>
  <c r="I126" i="10"/>
  <c r="J126" i="10" s="1"/>
  <c r="I110" i="10"/>
  <c r="J110" i="10" s="1"/>
  <c r="I78" i="10"/>
  <c r="J78" i="10" s="1"/>
  <c r="I54" i="10"/>
  <c r="J54" i="10" s="1"/>
  <c r="I38" i="10"/>
  <c r="J38" i="10" s="1"/>
  <c r="I15" i="10"/>
  <c r="J15" i="10" s="1"/>
  <c r="I102" i="10"/>
  <c r="J102" i="10" s="1"/>
  <c r="I86" i="10"/>
  <c r="J86" i="10" s="1"/>
  <c r="I70" i="10"/>
  <c r="J70" i="10" s="1"/>
  <c r="I30" i="10"/>
  <c r="J30" i="10" s="1"/>
  <c r="I138" i="10"/>
  <c r="J138" i="10" s="1"/>
  <c r="I98" i="10"/>
  <c r="J98" i="10" s="1"/>
  <c r="I82" i="10"/>
  <c r="J82" i="10" s="1"/>
  <c r="I74" i="10"/>
  <c r="J74" i="10" s="1"/>
  <c r="I34" i="10"/>
  <c r="J34" i="10" s="1"/>
  <c r="I18" i="10"/>
  <c r="J18" i="10" s="1"/>
  <c r="I10" i="10"/>
  <c r="J10" i="10" s="1"/>
  <c r="I79" i="10"/>
  <c r="J79" i="10" s="1"/>
  <c r="I7" i="8"/>
  <c r="J7" i="8" s="1"/>
  <c r="I6" i="8"/>
  <c r="J6" i="8" s="1"/>
  <c r="I5" i="8"/>
  <c r="J5" i="8" s="1"/>
  <c r="G5" i="8"/>
  <c r="G7" i="8"/>
  <c r="G6" i="8"/>
  <c r="F7" i="8"/>
  <c r="F6" i="8"/>
  <c r="F5" i="8"/>
  <c r="H6" i="8" l="1"/>
  <c r="H7" i="8"/>
  <c r="H5" i="8"/>
  <c r="E3" i="5" l="1"/>
  <c r="E2" i="5"/>
</calcChain>
</file>

<file path=xl/sharedStrings.xml><?xml version="1.0" encoding="utf-8"?>
<sst xmlns="http://schemas.openxmlformats.org/spreadsheetml/2006/main" count="1295" uniqueCount="599">
  <si>
    <t>Honolulu HI USA</t>
  </si>
  <si>
    <t>Betty Jean McHugh (CAN)</t>
  </si>
  <si>
    <t>F</t>
  </si>
  <si>
    <t>Tokyo JPN</t>
  </si>
  <si>
    <t>Yoko Nakano (JPN)</t>
  </si>
  <si>
    <t>net times:</t>
  </si>
  <si>
    <t>Gladys Burrill (CAN)</t>
  </si>
  <si>
    <t>Portland OR USA</t>
  </si>
  <si>
    <t>Mavis Lindgren (USA)</t>
  </si>
  <si>
    <t>Los Angeles CA USA</t>
  </si>
  <si>
    <t>Margaret Davis (USA)</t>
  </si>
  <si>
    <t>Berlin GER</t>
  </si>
  <si>
    <t>Helga-Maria Kundig (SUI)</t>
  </si>
  <si>
    <t>Ottawa ON CAN</t>
  </si>
  <si>
    <t>Gwen McFarlan (CAN)</t>
  </si>
  <si>
    <t>Yokohama JPN</t>
  </si>
  <si>
    <t>Coeur d'Alene ID USA</t>
  </si>
  <si>
    <t>Sylvia Quinn (USA)</t>
  </si>
  <si>
    <t>Otawara JPN</t>
  </si>
  <si>
    <t>Hitachinaka JPN</t>
  </si>
  <si>
    <t>Lyon FRA</t>
  </si>
  <si>
    <t>Helga Miketta (GER)</t>
  </si>
  <si>
    <t>Vera Nystad (NOR)</t>
  </si>
  <si>
    <t>Essen GER</t>
  </si>
  <si>
    <t>Jeannie Rice (USA)</t>
  </si>
  <si>
    <t>Chicago IL USA</t>
  </si>
  <si>
    <t>Columbus OH USA</t>
  </si>
  <si>
    <t>Yuko Gordon (ENG)</t>
  </si>
  <si>
    <t>Abingdon ENG</t>
  </si>
  <si>
    <t>Caroline Horder (ENG)</t>
  </si>
  <si>
    <t>Angela Copson (ENG)</t>
  </si>
  <si>
    <t>Zurich SUI</t>
  </si>
  <si>
    <t>Emmi Luthi (SUI)</t>
  </si>
  <si>
    <t>Oiso JPN</t>
  </si>
  <si>
    <t>Yuriko Tanaka (JPN)</t>
  </si>
  <si>
    <t>Lucerne SUI</t>
  </si>
  <si>
    <t>Ria VanLandeghem (BEL)</t>
  </si>
  <si>
    <t>Nobeoka JPN</t>
  </si>
  <si>
    <t>Kimi Ushiroda (JPN)</t>
  </si>
  <si>
    <t>Gold Coast AUS</t>
  </si>
  <si>
    <t>Bernardine Portenski (NZL)</t>
  </si>
  <si>
    <t>Saint Paul MN USA</t>
  </si>
  <si>
    <t>Christine Kennedy (USA)</t>
  </si>
  <si>
    <t>Seoul KOR</t>
  </si>
  <si>
    <t>Jung-Ok Kim (KOR)</t>
  </si>
  <si>
    <t>London ENG</t>
  </si>
  <si>
    <t>Angharad Mair (WAL)</t>
  </si>
  <si>
    <t>Rae Baymiller (USA)</t>
  </si>
  <si>
    <t>Wellington NZL</t>
  </si>
  <si>
    <t>Sally Gibbs (NZL)</t>
  </si>
  <si>
    <t>Joan Samuelson (USA)</t>
  </si>
  <si>
    <t>Frankfurt GER</t>
  </si>
  <si>
    <t>Edeltraud Pohl (GER)</t>
  </si>
  <si>
    <t>Tatyana Pozdniakova (UKR)</t>
  </si>
  <si>
    <t>Jacksonville Beach FL USA</t>
  </si>
  <si>
    <t>Ramilya Burangulova (RUS)</t>
  </si>
  <si>
    <t>Providence RI USA</t>
  </si>
  <si>
    <t>Catherine Bertone (ITA)</t>
  </si>
  <si>
    <t>Joyce Smith (ENG)</t>
  </si>
  <si>
    <t>Sinead Diver (AUS)</t>
  </si>
  <si>
    <t>Valencia ESP</t>
  </si>
  <si>
    <t>Lydia Cheromei Kogo (KEN)</t>
  </si>
  <si>
    <t>Shanghai CHN</t>
  </si>
  <si>
    <t>Vienna AUT</t>
  </si>
  <si>
    <t>Nancy Jepkosgei Kiprop (KEN)</t>
  </si>
  <si>
    <t>Edna Kiplagat Ngeringwony (KEN)</t>
  </si>
  <si>
    <t>Lyudmila Petrova (RUS)</t>
  </si>
  <si>
    <t>Irina Mikitenko (GER)</t>
  </si>
  <si>
    <t>Mary Keitany Chepkosgei (KEN)</t>
  </si>
  <si>
    <t>Vivian Cheruiyot (KEN)</t>
  </si>
  <si>
    <t>Tirunesh Dibaba (ETH)</t>
  </si>
  <si>
    <t>Paula Radcliffe (ENG)</t>
  </si>
  <si>
    <t>Mizuki Noguchi (JPN)</t>
  </si>
  <si>
    <t>Tegla Loroupe (KEN)</t>
  </si>
  <si>
    <t>Brigid Kosgei (KEN)</t>
  </si>
  <si>
    <t>Dubai UAE</t>
  </si>
  <si>
    <t>Ruth Chepngetich (KEN)</t>
  </si>
  <si>
    <t>Haftamnesh Tesfaye Haylu (ETH)</t>
  </si>
  <si>
    <t>Mare Dibaba Hurssa (ETH)</t>
  </si>
  <si>
    <t>Roza Dereje Bekele (ETH)</t>
  </si>
  <si>
    <t>Demise Shure Ware (ETH)</t>
  </si>
  <si>
    <t>Xiamen CHN</t>
  </si>
  <si>
    <t>Ying-ying Zhang (CHN)</t>
  </si>
  <si>
    <t>Beijing CHN</t>
  </si>
  <si>
    <t>Min Liu (CHN)</t>
  </si>
  <si>
    <t>Li-nan Wang (CHN)</t>
  </si>
  <si>
    <t>Mei-yu Shen (CHN)</t>
  </si>
  <si>
    <t>Xin Wei (CHN)</t>
  </si>
  <si>
    <t>Kyung-Hee Lim (KOR)</t>
  </si>
  <si>
    <t>Echternach LUX</t>
  </si>
  <si>
    <t>Manuela Zipse (GER)</t>
  </si>
  <si>
    <t>Carrie Garritson (USA)</t>
  </si>
  <si>
    <t>Seaside OR USA</t>
  </si>
  <si>
    <t>Julie Mullin (USA)</t>
  </si>
  <si>
    <t>Asbury Park NJ USA</t>
  </si>
  <si>
    <t>Tabitha Francks (USA)</t>
  </si>
  <si>
    <t>Petaluma CA USA</t>
  </si>
  <si>
    <t>Mary Etta Boitano (USA)</t>
  </si>
  <si>
    <t>M</t>
  </si>
  <si>
    <t>Huntington WV USA</t>
  </si>
  <si>
    <t>Mike Fremont (USA)</t>
  </si>
  <si>
    <t>Sam Gadless (USA)</t>
  </si>
  <si>
    <t>Cincinnati OH USA</t>
  </si>
  <si>
    <t>Toulouse FRA</t>
  </si>
  <si>
    <t>Charles Bancarel (FRA)</t>
  </si>
  <si>
    <t>Robert Horman (AUS)</t>
  </si>
  <si>
    <t>Toronto ON CAN</t>
  </si>
  <si>
    <t>Ed Whitlock (CAN)</t>
  </si>
  <si>
    <t>Ed Benham (USA)</t>
  </si>
  <si>
    <t>Porto San Giorgio ITA</t>
  </si>
  <si>
    <t>Antonino Caponetto (ITA)</t>
  </si>
  <si>
    <t>Bergamo ITA</t>
  </si>
  <si>
    <t>Warren Utes (USA)</t>
  </si>
  <si>
    <t>San Diego CA USA</t>
  </si>
  <si>
    <t>Rotterdam NED</t>
  </si>
  <si>
    <t>John Keston (USA)</t>
  </si>
  <si>
    <t>Jacksonville FL USA</t>
  </si>
  <si>
    <t>Gene Dykes (PA/USA)</t>
  </si>
  <si>
    <t>Mirandola ITA</t>
  </si>
  <si>
    <t>Luigi Passerini (ITA)</t>
  </si>
  <si>
    <t>Eugene OR USA</t>
  </si>
  <si>
    <t>Clive Davies (USA)</t>
  </si>
  <si>
    <t>Derek Turnbull (NZL)</t>
  </si>
  <si>
    <t>John Shaw (AUS)</t>
  </si>
  <si>
    <t>Albany AUS</t>
  </si>
  <si>
    <t>John Gilmour (AUS)</t>
  </si>
  <si>
    <t>Oita JPN</t>
  </si>
  <si>
    <t>Yoshihisa Hosaka (JPN)</t>
  </si>
  <si>
    <t>Thomas Hughes (IRL)</t>
  </si>
  <si>
    <t>Alex Ratelle (USA)</t>
  </si>
  <si>
    <t>Norman Green (USA)</t>
  </si>
  <si>
    <t>Goteborg SWE</t>
  </si>
  <si>
    <t>Erik-Verner Ostbye (SWE)</t>
  </si>
  <si>
    <t>Piet vanAlphen (NED)</t>
  </si>
  <si>
    <t>Etten-Leur NED</t>
  </si>
  <si>
    <t>Durban RSA</t>
  </si>
  <si>
    <t>Titus Mamabolo (RSA)</t>
  </si>
  <si>
    <t>Stockholm SWE</t>
  </si>
  <si>
    <t>Kjell-Erik Stahl (SWE)</t>
  </si>
  <si>
    <t>Tiberias ISR</t>
  </si>
  <si>
    <t>Ayele Setegne (ISR)</t>
  </si>
  <si>
    <t>Monterrey MEX</t>
  </si>
  <si>
    <t>Jackson Kipngok Yegon (KEN)</t>
  </si>
  <si>
    <t>Reuben Chesang Kambich (KEN)</t>
  </si>
  <si>
    <t>Hong Kong HKG</t>
  </si>
  <si>
    <t>Kenneth Mburu Mungara (KEN)</t>
  </si>
  <si>
    <t>Mark Kiptoo Kosgei (KEN)</t>
  </si>
  <si>
    <t>Andres Espinosa Perez (MEX)</t>
  </si>
  <si>
    <t>Eindhoven NED</t>
  </si>
  <si>
    <t>Reims FRA</t>
  </si>
  <si>
    <t>Mariko Kiplagat Kipchumba (KEN)</t>
  </si>
  <si>
    <t>Kenenisa Bekele Beyeche (ETH)</t>
  </si>
  <si>
    <t>Jaouad Gharib (MAR)</t>
  </si>
  <si>
    <t>Haile Gebreselasie (ETH)</t>
  </si>
  <si>
    <t>Eliud Kipchoge (KEN)</t>
  </si>
  <si>
    <t>Dennis Kipruto Kimetto (KEN)</t>
  </si>
  <si>
    <t>Emanuel Mutai Kipchirchir (KEN)</t>
  </si>
  <si>
    <t>Sisay Lemma Kasaye (ETH)</t>
  </si>
  <si>
    <t>Mosinet Geremew Bayih (ETH)</t>
  </si>
  <si>
    <t>Patrick Makau Musyoki (KEN)</t>
  </si>
  <si>
    <t>Birhanu Legese Gurmese (ETH)</t>
  </si>
  <si>
    <t>Leul Gebrselasie (ETH)</t>
  </si>
  <si>
    <t>Feyisa Lelisa Gemechu (ETH)</t>
  </si>
  <si>
    <t>Ayele Abshiro Biza (ETH)</t>
  </si>
  <si>
    <t>Tsegay Mekonen Assefa (ETH)</t>
  </si>
  <si>
    <t>Berhanu Shiferaw Tolcha (ETH)</t>
  </si>
  <si>
    <t>Zhu-hong Li (CHN)</t>
  </si>
  <si>
    <t>Burlingame CA USA</t>
  </si>
  <si>
    <t>Mitch Kingery (USA)</t>
  </si>
  <si>
    <t>Allendale MI USA</t>
  </si>
  <si>
    <t>Kevin Kitze (USA)</t>
  </si>
  <si>
    <t>Tom Ansberry (USA)</t>
  </si>
  <si>
    <t>Columbia MO USA</t>
  </si>
  <si>
    <t>Wesley Paul (USA)</t>
  </si>
  <si>
    <t>Sedalia MO USA</t>
  </si>
  <si>
    <t>Gulf Shores AL USA</t>
  </si>
  <si>
    <t>Charlie Westrip (USA)</t>
  </si>
  <si>
    <t>Juneau AK USA</t>
  </si>
  <si>
    <t>Kevin Strain (USA)</t>
  </si>
  <si>
    <t>Race_Date</t>
  </si>
  <si>
    <t>DOB</t>
  </si>
  <si>
    <t>Name (Country)</t>
  </si>
  <si>
    <t>Time</t>
  </si>
  <si>
    <t>Age</t>
  </si>
  <si>
    <t>M/F</t>
  </si>
  <si>
    <t>World Single Age Records- Marathon</t>
  </si>
  <si>
    <t>https://www.arrs.run/SA_Mara.htm</t>
  </si>
  <si>
    <t>Berlin</t>
  </si>
  <si>
    <t>Eliud Kipchoge (Kenya)</t>
  </si>
  <si>
    <t>Dennis Kimetto (Kenya)</t>
  </si>
  <si>
    <t>Wilson Kipsang (Kenya)</t>
  </si>
  <si>
    <t>Patrick Makau (Kenya)</t>
  </si>
  <si>
    <t>Chicago</t>
  </si>
  <si>
    <t>Brigid Kosgei (Kenya)</t>
  </si>
  <si>
    <t>Haile Gebrselassie (Ethiopia)</t>
  </si>
  <si>
    <t>London</t>
  </si>
  <si>
    <t>Paula Radcliffe (Great Britain)</t>
  </si>
  <si>
    <t>Paul Tergat (Kenya)</t>
  </si>
  <si>
    <t>Catherine Ndereba (Kenya)</t>
  </si>
  <si>
    <t>Khalid Khannouchi (United States)</t>
  </si>
  <si>
    <t>Naoko Takahashi (Japan)</t>
  </si>
  <si>
    <t>Khalid Khannouchi (Morocco)</t>
  </si>
  <si>
    <t>Tegla Loroupe (Kenya)</t>
  </si>
  <si>
    <t>Ronaldo da Costa (Brazil)</t>
  </si>
  <si>
    <t>Rotterdam</t>
  </si>
  <si>
    <t>Belayneh Densamo (Ethiopia)</t>
  </si>
  <si>
    <t>Column1</t>
  </si>
  <si>
    <t>Marathon</t>
  </si>
  <si>
    <t>Pace/Mile</t>
  </si>
  <si>
    <t>Finish Time</t>
  </si>
  <si>
    <t>Runner</t>
  </si>
  <si>
    <t>Progression of World Record Since 1988: Women</t>
  </si>
  <si>
    <t>Progression of World Record Since 1988: Men</t>
  </si>
  <si>
    <t>Gladys Cherono (Kenya)</t>
  </si>
  <si>
    <t>Emmanuel Mutai (Kenya)</t>
  </si>
  <si>
    <t>Tirunesh Dibaba (Ethiopia)</t>
  </si>
  <si>
    <t>Tokyo</t>
  </si>
  <si>
    <t>Lonah Salpeter (Israel)</t>
  </si>
  <si>
    <t>Kenenisa Bekele (Ethiopia)</t>
  </si>
  <si>
    <t>Dubai</t>
  </si>
  <si>
    <t>Worknesh Degefa (Ethiopia)</t>
  </si>
  <si>
    <t>Mosinet Geremew (Ethiopia)</t>
  </si>
  <si>
    <t>Ruth Chepngetich (Kenya)</t>
  </si>
  <si>
    <t>Birhanu Legese (Ethiopia)</t>
  </si>
  <si>
    <t>Mary Keitany (Kenya)</t>
  </si>
  <si>
    <t>10 Fastest Marathons on Record-Eligible Course: Women</t>
  </si>
  <si>
    <t>10 Fastest Marathons on Record-Eligible Course: Men</t>
  </si>
  <si>
    <t>Laura Thweatt</t>
  </si>
  <si>
    <t>Jerry Lawson</t>
  </si>
  <si>
    <t>Emma Bates</t>
  </si>
  <si>
    <t>David Morris</t>
  </si>
  <si>
    <t>Sally Kipyego</t>
  </si>
  <si>
    <t>Fukuoka</t>
  </si>
  <si>
    <t>Alberto Salazar</t>
  </si>
  <si>
    <t>Emily Sisson</t>
  </si>
  <si>
    <t>Olympic Marathon Trials</t>
  </si>
  <si>
    <t>Meb Keflezighi</t>
  </si>
  <si>
    <t>Sara Hall</t>
  </si>
  <si>
    <t>Abdi Abdirahman</t>
  </si>
  <si>
    <t>Amy Cragg</t>
  </si>
  <si>
    <t>Amsterdam</t>
  </si>
  <si>
    <t>Leonard Korir</t>
  </si>
  <si>
    <t>Joan Samuelson</t>
  </si>
  <si>
    <t>Dathan Ritzenhein</t>
  </si>
  <si>
    <t>Shalane Flanagan</t>
  </si>
  <si>
    <t>Ryan Hall</t>
  </si>
  <si>
    <t>Jordan Hasay</t>
  </si>
  <si>
    <t>Prague</t>
  </si>
  <si>
    <t>Galen Rupp</t>
  </si>
  <si>
    <t>Deena Kastor</t>
  </si>
  <si>
    <t>Khalid Khannouchi</t>
  </si>
  <si>
    <t>10 Fastest American Marathoners on Record-Eligible Course: Women</t>
  </si>
  <si>
    <t>10 Fastest American Marathoners on Record-Eligible Course: Men</t>
  </si>
  <si>
    <t>Vivian Cheruiyot (Kenya)</t>
  </si>
  <si>
    <t>Sisay Lemma (Ethiopia)</t>
  </si>
  <si>
    <t>Valencia</t>
  </si>
  <si>
    <t>Roza Dereje (Ethiopia)</t>
  </si>
  <si>
    <t>Getaneh Molla (Ethiopia)</t>
  </si>
  <si>
    <t>Mule Wasihun (Ethiopia)</t>
  </si>
  <si>
    <t>Wilson Kipsang (Kenya)</t>
  </si>
  <si>
    <t>Mary Keitany (Kenya)</t>
  </si>
  <si>
    <t>Paula Radcliffe (Great Britain)</t>
  </si>
  <si>
    <t>Kenenisa Bekele (Ethiopia)</t>
  </si>
  <si>
    <t>Eliud Kipchoge (Kenya)</t>
  </si>
  <si>
    <t>Year</t>
  </si>
  <si>
    <t>Name</t>
  </si>
  <si>
    <t>10 Fastest Marathoners on Record-Eligible Course: Women</t>
  </si>
  <si>
    <t>10 Fastest Marathoners on Record-Eligible Course: Men</t>
  </si>
  <si>
    <t>Last accessed: 6/7/20</t>
  </si>
  <si>
    <t>https://www.runnersworld.com/races-places/a20823734/these-are-the-worlds-fastest-marathoners-and-marathon-courses/</t>
  </si>
  <si>
    <t>Source: Runner's World, "These Are the World’s Fastest Marathoners", 12/1/19</t>
  </si>
  <si>
    <t>Los Angeles, USA</t>
  </si>
  <si>
    <t>USA</t>
  </si>
  <si>
    <t>Ernest Van Leeuwen</t>
  </si>
  <si>
    <t>Toronto, CAN</t>
  </si>
  <si>
    <t>CAN</t>
  </si>
  <si>
    <t>Ed Whitlock</t>
  </si>
  <si>
    <t>Rotterdam, NED</t>
  </si>
  <si>
    <t>London, GBR</t>
  </si>
  <si>
    <t>NZL</t>
  </si>
  <si>
    <t>Derek Turnbull</t>
  </si>
  <si>
    <t>Beppu City, JPN</t>
  </si>
  <si>
    <t>JPN</t>
  </si>
  <si>
    <t>Yoshihisa Hosaka</t>
  </si>
  <si>
    <t>NED</t>
  </si>
  <si>
    <t>Piet van Alphen</t>
  </si>
  <si>
    <t>Durban, RSA</t>
  </si>
  <si>
    <t>RSA</t>
  </si>
  <si>
    <t>Titus Mamabolo</t>
  </si>
  <si>
    <t>Berlin, GER</t>
  </si>
  <si>
    <t>SWE</t>
  </si>
  <si>
    <t>Kjell-Erik Stahl</t>
  </si>
  <si>
    <t>MEX</t>
  </si>
  <si>
    <t>Andres Espinosa</t>
  </si>
  <si>
    <t>ETH</t>
  </si>
  <si>
    <t>Haile Gebrselassie</t>
  </si>
  <si>
    <t>Portland, USA</t>
  </si>
  <si>
    <t>Mavis Lindgren</t>
  </si>
  <si>
    <t>Honolulu, USA</t>
  </si>
  <si>
    <t>Betty Jean McHugh</t>
  </si>
  <si>
    <t>Tokyo, JPN</t>
  </si>
  <si>
    <t>Yoko Nakano</t>
  </si>
  <si>
    <t>Otawara, JPN</t>
  </si>
  <si>
    <t>Essen, GER</t>
  </si>
  <si>
    <t>GER</t>
  </si>
  <si>
    <t>Helga Miketta</t>
  </si>
  <si>
    <t>Houfu, JPN</t>
  </si>
  <si>
    <t>Kimi Ushiroda</t>
  </si>
  <si>
    <t>Saitama, JPN</t>
  </si>
  <si>
    <t>Mariko Yugeta</t>
  </si>
  <si>
    <t>New York, USA</t>
  </si>
  <si>
    <t>Jenny Hitchings</t>
  </si>
  <si>
    <t>UKR</t>
  </si>
  <si>
    <t>Tatyana Pozdnyakova</t>
  </si>
  <si>
    <t>Providence, USA</t>
  </si>
  <si>
    <t>Nagoya, JPN</t>
  </si>
  <si>
    <t>RUS</t>
  </si>
  <si>
    <t>Marlya Konovalova</t>
  </si>
  <si>
    <t>Irina Mikitenko</t>
  </si>
  <si>
    <t>Race_Location</t>
  </si>
  <si>
    <t>Date</t>
  </si>
  <si>
    <t>Country</t>
  </si>
  <si>
    <t>Age Division</t>
  </si>
  <si>
    <t>WMA Masters Age Group Marathon World Records</t>
  </si>
  <si>
    <t xml:space="preserve">https://world-masters-athletics.com/championships/non-stadia/ </t>
  </si>
  <si>
    <t xml:space="preserve">Source: World Masters Athletics, Non-Stadia World Records for Women and Men,   </t>
  </si>
  <si>
    <t>ENG</t>
  </si>
  <si>
    <t>KEN</t>
  </si>
  <si>
    <t>2020_AF</t>
  </si>
  <si>
    <t>2020_AS</t>
  </si>
  <si>
    <t>2020_AS_min</t>
  </si>
  <si>
    <t>% Diff</t>
  </si>
  <si>
    <t>Overall Record</t>
  </si>
  <si>
    <t>2015_AF</t>
  </si>
  <si>
    <t>2015_AS</t>
  </si>
  <si>
    <t>2015_AS_min</t>
  </si>
  <si>
    <t>Sex</t>
  </si>
  <si>
    <t>Event</t>
  </si>
  <si>
    <t>Kilometers</t>
  </si>
  <si>
    <t>Miles</t>
  </si>
  <si>
    <t>WR Seconds</t>
  </si>
  <si>
    <t>MMarathon</t>
  </si>
  <si>
    <t>FMarathon</t>
  </si>
  <si>
    <t>Women's records last updated 5/1/20; men's 12/30/17</t>
  </si>
  <si>
    <t>Last accessed 7/2/20.</t>
  </si>
  <si>
    <t>Record set after Jan. 1, 2015</t>
  </si>
  <si>
    <t>Men</t>
  </si>
  <si>
    <t xml:space="preserve"> .......</t>
  </si>
  <si>
    <t>Women</t>
  </si>
  <si>
    <t xml:space="preserve">  4y351d    6:56:39     Kevin Strain (USA)                18 Jun 1967   03 Jun 1972  Juneau AK USA</t>
  </si>
  <si>
    <t xml:space="preserve">  6y167d    6:39:06.2   Charlie Westrip (USA)             15 Aug 2010   29 Jan 2017  Gulf Shores AL USA</t>
  </si>
  <si>
    <t xml:space="preserve">  7y225d    4:04:08     Wesley Paul (USA)                 25 Jan 1969   06 Sep 1976  Columbia MO USA</t>
  </si>
  <si>
    <t xml:space="preserve">  8y243d    3:15:20     Wesley Paul (USA)                 25 Jan 1969   25 Sep 1977  Chicago IL USA</t>
  </si>
  <si>
    <t xml:space="preserve"> 11y065d    2:50:02     Wesley Paul (USA)                 25 Jan 1969   30 Mar 1980  Sedalia MO USA</t>
  </si>
  <si>
    <t xml:space="preserve"> 12y225d    3:02:19     Wesley Paul (USA)                 25 Jan 1969   07 Sep 1981  Columbia MO USA</t>
  </si>
  <si>
    <t xml:space="preserve"> 13y146d    2:43:02     Tom Ansberry (USA)                22 Aug 1963   15 Jan 1977  San Diego CA USA</t>
  </si>
  <si>
    <t xml:space="preserve"> 14y282d    2:41:43     Kevin Kitze (USA)                 07 Feb 1960   16 Nov 1974  Allendale MI USA</t>
  </si>
  <si>
    <t xml:space="preserve"> 15y225d    2:29:11     Mitch Kingery (USA)               03 Jul 1956   13 Feb 1972  Burlingame CA USA</t>
  </si>
  <si>
    <t xml:space="preserve"> 16y359d    2:15:07     Zhu-hong Li (CHN)                 22 Oct 1983   15 Oct 2000  Beijing CHN</t>
  </si>
  <si>
    <t xml:space="preserve"> 17y357d    2:10:46     Zhu-hong Li (CHN)                 22 Oct 1983   14 Oct 2001  Beijing CHN</t>
  </si>
  <si>
    <t xml:space="preserve"> 18y223d    2:04:32     Tsegay Mekonen Assefa (ETH)       15 Jun 1995   24 Jan 2014  Dubai UAE</t>
  </si>
  <si>
    <t xml:space="preserve"> 19y239d    2:04:48     Berhanu Shiferaw Tolcha (ETH)     31 May 1993   25 Jan 2013  Dubai UAE</t>
  </si>
  <si>
    <t xml:space="preserve"> 20y221d    2:04:46     Tsegay Mekonen Assefa (ETH)       15 Jun 1995   22 Jan 2016  Dubai UAE</t>
  </si>
  <si>
    <t xml:space="preserve"> 21y030d    2:04:23     Ayele Abshiro Biza (ETH)          28 Dec 1990   27 Jan 2012  Dubai UAE</t>
  </si>
  <si>
    <t xml:space="preserve"> 22y249d    2:04:52     Feyisa Lelisa Gemechu (ETH)       01 Feb 1990   07 Oct 2012  Chicago IL USA</t>
  </si>
  <si>
    <t xml:space="preserve"> 23y137d    2:04:15     Birhanu Legese Gurmese (ETH)      11 Sep 1994   26 Jan 2018  Dubai UAE</t>
  </si>
  <si>
    <t xml:space="preserve"> 24y128d    2:04:02     Leul Gebrselasie (ETH)            20 Sep 1993   26 Jan 2018  Dubai UAE</t>
  </si>
  <si>
    <t xml:space="preserve"> 25y018d    2:02:48     Birhanu Legese Gurmese (ETH)      11 Sep 1994   29 Sep 2019  Berlin GER</t>
  </si>
  <si>
    <t xml:space="preserve"> 26y207d    2:03:38     Patrick Makau Musyoki (KEN)       02 Mar 1985   25 Sep 2011  Berlin GER</t>
  </si>
  <si>
    <t xml:space="preserve"> 27y075d    2:02:55     Mosinet Geremew Bayih (ETH)       12 Feb 1992   28 Apr 2019  London ENG</t>
  </si>
  <si>
    <t xml:space="preserve"> 28y291d    2:03:36     Sisay Lemma Kasaye (ETH)          12 Dec 1990   29 Sep 2019  Berlin GER</t>
  </si>
  <si>
    <t xml:space="preserve"> 29y351d    2:03:13.3   Emanuel Mutai Kipchirchir (KEN)   12 Oct 1984   28 Sep 2014  Berlin GER</t>
  </si>
  <si>
    <t xml:space="preserve"> 30y249d    2:02:56.4   Dennis Kipruto Kimetto (KEN)      22 Jan 1984   28 Sep 2014  Berlin GER</t>
  </si>
  <si>
    <t xml:space="preserve"> 31y171d    2:03:05     Eliud Kipchoge (KEN)              05 Nov 1984   24 Apr 2016  London ENG</t>
  </si>
  <si>
    <t xml:space="preserve"> 32y323d    2:03:32     Eliud Kipchoge (KEN)              05 Nov 1984   24 Sep 2017  Berlin GER</t>
  </si>
  <si>
    <t xml:space="preserve"> 33y315d    2:01:39     Eliud Kipchoge (KEN)              05 Nov 1984   16 Sep 2018  Berlin GER</t>
  </si>
  <si>
    <t xml:space="preserve"> 34y175d    2:02:37     Eliud Kipchoge (KEN)              05 Nov 1984   28 Apr 2019  London ENG</t>
  </si>
  <si>
    <t xml:space="preserve"> 35y163d    2:03:58.2   Haile Gebreselasie (ETH)          18 Apr 1973   28 Sep 2008  Berlin GER</t>
  </si>
  <si>
    <t xml:space="preserve"> 36y339d    2:05:27     Jaouad Gharib (MAR)               22 May 1972   26 Apr 2009  London ENG</t>
  </si>
  <si>
    <t xml:space="preserve"> 37y108d    2:01:41     Kenenisa Bekele Beyeche (ETH)     13 Jun 1982   29 Sep 2019  Berlin GER</t>
  </si>
  <si>
    <t xml:space="preserve"> 38y109d    2:06:05     Mariko Kiplagat Kipchumba (KEN)   04 Jul 1974   21 Oct 2012  Reims FRA</t>
  </si>
  <si>
    <t xml:space="preserve"> 39y112d    2:06:00     Mark Kiptoo Kosgei (KEN)          21 Jun 1976   11 Oct 2015  Eindhoven NED</t>
  </si>
  <si>
    <t xml:space="preserve"> 40y236d    2:08:46     Andres Espinosa Perez (MEX)       04 Feb 1963   28 Sep 2003  Berlin GER</t>
  </si>
  <si>
    <t xml:space="preserve"> 41y301d    2:08:42     Kenneth Mburu Mungara (KEN)       07 Sep 1973   05 Jul 2015  Gold Coast AUS</t>
  </si>
  <si>
    <t xml:space="preserve"> 42y129d    2:07:50     Mark Kiptoo Kosgei (KEN)          21 Jun 1976   28 Oct 2018  Frankfurt GER</t>
  </si>
  <si>
    <t xml:space="preserve"> 43y298d    2:09:04     Kenneth Mburu Mungara (KEN)       07 Sep 1973   02 Jul 2017  Gold Coast AUS</t>
  </si>
  <si>
    <t xml:space="preserve"> 44y297d    2:09:09     Kenneth Mburu Mungara (KEN)       07 Sep 1973   01 Jul 2018  Gold Coast AUS</t>
  </si>
  <si>
    <t xml:space="preserve"> 45y201d    2:12:47     Kenneth Mburu Mungara (KEN)       07 Sep 1973   17 Feb 2019  Hong Kong HKG</t>
  </si>
  <si>
    <t xml:space="preserve"> 46y286d    2:15:24     Reuben Chesang Kambich (KEN)      22 Dec 1962   04 Oct 2009  Saint Paul MN USA</t>
  </si>
  <si>
    <t xml:space="preserve"> 47y122d    2:16:20     Jackson Kipngok Yegon (KEN)       16 Aug 1960   16 Dec 2007  Monterrey MEX</t>
  </si>
  <si>
    <t xml:space="preserve"> 48y270d    2:18:57     Ayele Setegne (ISR)               11 Apr 1962   06 Jan 2011  Tiberias ISR</t>
  </si>
  <si>
    <t xml:space="preserve"> 49y113d    2:19:47     Kjell-Erik Stahl (SWE)            17 Feb 1946   10 Jun 1995  Stockholm SWE</t>
  </si>
  <si>
    <t xml:space="preserve"> 50y190d    2:19:29     Titus Mamabolo (RSA)              11 Jan 1941   20 Jul 1991  Durban RSA</t>
  </si>
  <si>
    <t xml:space="preserve"> 51y028d    2:24:18     Piet vanAlphen (NED)              16 Aug 1930   13 Sep 1981  Eugene OR USA</t>
  </si>
  <si>
    <t xml:space="preserve"> 52y236d    2:22:14     Piet vanAlphen (NED)              16 Aug 1930   09 Apr 1983  Rotterdam NED</t>
  </si>
  <si>
    <t xml:space="preserve"> 53y067d    2:23:44     Piet vanAlphen (NED)              16 Aug 1930   22 Oct 1983  Etten-Leur NED</t>
  </si>
  <si>
    <t xml:space="preserve"> 54y247d    2:26:35     Piet vanAlphen (NED)              16 Aug 1930   20 Apr 1985  Rotterdam NED</t>
  </si>
  <si>
    <t xml:space="preserve"> 55y246d    2:25:56     Piet vanAlphen (NED)              16 Aug 1930   19 Apr 1986  Rotterdam NED</t>
  </si>
  <si>
    <t xml:space="preserve"> 56y236d    2:27:05     Erik-Verner Ostbye (SWE)          25 Jan 1921   18 Sep 1977  Goteborg SWE</t>
  </si>
  <si>
    <t xml:space="preserve"> 57y103d    2:33:12     Norman Green (USA)                27 Jun 1932   08 Oct 1989  Saint Paul MN USA</t>
  </si>
  <si>
    <t xml:space="preserve"> 58y021d    2:35:51     Alex Ratelle (USA)                12 Sep 1924   03 Oct 1982  Saint Paul MN USA</t>
  </si>
  <si>
    <t xml:space="preserve"> 59y089d    2:30:19     Thomas Hughes (IRL)               08 Jan 1960   07 Apr 2019  Rotterdam NED</t>
  </si>
  <si>
    <t xml:space="preserve"> 60y027d    2:36:30     Yoshihisa Hosaka (JPN)            05 Jan 1949   01 Feb 2009  Oita JPN</t>
  </si>
  <si>
    <t xml:space="preserve"> 61y033d    2:38:12     Yoshihisa Hosaka (JPN)            05 Jan 1949   07 Feb 2010  Oita JPN</t>
  </si>
  <si>
    <t xml:space="preserve"> 62y202d    2:41:07     John Gilmour (AUS)                03 May 1919   21 Nov 1981  Albany AUS</t>
  </si>
  <si>
    <t xml:space="preserve"> 63y030d    2:45:23     John Shaw (AUS)                   03 Jun 1953   03 Jul 2016  Gold Coast AUS</t>
  </si>
  <si>
    <t xml:space="preserve"> 64y072d    2:42:44     Clive Davies (USA)                17 Aug 1915   28 Oct 1979  Portland OR USA</t>
  </si>
  <si>
    <t xml:space="preserve"> 65y129d    2:41:57     Derek Turnbull (NZL)              05 Dec 1926   12 Apr 1992  London ENG</t>
  </si>
  <si>
    <t xml:space="preserve"> 66y027d    2:42:49     Clive Davies (USA)                17 Aug 1915   13 Sep 1981  Eugene OR USA</t>
  </si>
  <si>
    <t xml:space="preserve"> 67y045d    2:51:07     Luigi Passerini (ITA)             22 Feb 1923   08 Apr 1990  Mirandola ITA</t>
  </si>
  <si>
    <t xml:space="preserve"> 68y253d    2:51:02     Ed Whitlock (CAN)                 06 Mar 1931   14 Nov 1999  Columbus OH USA</t>
  </si>
  <si>
    <t xml:space="preserve"> 69y237d    2:52:50     Ed Whitlock (CAN)                 06 Mar 1931   29 Oct 2000  Columbus OH USA</t>
  </si>
  <si>
    <t xml:space="preserve"> 70y256d    2:54:23     Gene Dykes (PA/USA)               03 Apr 1948   15 Dec 2018  Jacksonville FL USA</t>
  </si>
  <si>
    <t xml:space="preserve"> 71y306d    3:00:58     John Keston (USA)                 05 Dec 1924   06 Oct 1996  Saint Paul MN USA</t>
  </si>
  <si>
    <t xml:space="preserve"> 72y206d    2:59:09.3   Ed Whitlock (CAN)                 06 Mar 1931   28 Sep 2003  Toronto ON CAN</t>
  </si>
  <si>
    <t xml:space="preserve"> 73y204d    2:54:48.3   Ed Whitlock (CAN)                 06 Mar 1931   26 Sep 2004  Toronto ON CAN</t>
  </si>
  <si>
    <t xml:space="preserve"> 74y035d    2:58:40.0   Ed Whitlock (CAN)                 06 Mar 1931   10 Apr 2005  Rotterdam NED</t>
  </si>
  <si>
    <t xml:space="preserve"> 75y202d    3:08:34.5   Ed Whitlock (CAN)                 06 Mar 1931   24 Sep 2006  Toronto ON CAN</t>
  </si>
  <si>
    <t xml:space="preserve"> 76y040d    3:04:53.4   Ed Whitlock (CAN)                 06 Mar 1931   15 Apr 2007  Rotterdam NED</t>
  </si>
  <si>
    <t xml:space="preserve"> 77y143d    3:33:27     Ed Benham (USA)                   12 Jul 1907   02 Dec 1984  San Diego CA USA</t>
  </si>
  <si>
    <t xml:space="preserve"> 78y101d    3:36:59     Warren Utes (USA)                 25 Jun 1920   04 Oct 1998  Saint Paul MN USA</t>
  </si>
  <si>
    <t xml:space="preserve"> 79y288d    3:47:01     Antonino Caponetto (ITA)          11 Dec 1931   25 Sep 2011  Bergamo ITA</t>
  </si>
  <si>
    <t xml:space="preserve"> 80y224d    3:15:53.9   Ed Whitlock (CAN)                 06 Mar 1931   16 Oct 2011  Toronto ON CAN</t>
  </si>
  <si>
    <t xml:space="preserve"> 81y222d    3:30:28.4   Ed Whitlock (CAN)                 06 Mar 1931   14 Oct 2012  Toronto ON CAN</t>
  </si>
  <si>
    <t xml:space="preserve"> 82y228d    3:41:57.8   Ed Whitlock (CAN)                 06 Mar 1931   20 Oct 2013  Toronto ON CAN</t>
  </si>
  <si>
    <t xml:space="preserve"> 83y283d    4:19:07     Antonino Caponetto (ITA)          11 Dec 1931   20 Sep 2015  Porto San Giorgio ITA</t>
  </si>
  <si>
    <t xml:space="preserve"> 84y086d    4:17:51     Ed Benham (USA)                   12 Jul 1907   06 Oct 1991  Saint Paul MN USA</t>
  </si>
  <si>
    <t xml:space="preserve"> 85y224d    3:56:38     Ed Whitlock (CAN)                 06 Mar 1931   16 Oct 2016  Toronto ON CAN</t>
  </si>
  <si>
    <t xml:space="preserve"> 86y129d    4:34:55     Robert Horman (AUS)               26 Feb 1918   04 Jul 2004  Gold Coast AUS</t>
  </si>
  <si>
    <t xml:space="preserve"> 87y072d    5:09:41     Charles Bancarel (FRA)            12 Aug 1929   23 Oct 2016  Toulouse FRA</t>
  </si>
  <si>
    <t xml:space="preserve"> 88y068d    6:05:53     Mike Fremont (USA)                23 Feb 1922   02 May 2010  Cincinnati OH USA</t>
  </si>
  <si>
    <t xml:space="preserve"> 89y094d    6:35:38     Sam Gadless (USA)                 30 Nov 1906   03 Mar 1996  Los Angeles CA USA</t>
  </si>
  <si>
    <t xml:space="preserve"> 90y262d    6:35:47     Mike Fremont (USA)                23 Feb 1922   11 Nov 2012  Huntington WV USA</t>
  </si>
  <si>
    <t xml:space="preserve">  6y285d    4:27:32     Mary Etta Boitano (USA)           04 Mar 1963   14 Dec 1969  Petaluma CA USA</t>
  </si>
  <si>
    <t xml:space="preserve">  7y284d    3:57:42     Mary Etta Boitano (USA)           04 Mar 1963   13 Dec 1970  Petaluma CA USA</t>
  </si>
  <si>
    <t xml:space="preserve">  8y354d    3:13:24     Tabitha Francks (USA)             24 Nov 1974   13 Nov 1983  Asbury Park NJ USA</t>
  </si>
  <si>
    <t xml:space="preserve">  9y182d    3:11:01     Julie Mullin (USA)                30 Aug 1966   28 Feb 1976  Seaside OR USA</t>
  </si>
  <si>
    <t xml:space="preserve"> 10y180d    2:58:01     Julie Mullin (USA)                30 Aug 1966   26 Feb 1977  Seaside OR USA</t>
  </si>
  <si>
    <t xml:space="preserve"> 11y116d    2:49:21     Carrie Garritson (USA)            11 Nov 1976   06 Mar 1988  Los Angeles CA USA</t>
  </si>
  <si>
    <t xml:space="preserve"> 12y161d    2:54:03     Manuela Zipse (GER)               11 May 1974   19 Oct 1986  Echternach LUX</t>
  </si>
  <si>
    <t xml:space="preserve"> 13y304d    2:44:03     Kyung-Hee Lim (KOR)               15 May 1973   15 Mar 1987  Seoul KOR</t>
  </si>
  <si>
    <t xml:space="preserve"> 14y105d    2:33:08     Xin Wei (CHN)                     07 Jul 1988   20 Oct 2002  Beijing CHN</t>
  </si>
  <si>
    <t xml:space="preserve"> 15y213d    2:29:41     Mei-yu Shen (CHN)                 21 Mar 1987   20 Oct 2002  Beijing CHN</t>
  </si>
  <si>
    <t xml:space="preserve"> 16y328d    2:31:51     Li-nan Wang (CHN)                 26 Nov 1985   20 Oct 2002  Beijing CHN</t>
  </si>
  <si>
    <t xml:space="preserve"> 17y319d    2:23:37     Min Liu (CHN)                     29 Nov 1983   14 Oct 2001  Beijing CHN</t>
  </si>
  <si>
    <t xml:space="preserve"> 18y001d    2:22:38     Ying-ying Zhang (CHN)             04 Jan 1990   05 Jan 2008  Xiamen CHN</t>
  </si>
  <si>
    <t xml:space="preserve"> 19y002d    2:20:59     Demise Shure Ware (ETH)           21 Jan 1996   23 Jan 2015  Dubai UAE</t>
  </si>
  <si>
    <t xml:space="preserve"> 20y265d    2:19:17     Roza Dereje Bekele (ETH)          06 May 1997   26 Jan 2018  Dubai UAE</t>
  </si>
  <si>
    <t xml:space="preserve"> 21y357d    2:20:51     Roza Dereje Bekele (ETH)          06 May 1997   28 Apr 2019  London ENG</t>
  </si>
  <si>
    <t xml:space="preserve"> 22y099d    2:19:52     Mare Dibaba Hurssa (ETH)          20 Oct 1989   27 Jan 2012  Dubai UAE</t>
  </si>
  <si>
    <t xml:space="preserve"> 23y273d    2:20:13     Haftamnesh Tesfaye Haylu (ETH)    28 Apr 1994   26 Jan 2018  Dubai UAE</t>
  </si>
  <si>
    <t xml:space="preserve"> 24y170d    2:17:08     Ruth Chepngetich (KEN)            08 Aug 1994   25 Jan 2019  Dubai UAE</t>
  </si>
  <si>
    <t xml:space="preserve"> 25y067d    2:19:41     Brigid Kosgei (KEN)               20 Feb 1994   28 Apr 2019  London ENG</t>
  </si>
  <si>
    <t xml:space="preserve"> 26y139d    2:20:43     Tegla Loroupe (KEN)               09 May 1973   25 Sep 1999  Berlin GER</t>
  </si>
  <si>
    <t xml:space="preserve"> 27y084d    2:19:12     Mizuki Noguchi (JPN)              03 Jul 1978   25 Sep 2005  Berlin GER</t>
  </si>
  <si>
    <t xml:space="preserve"> 28y300d    2:17:17.7   Paula Radcliffe (ENG)             17 Dec 1973   13 Oct 2002  Chicago IL USA</t>
  </si>
  <si>
    <t xml:space="preserve"> 29y117d    2:15:24.6   Paula Radcliffe (ENG)             17 Dec 1973   13 Apr 2003  London ENG</t>
  </si>
  <si>
    <t xml:space="preserve"> 30y095d    2:18:37     Mary Keitany Chepkosgei (KEN)     18 Jan 1982   22 Apr 2012  London ENG</t>
  </si>
  <si>
    <t xml:space="preserve"> 31y121d    2:17:42     Paula Radcliffe (ENG)             17 Dec 1973   17 Apr 2005  London ENG</t>
  </si>
  <si>
    <t xml:space="preserve"> 32y129d    2:18:31     Tirunesh Dibaba (ETH)             01 Jun 1985   08 Oct 2017  Chicago IL USA</t>
  </si>
  <si>
    <t xml:space="preserve"> 33y107d    2:18:35     Tirunesh Dibaba (ETH)             01 Jun 1985   16 Sep 2018  Berlin GER</t>
  </si>
  <si>
    <t xml:space="preserve"> 34y212d    2:18:31     Vivian Cheruiyot (KEN)            11 Sep 1983   22 Apr 2018  London ENG</t>
  </si>
  <si>
    <t xml:space="preserve"> 35y095d    2:17:01     Mary Keitany Chepkosgei (KEN)     18 Jan 1982   23 Apr 2017  London ENG</t>
  </si>
  <si>
    <t xml:space="preserve"> 36y036d    2:19:18.4   Irina Mikitenko (GER)             23 Aug 1972   28 Sep 2008  Berlin GER</t>
  </si>
  <si>
    <t xml:space="preserve"> 37y198d    2:21:29     Lyudmila Petrova (RUS)            07 Oct 1968   23 Apr 2006  London ENG</t>
  </si>
  <si>
    <t xml:space="preserve"> 38y305d    2:21:18     Edna Kiplagat Ngeringwony (KEN)   15 Nov 1979   16 Sep 2018  Berlin GER</t>
  </si>
  <si>
    <t xml:space="preserve"> 39y274d    2:22:12     Nancy Jepkosgei Kiprop (KEN)      07 Jul 1979   07 Apr 2019  Vienna AUT</t>
  </si>
  <si>
    <t xml:space="preserve"> 40y185d    2:23:31     Lydia Cheromei Kogo (KEN)         11 May 1977   12 Nov 2017  Shanghai CHN</t>
  </si>
  <si>
    <t xml:space="preserve"> 41y205d    2:22:11     Lydia Cheromei Kogo (KEN)         11 May 1977   02 Dec 2018  Valencia ESP</t>
  </si>
  <si>
    <t xml:space="preserve"> 42y070d    2:24:11     Sinead Diver (AUS)                17 Feb 1977   28 Apr 2019  London ENG</t>
  </si>
  <si>
    <t xml:space="preserve"> 43y221d    2:29:25     Tatyana Pozdniakova (UKR)         04 Mar 1955   11 Oct 1998  Chicago IL USA</t>
  </si>
  <si>
    <t xml:space="preserve"> 44y195d    2:29:43     Joyce Smith (ENG)                 26 Oct 1937   09 May 1982  London ENG</t>
  </si>
  <si>
    <t xml:space="preserve"> 45y141d    2:28:34     Catherine Bertone (ITA)           06 May 1972   24 Sep 2017  Berlin GER</t>
  </si>
  <si>
    <t xml:space="preserve"> 46y364d    2:30:26     Tatyana Pozdniakova (UKR)         04 Mar 1955   03 Mar 2002  Los Angeles CA USA</t>
  </si>
  <si>
    <t xml:space="preserve"> 47y223d    2:28:59.5   Tatyana Pozdniakova (UKR)         04 Mar 1955   13 Oct 2002  Providence RI USA</t>
  </si>
  <si>
    <t xml:space="preserve"> 48y225d    2:37:46     Ramilya Burangulova (RUS)         11 Jul 1961   21 Feb 2010  Jacksonville Beach FL USA</t>
  </si>
  <si>
    <t xml:space="preserve"> 49y003d    2:30:17     Tatyana Pozdniakova (UKR)         04 Mar 1955   07 Mar 2004  Los Angeles CA USA</t>
  </si>
  <si>
    <t xml:space="preserve"> 50y002d    2:31:05     Tatyana Pozdniakova (UKR)         04 Mar 1955   06 Mar 2005  Los Angeles CA USA</t>
  </si>
  <si>
    <t xml:space="preserve"> 51y015d    2:35:46     Tatyana Pozdniakova (UKR)         04 Mar 1955   19 Mar 2006  Los Angeles CA USA</t>
  </si>
  <si>
    <t xml:space="preserve"> 52y108d    2:48:47     Edeltraud Pohl (GER)              14 Jul 1936   30 Oct 1988  Frankfurt GER</t>
  </si>
  <si>
    <t xml:space="preserve"> 53y147d    2:47:50     Joan Samuelson (USA)              16 May 1957   10 Oct 2010  Chicago IL USA</t>
  </si>
  <si>
    <t xml:space="preserve"> 54y013d    2:53:49     Sally Gibbs (NZL)                 05 Jun 1963   18 Jun 2017  Wellington NZL</t>
  </si>
  <si>
    <t xml:space="preserve"> 55y076d    2:52:14     Rae Baymiller (USA)               27 Jul 1943   11 Oct 1998  Chicago IL USA</t>
  </si>
  <si>
    <t xml:space="preserve"> 56y024d    2:55:04     Angharad Mair (WAL)               30 Mar 1961   23 Apr 2017  London ENG</t>
  </si>
  <si>
    <t xml:space="preserve"> 57y112d    2:54:29     Jung-Ok Kim (KOR)                 14 Jul 1956   03 Nov 2013  Seoul KOR</t>
  </si>
  <si>
    <t xml:space="preserve"> 58y281d    2:58:37     Christine Kennedy (USA)           29 Dec 1954   06 Oct 2013  Saint Paul MN USA</t>
  </si>
  <si>
    <t xml:space="preserve"> 59y280d    2:59:43     Christine Kennedy (USA)           29 Dec 1954   05 Oct 2014  Saint Paul MN USA</t>
  </si>
  <si>
    <t xml:space="preserve"> 60y312d    3:01:30     Bernardine Portenski (NZL)        26 Aug 1949   04 Jul 2010  Gold Coast AUS</t>
  </si>
  <si>
    <t xml:space="preserve"> 61y351d    3:06:36     Kimi Ushiroda (JPN)               28 Feb 1954   14 Feb 2016  Nobeoka JPN</t>
  </si>
  <si>
    <t xml:space="preserve"> 62y072d    3:02:05     Ria VanLandeghem (BEL)            19 Jul 1957   29 Sep 2019  Berlin GER</t>
  </si>
  <si>
    <t xml:space="preserve"> 63y241d    3:07:48     Emmi Luthi (SUI)                  01 Mar 1944   28 Oct 2007  Lucerne SUI</t>
  </si>
  <si>
    <t xml:space="preserve"> 64y108d    3:19:18     Yuriko Tanaka (JPN)               31 Jul 1944   16 Nov 2008  Oiso JPN</t>
  </si>
  <si>
    <t xml:space="preserve"> 65y056d    3:12:56.6   Emmi Luthi (SUI)                  01 Mar 1944   26 Apr 2009  Zurich SUI</t>
  </si>
  <si>
    <t xml:space="preserve"> 66y162d    3:19:05     Angela Copson (ENG)               20 Apr 1947   29 Sep 2013  Berlin GER</t>
  </si>
  <si>
    <t xml:space="preserve"> 67y278d    3:18:55     Caroline Horder (ENG)             16 Jan 1951   21 Oct 2018  Abingdon ENG</t>
  </si>
  <si>
    <t xml:space="preserve"> 68y218d    3:19:37     Yuko Gordon (ENG)                 23 Feb 1951   29 Sep 2019  Berlin GER</t>
  </si>
  <si>
    <t xml:space="preserve"> 69y184d    3:29:41     Jeannie Rice (USA)                14 Apr 1948   15 Oct 2017  Columbus OH USA</t>
  </si>
  <si>
    <t xml:space="preserve"> 70y176d    3:27:50     Jeannie Rice (USA)                14 Apr 1948   07 Oct 2018  Chicago IL USA</t>
  </si>
  <si>
    <t xml:space="preserve"> 71y168d    3:24:48     Jeannie Rice (USA)                14 Apr 1948   29 Sep 2019  Berlin GER</t>
  </si>
  <si>
    <t xml:space="preserve"> 72y204d    3:35:29     Helga Miketta (GER)               23 Mar 1941   13 Oct 2013  Essen GER</t>
  </si>
  <si>
    <t xml:space="preserve"> 73y285d    3:42:19     Vera Nystad (NOR)                 18 Dec 1945   29 Sep 2019  Berlin GER</t>
  </si>
  <si>
    <t xml:space="preserve"> 74y146d    3:49:31     Helga Miketta (GER)               23 Mar 1941   16 Aug 2015  Lyon FRA</t>
  </si>
  <si>
    <t xml:space="preserve"> 75y018d    4:05:39     Yoko Nakano (JPN)                 12 Jan 1936   30 Jan 2011  Hitachinaka JPN</t>
  </si>
  <si>
    <t xml:space="preserve"> 76y316d    3:53:42     Yoko Nakano (JPN)                 12 Jan 1936   23 Nov 2012  Otawara JPN</t>
  </si>
  <si>
    <t xml:space="preserve"> 77y214d    4:24:27.4   Sylvia Quinn (USA)                23 Oct 1936   25 May 2014  Coeur d'Alene ID USA</t>
  </si>
  <si>
    <t xml:space="preserve"> 78y220d    4:19:52     Sylvia Quinn (USA)                23 Oct 1936   31 May 2015  Coeur d'Alene ID USA</t>
  </si>
  <si>
    <t xml:space="preserve"> 79y062d    4:11:50     Yoko Nakano (JPN)                 12 Jan 1936   15 Mar 2015  Yokohama JPN</t>
  </si>
  <si>
    <t xml:space="preserve"> 80y051d    4:12:43.6   Gwen McFarlan (CAN)               04 Apr 1934   25 May 2014  Ottawa ON CAN</t>
  </si>
  <si>
    <t xml:space="preserve"> 81y045d    4:07:31     Yoko Nakano (JPN)                 12 Jan 1936   26 Feb 2017  Tokyo JPN</t>
  </si>
  <si>
    <t xml:space="preserve"> 82y044d    4:37:43     Yoko Nakano (JPN)                 12 Jan 1936   25 Feb 2018  Tokyo JPN</t>
  </si>
  <si>
    <t xml:space="preserve"> 83y053d    5:00:14     Yoko Nakano (JPN)                 12 Jan 1936   06 Mar 2019  Tokyo JPN</t>
  </si>
  <si>
    <t xml:space="preserve"> 84y094d    5:44:22     Helga-Maria Kundig (SUI)          28 Jun 1928   30 Sep 2012  Berlin GER</t>
  </si>
  <si>
    <t xml:space="preserve"> 85y032d    5:12:03     Betty Jean McHugh (CAN)           07 Nov 1927   09 Dec 2012  Honolulu HI USA</t>
  </si>
  <si>
    <t xml:space="preserve"> 86y285d    6:31:42     Margaret Davis (USA)              13 Aug 1922   25 May 2009  Los Angeles CA USA</t>
  </si>
  <si>
    <t xml:space="preserve"> 87y183d    7:06:48     Mavis Lindgren (USA)              02 Apr 1907   02 Oct 1994  Portland OR USA</t>
  </si>
  <si>
    <t xml:space="preserve"> 88y036d    6:31:32     Betty Jean McHugh (CAN)           07 Nov 1927   13 Dec 2015  Honolulu HI USA</t>
  </si>
  <si>
    <t xml:space="preserve"> 89y180d    8:09:23     Mavis Lindgren (USA)              02 Apr 1907   29 Sep 1996  Portland OR USA</t>
  </si>
  <si>
    <t xml:space="preserve"> 90y033d    6:47:31     Betty Jean McHugh (CAN)           07 Nov 1927   10 Dec 2017  Honolulu HI USA</t>
  </si>
  <si>
    <t xml:space="preserve"> 92y019d    9:53:48     Gladys Burrill (CAN)              23 Nov 1918   12 Dec 2010  Honolulu HI USA</t>
  </si>
  <si>
    <t xml:space="preserve"> 82y044d    4:34:04     Yoko Nakano (JPN)                 12 Jan 1936   25 Feb 2018  Tokyo JPN</t>
  </si>
  <si>
    <t xml:space="preserve"> 83y053d    4:51:24     Yoko Nakano (JPN)                 12 Jan 1936   06 Mar 2019  Tokyo JPN</t>
  </si>
  <si>
    <t>Last Updated on 01 Nov 2019 sp</t>
  </si>
  <si>
    <t>Last accessed 7/2/20</t>
  </si>
  <si>
    <t xml:space="preserve">Notes from website: </t>
  </si>
  <si>
    <t>"This section lists the fastest performances for each single age and for each of the standard distances, as known to ADR. Performances are subject to the same standards as listing for national records plus the additional requirement that the runner's date of birth (as well as the race date) must be known. These are required to be able to document the runner's exact age at the time of the performance. Single age records that meet the ARRS qualifying standards may be expected to be fairly reliable. At older (and younger) ages, the best marks known to ARRS are listed."</t>
  </si>
  <si>
    <t>"The IAAF does not ratify or maintain world single age records.  The USATF does not have jurisdiction over world records and does not ratify single age records altho the USATF maintains such lists for the USA.  These records should be identified as ARRS recognized world records."</t>
  </si>
  <si>
    <t>Re: Road Records. Record quality performances are those made on standard (loop) courses that are believed to be accurate. Marks made on point-to-point courses, defined as those courses whose start and finish lie more than 30% of the race distance apart and/or whose drop exceeds 1 meter per kilometer are not included.</t>
  </si>
  <si>
    <t>Association of Road Racing Statisticians (ARRS) </t>
  </si>
  <si>
    <t>Last updated 11/1/2019</t>
  </si>
  <si>
    <t>Race Date</t>
  </si>
  <si>
    <t>Race Location</t>
  </si>
  <si>
    <t>Gender</t>
  </si>
  <si>
    <t>Total</t>
  </si>
  <si>
    <t>Source info:</t>
  </si>
  <si>
    <t>Record Stats</t>
  </si>
  <si>
    <t>Total (#)</t>
  </si>
  <si>
    <t>After Date (#)</t>
  </si>
  <si>
    <t>After Date (%)</t>
  </si>
  <si>
    <t>After Date AND 18-84 (#)</t>
  </si>
  <si>
    <t>After Date AND 18-84 (%)</t>
  </si>
  <si>
    <t>Date =</t>
  </si>
  <si>
    <t>Brigid</t>
  </si>
  <si>
    <t xml:space="preserve">Kosgei </t>
  </si>
  <si>
    <t>Chicago Marathon</t>
  </si>
  <si>
    <t>Chicago, IL</t>
  </si>
  <si>
    <t>pending Open WR</t>
  </si>
  <si>
    <t>Nancy</t>
  </si>
  <si>
    <t xml:space="preserve">Will </t>
  </si>
  <si>
    <t>Cape Town RSA</t>
  </si>
  <si>
    <t>Angela</t>
  </si>
  <si>
    <t xml:space="preserve">Copson </t>
  </si>
  <si>
    <t>Jane</t>
  </si>
  <si>
    <t xml:space="preserve">Davies </t>
  </si>
  <si>
    <t>London Marathon</t>
  </si>
  <si>
    <t>Manchester ENG</t>
  </si>
  <si>
    <t>Females:</t>
  </si>
  <si>
    <t>FNAME</t>
  </si>
  <si>
    <t>LNAME</t>
  </si>
  <si>
    <t>RACE_NAME</t>
  </si>
  <si>
    <t>RACE_LOC</t>
  </si>
  <si>
    <t>RACE_DATE</t>
  </si>
  <si>
    <t>Toronto Waterfront Marathon</t>
  </si>
  <si>
    <t>Sam</t>
  </si>
  <si>
    <t>Gadless</t>
  </si>
  <si>
    <t>NYC Marathon</t>
  </si>
  <si>
    <t>New York, NY</t>
  </si>
  <si>
    <t>Fauja</t>
  </si>
  <si>
    <t>Singh</t>
  </si>
  <si>
    <t>India</t>
  </si>
  <si>
    <t>Explanation of / notes about difference</t>
  </si>
  <si>
    <t>1 second</t>
  </si>
  <si>
    <t>ARRS posts no record</t>
  </si>
  <si>
    <t>ARRS hasn't updated with WR yet (still pending?)</t>
  </si>
  <si>
    <t>Need to ask Alan</t>
  </si>
  <si>
    <t>Alan's info (if different by other than 1 second)</t>
  </si>
  <si>
    <t>This table lists the single-age marathon records from the ARRS website.  In the righthand columns, it compares the ARRS results with Alan Jone's list.  Differences are highlighted yellow.  An additional table up top provides tallies/stats.</t>
  </si>
  <si>
    <t>Gun time (if net different)</t>
  </si>
  <si>
    <t>Alan Jones' times</t>
  </si>
  <si>
    <t>COURSE_CERT_SOURCE</t>
  </si>
  <si>
    <t>Other</t>
  </si>
  <si>
    <t>DOB2</t>
  </si>
  <si>
    <t>Summary of discrepancies b/w ARRS and Alan</t>
  </si>
  <si>
    <t>Males:</t>
  </si>
  <si>
    <t>None substantative (8 ages have 1 second difference-6,29,30,35,72,73,76,81; 3 ages don't have records on ARRS-91,92,100).</t>
  </si>
  <si>
    <t>3 need to ask Alan about (62,67,68 not updated by Alan); rest are not substantative (2 ages have 1 second difference-36,77; WR (25) not yet updated by ARRS by Alan uses)</t>
  </si>
  <si>
    <t># Yellow:</t>
  </si>
  <si>
    <t>SAR</t>
  </si>
  <si>
    <t>SAR_min</t>
  </si>
  <si>
    <t>Male Open Standard</t>
  </si>
  <si>
    <t xml:space="preserve">Female Open Standard </t>
  </si>
  <si>
    <t>SAR vs 20AS diff (min)</t>
  </si>
  <si>
    <t>After_2015?</t>
  </si>
  <si>
    <t>Revisions</t>
  </si>
  <si>
    <t>This table compares the marathon single-age records (as of June 2020) with the 2020 age standards (approved by USATF 5/20/20), in minutes and as a percentage.</t>
  </si>
  <si>
    <t>Male</t>
  </si>
  <si>
    <t>Female</t>
  </si>
  <si>
    <t>WR</t>
  </si>
  <si>
    <t>WR?</t>
  </si>
  <si>
    <t>***This worksheet is the work of Alan L. Jones (@AlanLyttonJones), accessible via his Github repository, "Age-Graded Tables" https://github.com/AlanLyttonJones/Age-Grade-Tables, (previously accessible at https://www.runscore.com/Alan/AgeGrade.html), licensed by CC BY 4.0, and last accessed 7/4/20.  This table contains the 2015 age factors, which are used in age-grading race results, for the marathon, ages 5-100, for men and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</si>
</sst>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ss;@"/>
    <numFmt numFmtId="165" formatCode="0.0000"/>
    <numFmt numFmtId="166" formatCode="0.000"/>
    <numFmt numFmtId="167" formatCode="m/d/yy;@"/>
    <numFmt numFmtId="168" formatCode="m/d/yyyy;@"/>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
      <sz val="8"/>
      <name val="Calibri"/>
      <family val="2"/>
      <scheme val="minor"/>
    </font>
    <font>
      <sz val="10"/>
      <name val="Arial"/>
      <family val="2"/>
    </font>
    <font>
      <sz val="18"/>
      <name val="Arial"/>
      <family val="2"/>
    </font>
    <font>
      <sz val="16"/>
      <color rgb="FFFFFFFF"/>
      <name val="Gill Sans MT"/>
      <family val="2"/>
    </font>
    <font>
      <sz val="14"/>
      <color rgb="FF000000"/>
      <name val="Gill Sans MT"/>
      <family val="2"/>
    </font>
    <font>
      <b/>
      <sz val="18"/>
      <color rgb="FF000000"/>
      <name val="Gill Sans MT"/>
      <family val="2"/>
    </font>
    <font>
      <b/>
      <sz val="24"/>
      <color rgb="FF000000"/>
      <name val="Gill Sans MT"/>
      <family val="2"/>
    </font>
    <font>
      <sz val="10"/>
      <color theme="1"/>
      <name val="Arial"/>
      <family val="2"/>
    </font>
    <font>
      <sz val="10"/>
      <color rgb="FF000000"/>
      <name val="Calibri"/>
      <family val="2"/>
      <scheme val="minor"/>
    </font>
    <font>
      <b/>
      <sz val="11"/>
      <color theme="0"/>
      <name val="Calibri"/>
      <family val="2"/>
      <scheme val="minor"/>
    </font>
    <font>
      <b/>
      <u/>
      <sz val="11"/>
      <color theme="0"/>
      <name val="Calibri"/>
      <family val="2"/>
      <scheme val="minor"/>
    </font>
    <font>
      <u/>
      <sz val="12"/>
      <color theme="10"/>
      <name val="Arial"/>
      <family val="2"/>
    </font>
  </fonts>
  <fills count="7">
    <fill>
      <patternFill patternType="none"/>
    </fill>
    <fill>
      <patternFill patternType="gray125"/>
    </fill>
    <fill>
      <patternFill patternType="solid">
        <fgColor rgb="FFC7A1E3"/>
        <bgColor indexed="64"/>
      </patternFill>
    </fill>
    <fill>
      <patternFill patternType="solid">
        <fgColor rgb="FFFFFF00"/>
        <bgColor indexed="64"/>
      </patternFill>
    </fill>
    <fill>
      <patternFill patternType="solid">
        <fgColor rgb="FF000000"/>
        <bgColor indexed="64"/>
      </patternFill>
    </fill>
    <fill>
      <patternFill patternType="solid">
        <fgColor rgb="FFFAC777"/>
        <bgColor indexed="64"/>
      </patternFill>
    </fill>
    <fill>
      <patternFill patternType="solid">
        <fgColor theme="3" tint="0.39997558519241921"/>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theme="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7" fillId="0" borderId="0"/>
    <xf numFmtId="0" fontId="17" fillId="0" borderId="0" applyNumberFormat="0" applyFill="0" applyBorder="0" applyAlignment="0" applyProtection="0"/>
  </cellStyleXfs>
  <cellXfs count="93">
    <xf numFmtId="0" fontId="0" fillId="0" borderId="0" xfId="0"/>
    <xf numFmtId="21" fontId="0" fillId="0" borderId="0" xfId="0" applyNumberFormat="1"/>
    <xf numFmtId="0" fontId="3" fillId="0" borderId="0" xfId="0" applyFont="1"/>
    <xf numFmtId="0" fontId="4" fillId="0" borderId="0" xfId="2"/>
    <xf numFmtId="47" fontId="0" fillId="0" borderId="0" xfId="0" applyNumberFormat="1"/>
    <xf numFmtId="0" fontId="2" fillId="0" borderId="0" xfId="0" applyFont="1"/>
    <xf numFmtId="0" fontId="5" fillId="0" borderId="0" xfId="0" applyFont="1"/>
    <xf numFmtId="14" fontId="0" fillId="0" borderId="0" xfId="0" applyNumberFormat="1"/>
    <xf numFmtId="164" fontId="0" fillId="0" borderId="0" xfId="0" applyNumberFormat="1"/>
    <xf numFmtId="0" fontId="7" fillId="0" borderId="0" xfId="3"/>
    <xf numFmtId="166" fontId="7" fillId="0" borderId="0" xfId="3" applyNumberFormat="1"/>
    <xf numFmtId="0" fontId="9" fillId="4" borderId="1" xfId="0" applyFont="1" applyFill="1" applyBorder="1" applyAlignment="1">
      <alignment horizontal="center" vertical="center" wrapText="1" readingOrder="1"/>
    </xf>
    <xf numFmtId="0" fontId="8" fillId="0" borderId="2" xfId="0" applyFont="1" applyBorder="1" applyAlignment="1">
      <alignment vertical="center" wrapText="1"/>
    </xf>
    <xf numFmtId="0" fontId="10" fillId="0" borderId="1" xfId="0" applyFont="1" applyBorder="1" applyAlignment="1">
      <alignment horizontal="center" vertical="center" wrapText="1" readingOrder="1"/>
    </xf>
    <xf numFmtId="21" fontId="10" fillId="0" borderId="1" xfId="0" applyNumberFormat="1" applyFont="1" applyBorder="1" applyAlignment="1">
      <alignment horizontal="center" vertical="center" wrapText="1" readingOrder="1"/>
    </xf>
    <xf numFmtId="0" fontId="8" fillId="0" borderId="2" xfId="0" applyFont="1" applyBorder="1" applyAlignment="1">
      <alignment wrapText="1"/>
    </xf>
    <xf numFmtId="0" fontId="11" fillId="5" borderId="1" xfId="0" applyFont="1" applyFill="1" applyBorder="1" applyAlignment="1">
      <alignment horizontal="center" vertical="center" wrapText="1" readingOrder="1"/>
    </xf>
    <xf numFmtId="21" fontId="11" fillId="5" borderId="1" xfId="0" applyNumberFormat="1" applyFont="1" applyFill="1" applyBorder="1" applyAlignment="1">
      <alignment horizontal="center" vertical="center" wrapText="1" readingOrder="1"/>
    </xf>
    <xf numFmtId="21" fontId="12" fillId="3" borderId="1" xfId="0" applyNumberFormat="1" applyFont="1" applyFill="1" applyBorder="1" applyAlignment="1">
      <alignment horizontal="center" vertical="center" wrapText="1" readingOrder="1"/>
    </xf>
    <xf numFmtId="0" fontId="8" fillId="0" borderId="3" xfId="0" applyFont="1" applyBorder="1" applyAlignment="1">
      <alignment wrapText="1"/>
    </xf>
    <xf numFmtId="0" fontId="8" fillId="0" borderId="4" xfId="0" applyFont="1" applyBorder="1" applyAlignment="1">
      <alignment wrapText="1"/>
    </xf>
    <xf numFmtId="0" fontId="8" fillId="0" borderId="4" xfId="0" applyFont="1" applyBorder="1" applyAlignment="1">
      <alignment horizontal="center" wrapText="1"/>
    </xf>
    <xf numFmtId="0" fontId="8" fillId="0" borderId="0" xfId="0" applyFont="1" applyAlignment="1">
      <alignment wrapText="1"/>
    </xf>
    <xf numFmtId="0" fontId="8" fillId="0" borderId="5" xfId="0" applyFont="1" applyBorder="1" applyAlignment="1">
      <alignment wrapText="1"/>
    </xf>
    <xf numFmtId="0" fontId="8" fillId="0" borderId="5" xfId="0" applyFont="1" applyBorder="1" applyAlignment="1">
      <alignment horizontal="center" wrapText="1"/>
    </xf>
    <xf numFmtId="0" fontId="8" fillId="0" borderId="6" xfId="0" applyFont="1" applyBorder="1" applyAlignment="1">
      <alignment wrapText="1"/>
    </xf>
    <xf numFmtId="0" fontId="10" fillId="0" borderId="5" xfId="0" applyFont="1" applyBorder="1" applyAlignment="1">
      <alignment horizontal="left" wrapText="1" readingOrder="1"/>
    </xf>
    <xf numFmtId="0" fontId="8" fillId="0" borderId="7" xfId="0" applyFont="1" applyBorder="1" applyAlignment="1">
      <alignment wrapText="1"/>
    </xf>
    <xf numFmtId="0" fontId="10" fillId="0" borderId="2" xfId="0" applyFont="1" applyBorder="1" applyAlignment="1">
      <alignment horizontal="left" wrapText="1" readingOrder="1"/>
    </xf>
    <xf numFmtId="0" fontId="0" fillId="0" borderId="0" xfId="0" applyAlignment="1">
      <alignment wrapText="1"/>
    </xf>
    <xf numFmtId="0" fontId="0" fillId="0" borderId="0" xfId="0" applyFont="1"/>
    <xf numFmtId="14" fontId="0" fillId="0" borderId="0" xfId="0" applyNumberFormat="1" applyAlignment="1">
      <alignment horizontal="left"/>
    </xf>
    <xf numFmtId="0" fontId="0" fillId="0" borderId="0" xfId="0" applyAlignment="1">
      <alignment horizontal="right"/>
    </xf>
    <xf numFmtId="49" fontId="13" fillId="0" borderId="0" xfId="0" applyNumberFormat="1" applyFont="1" applyAlignment="1">
      <alignment horizontal="left"/>
    </xf>
    <xf numFmtId="0" fontId="13" fillId="0" borderId="0" xfId="0" applyFont="1" applyAlignment="1">
      <alignment horizontal="left"/>
    </xf>
    <xf numFmtId="168" fontId="13" fillId="0" borderId="0" xfId="0" applyNumberFormat="1" applyFont="1" applyAlignment="1">
      <alignment horizontal="left"/>
    </xf>
    <xf numFmtId="0" fontId="13" fillId="0" borderId="0" xfId="0" applyFont="1" applyAlignment="1">
      <alignment wrapText="1"/>
    </xf>
    <xf numFmtId="0" fontId="13" fillId="0" borderId="0" xfId="0" applyFont="1"/>
    <xf numFmtId="14" fontId="13" fillId="0" borderId="0" xfId="0" applyNumberFormat="1" applyFont="1" applyAlignment="1">
      <alignment horizontal="left"/>
    </xf>
    <xf numFmtId="0" fontId="14" fillId="0" borderId="0" xfId="0" applyFont="1" applyAlignment="1">
      <alignment horizontal="left"/>
    </xf>
    <xf numFmtId="0" fontId="7" fillId="0" borderId="0" xfId="0" applyFont="1" applyAlignment="1">
      <alignment horizontal="left"/>
    </xf>
    <xf numFmtId="0" fontId="15" fillId="0" borderId="0" xfId="0" applyFont="1" applyFill="1" applyBorder="1" applyAlignment="1">
      <alignment horizontal="center" vertical="center" wrapText="1"/>
    </xf>
    <xf numFmtId="0" fontId="0" fillId="0" borderId="10" xfId="0" applyFont="1" applyFill="1" applyBorder="1" applyAlignment="1">
      <alignment horizontal="center"/>
    </xf>
    <xf numFmtId="164" fontId="0" fillId="0" borderId="10" xfId="0" applyNumberFormat="1" applyFont="1" applyFill="1" applyBorder="1" applyAlignment="1">
      <alignment horizontal="center"/>
    </xf>
    <xf numFmtId="167" fontId="0" fillId="0" borderId="10" xfId="0" applyNumberFormat="1" applyFont="1" applyFill="1" applyBorder="1" applyAlignment="1">
      <alignment horizontal="center"/>
    </xf>
    <xf numFmtId="164" fontId="13" fillId="0" borderId="10" xfId="0" applyNumberFormat="1" applyFont="1" applyFill="1" applyBorder="1" applyAlignment="1">
      <alignment horizontal="center"/>
    </xf>
    <xf numFmtId="0" fontId="0" fillId="0" borderId="0" xfId="0" applyFill="1"/>
    <xf numFmtId="167" fontId="0" fillId="0" borderId="0" xfId="0" applyNumberFormat="1" applyFill="1"/>
    <xf numFmtId="0" fontId="15" fillId="0" borderId="0" xfId="0" applyFont="1" applyFill="1" applyAlignment="1">
      <alignment horizontal="center" vertical="center" wrapText="1"/>
    </xf>
    <xf numFmtId="0" fontId="13" fillId="0" borderId="0" xfId="0" applyFont="1" applyFill="1" applyAlignment="1">
      <alignment horizontal="left"/>
    </xf>
    <xf numFmtId="49" fontId="13" fillId="0" borderId="0" xfId="0" applyNumberFormat="1" applyFont="1" applyFill="1" applyAlignment="1">
      <alignment horizontal="left"/>
    </xf>
    <xf numFmtId="168" fontId="13" fillId="0" borderId="0" xfId="0" applyNumberFormat="1" applyFont="1" applyFill="1" applyAlignment="1">
      <alignment horizontal="left"/>
    </xf>
    <xf numFmtId="0" fontId="7" fillId="0" borderId="0" xfId="0" applyFont="1" applyFill="1" applyAlignment="1">
      <alignment horizontal="left"/>
    </xf>
    <xf numFmtId="14" fontId="7" fillId="0" borderId="0" xfId="0" applyNumberFormat="1" applyFont="1" applyFill="1" applyAlignment="1">
      <alignment horizontal="left"/>
    </xf>
    <xf numFmtId="49" fontId="15" fillId="0" borderId="0" xfId="0" applyNumberFormat="1" applyFont="1" applyFill="1" applyAlignment="1">
      <alignment horizontal="center" vertical="center" wrapText="1"/>
    </xf>
    <xf numFmtId="14" fontId="15" fillId="0" borderId="0" xfId="0" applyNumberFormat="1" applyFont="1" applyFill="1" applyAlignment="1">
      <alignment horizontal="center" vertical="center" wrapText="1"/>
    </xf>
    <xf numFmtId="49" fontId="13" fillId="0" borderId="0" xfId="0" applyNumberFormat="1" applyFont="1" applyAlignment="1">
      <alignment horizontal="center" vertical="center"/>
    </xf>
    <xf numFmtId="0" fontId="2" fillId="0" borderId="0" xfId="0" applyFont="1" applyBorder="1" applyAlignment="1">
      <alignment horizontal="center"/>
    </xf>
    <xf numFmtId="10" fontId="2" fillId="0" borderId="0" xfId="0" applyNumberFormat="1" applyFont="1" applyBorder="1" applyAlignment="1">
      <alignment horizontal="center"/>
    </xf>
    <xf numFmtId="0" fontId="16" fillId="0" borderId="14" xfId="0" applyFont="1" applyFill="1" applyBorder="1" applyAlignment="1">
      <alignment horizontal="center"/>
    </xf>
    <xf numFmtId="0" fontId="15" fillId="0" borderId="15" xfId="0" applyFont="1" applyFill="1" applyBorder="1" applyAlignment="1">
      <alignment horizontal="center"/>
    </xf>
    <xf numFmtId="0" fontId="15" fillId="0" borderId="16" xfId="0" applyFont="1" applyFill="1" applyBorder="1" applyAlignment="1">
      <alignment horizontal="center"/>
    </xf>
    <xf numFmtId="0" fontId="0" fillId="0" borderId="12" xfId="0" applyFont="1" applyFill="1" applyBorder="1" applyAlignment="1">
      <alignment horizontal="center"/>
    </xf>
    <xf numFmtId="0" fontId="0" fillId="0" borderId="11" xfId="0" applyFont="1" applyFill="1" applyBorder="1" applyAlignment="1">
      <alignment horizontal="center"/>
    </xf>
    <xf numFmtId="10" fontId="0" fillId="0" borderId="11" xfId="1" applyNumberFormat="1" applyFont="1" applyFill="1" applyBorder="1" applyAlignment="1">
      <alignment horizontal="center"/>
    </xf>
    <xf numFmtId="10" fontId="0" fillId="0" borderId="13" xfId="1" applyNumberFormat="1" applyFont="1" applyFill="1" applyBorder="1" applyAlignment="1">
      <alignment horizontal="center"/>
    </xf>
    <xf numFmtId="0" fontId="0" fillId="0" borderId="17" xfId="0" applyFont="1" applyFill="1" applyBorder="1" applyAlignment="1">
      <alignment horizontal="center"/>
    </xf>
    <xf numFmtId="0" fontId="0" fillId="0" borderId="18" xfId="0" applyFont="1" applyFill="1" applyBorder="1" applyAlignment="1">
      <alignment horizontal="center"/>
    </xf>
    <xf numFmtId="10" fontId="0" fillId="0" borderId="18" xfId="1" applyNumberFormat="1" applyFont="1" applyFill="1" applyBorder="1" applyAlignment="1">
      <alignment horizontal="center"/>
    </xf>
    <xf numFmtId="10" fontId="0" fillId="0" borderId="19" xfId="1" applyNumberFormat="1" applyFont="1" applyFill="1" applyBorder="1" applyAlignment="1">
      <alignment horizontal="center"/>
    </xf>
    <xf numFmtId="0" fontId="0" fillId="0" borderId="0" xfId="0" applyFill="1" applyAlignment="1">
      <alignment wrapText="1"/>
    </xf>
    <xf numFmtId="0" fontId="0" fillId="0" borderId="0" xfId="0" applyAlignment="1">
      <alignment horizontal="center"/>
    </xf>
    <xf numFmtId="10" fontId="2" fillId="6" borderId="0" xfId="1" applyNumberFormat="1" applyFont="1" applyFill="1" applyBorder="1" applyAlignment="1"/>
    <xf numFmtId="10" fontId="2" fillId="6" borderId="0" xfId="1" applyNumberFormat="1" applyFont="1" applyFill="1" applyBorder="1" applyAlignment="1">
      <alignment horizontal="center"/>
    </xf>
    <xf numFmtId="0" fontId="12" fillId="3" borderId="8"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12" fillId="3" borderId="9" xfId="0" applyFont="1" applyFill="1" applyBorder="1" applyAlignment="1">
      <alignment horizontal="center" vertical="center" wrapText="1" readingOrder="1"/>
    </xf>
    <xf numFmtId="0" fontId="11" fillId="5" borderId="8" xfId="0" applyFont="1" applyFill="1" applyBorder="1" applyAlignment="1">
      <alignment horizontal="center" vertical="center" wrapText="1" readingOrder="1"/>
    </xf>
    <xf numFmtId="0" fontId="11" fillId="5" borderId="5" xfId="0" applyFont="1" applyFill="1" applyBorder="1" applyAlignment="1">
      <alignment horizontal="center" vertical="center" wrapText="1" readingOrder="1"/>
    </xf>
    <xf numFmtId="0" fontId="11" fillId="5" borderId="9" xfId="0" applyFont="1" applyFill="1" applyBorder="1" applyAlignment="1">
      <alignment horizontal="center" vertical="center" wrapText="1" readingOrder="1"/>
    </xf>
    <xf numFmtId="0" fontId="0" fillId="2" borderId="0" xfId="0" applyFill="1" applyAlignment="1">
      <alignment horizontal="center"/>
    </xf>
    <xf numFmtId="0" fontId="5" fillId="0" borderId="0" xfId="0" applyFont="1" applyAlignment="1">
      <alignment horizontal="left" wrapText="1"/>
    </xf>
    <xf numFmtId="0" fontId="0" fillId="0" borderId="0" xfId="0" applyAlignment="1">
      <alignment horizontal="left" wrapText="1"/>
    </xf>
    <xf numFmtId="21" fontId="0" fillId="0" borderId="0" xfId="0" applyNumberFormat="1" applyAlignment="1">
      <alignment horizontal="center"/>
    </xf>
    <xf numFmtId="0" fontId="5" fillId="0" borderId="0" xfId="0" applyFont="1" applyAlignment="1">
      <alignment horizontal="center"/>
    </xf>
    <xf numFmtId="0" fontId="0" fillId="0" borderId="0" xfId="0" applyBorder="1" applyAlignment="1">
      <alignment horizontal="center"/>
    </xf>
    <xf numFmtId="21" fontId="0" fillId="0" borderId="0" xfId="0" applyNumberFormat="1"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167" fontId="0" fillId="0" borderId="0" xfId="0" applyNumberFormat="1" applyAlignment="1">
      <alignment horizontal="center"/>
    </xf>
    <xf numFmtId="165" fontId="0" fillId="0" borderId="0" xfId="0" applyNumberFormat="1" applyAlignment="1">
      <alignment horizontal="center"/>
    </xf>
    <xf numFmtId="0" fontId="7" fillId="0" borderId="0" xfId="3" applyAlignment="1">
      <alignment horizontal="left" vertical="center" wrapText="1"/>
    </xf>
  </cellXfs>
  <cellStyles count="5">
    <cellStyle name="Hyperlink" xfId="2" builtinId="8"/>
    <cellStyle name="Hyperlink 2" xfId="4" xr:uid="{6E353802-4197-4666-81DC-555AEBDC7F88}"/>
    <cellStyle name="Normal" xfId="0" builtinId="0"/>
    <cellStyle name="Normal 2" xfId="3" xr:uid="{EBC49BDB-7372-4EF7-9E48-324CAF529262}"/>
    <cellStyle name="Percent" xfId="1" builtinId="5"/>
  </cellStyles>
  <dxfs count="76">
    <dxf>
      <fill>
        <patternFill>
          <bgColor theme="7" tint="0.39994506668294322"/>
        </patternFill>
      </fill>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00"/>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m/d/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h]:mm:ss;@"/>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29" formatCode="mm:ss.0"/>
    </dxf>
    <dxf>
      <numFmt numFmtId="26" formatCode="h:mm:ss"/>
    </dxf>
    <dxf>
      <font>
        <b/>
        <i val="0"/>
        <strike val="0"/>
        <condense val="0"/>
        <extend val="0"/>
        <outline val="0"/>
        <shadow val="0"/>
        <u val="none"/>
        <vertAlign val="baseline"/>
        <sz val="11"/>
        <color theme="1"/>
        <name val="Calibri"/>
        <family val="2"/>
        <scheme val="minor"/>
      </font>
    </dxf>
    <dxf>
      <numFmt numFmtId="19" formatCode="m/d/yyyy"/>
    </dxf>
    <dxf>
      <numFmt numFmtId="164" formatCode="[h]:mm:ss;@"/>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164" formatCode="[h]:mm:ss;@"/>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7" formatCode="m/d/yy;@"/>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7" formatCode="m/d/yy;@"/>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4" formatCode="[h]:mm:ss;@"/>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border>
    </dxf>
    <dxf>
      <border outline="0">
        <left style="thin">
          <color theme="1"/>
        </left>
        <right style="thin">
          <color theme="1"/>
        </right>
        <top style="thin">
          <color theme="1"/>
        </top>
        <bottom style="thin">
          <color theme="1"/>
        </bottom>
      </border>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ston%20combin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athon_standards_change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rinm/Documents/Age-Grade-Tables/2020%20Files/MaleRoadStd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rinm/Documents/Age-Grade-Tables/2020%20Files/FemaleRoadSt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s_09_AG"/>
      <sheetName val="basic_metrics_by_race (2)"/>
      <sheetName val="Road Weights (2)"/>
      <sheetName val="bos_19_AG"/>
      <sheetName val="Bos_Age_Groups"/>
      <sheetName val="Sheet7"/>
      <sheetName val="bos_combo"/>
      <sheetName val="Sheet1"/>
      <sheetName val="basic_metrics_by_race"/>
      <sheetName val="AG% of Div Winners"/>
      <sheetName val="Sheet5"/>
      <sheetName val="Road Weights"/>
      <sheetName val="BQs_over_time_alt_format"/>
      <sheetName val="BQs_over_time"/>
      <sheetName val="Boston combined"/>
      <sheetName val="Marathon World Records"/>
      <sheetName val="Marathon World Records II"/>
      <sheetName val="bos_09_AG_old"/>
      <sheetName val="bos_19_AG_old"/>
      <sheetName val="Bos Entrants&amp;Finishers"/>
      <sheetName val="Sheet2"/>
      <sheetName val="Bos Qualifying Cutoff History"/>
      <sheetName val="Bos Qualifying Times"/>
      <sheetName val="Sheet8"/>
      <sheetName val="Sheet10"/>
    </sheetNames>
    <sheetDataSet>
      <sheetData sheetId="0"/>
      <sheetData sheetId="1"/>
      <sheetData sheetId="2"/>
      <sheetData sheetId="3"/>
      <sheetData sheetId="4">
        <row r="2">
          <cell r="B2">
            <v>18</v>
          </cell>
        </row>
      </sheetData>
      <sheetData sheetId="5"/>
      <sheetData sheetId="6"/>
      <sheetData sheetId="7"/>
      <sheetData sheetId="8">
        <row r="4">
          <cell r="B4">
            <v>22853</v>
          </cell>
          <cell r="J4">
            <v>26656</v>
          </cell>
          <cell r="R4">
            <v>49509</v>
          </cell>
        </row>
      </sheetData>
      <sheetData sheetId="9"/>
      <sheetData sheetId="10"/>
      <sheetData sheetId="11">
        <row r="1">
          <cell r="A1" t="str">
            <v>Sex</v>
          </cell>
        </row>
      </sheetData>
      <sheetData sheetId="12"/>
      <sheetData sheetId="13">
        <row r="1">
          <cell r="P1">
            <v>1.1458333333333333E-3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s_over_time_AG20 (3)"/>
      <sheetName val="BQs_over_time_AG20 (2)"/>
      <sheetName val="Sheet2"/>
      <sheetName val="proposed"/>
      <sheetName val="2020BQs_AG20"/>
      <sheetName val="BQs_over_time_AG20"/>
      <sheetName val="2020_Road Weights"/>
      <sheetName val="2015_Road Weights"/>
      <sheetName val="2020BQs_AG15"/>
      <sheetName val="BQs_over_time_AG15"/>
      <sheetName val="Bos_Age_Groups"/>
      <sheetName val="Age-grade_classes"/>
      <sheetName val="diffs (2)"/>
      <sheetName val="diffs"/>
      <sheetName val="Age_Factors"/>
      <sheetName val="standards_change_alt"/>
      <sheetName val="standards_change"/>
      <sheetName val="bos_19_A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2">
          <cell r="L12">
            <v>9.3101851851851825E-2</v>
          </cell>
          <cell r="M12">
            <v>9.403935185185186E-2</v>
          </cell>
        </row>
        <row r="13">
          <cell r="L13">
            <v>8.4479166666666661E-2</v>
          </cell>
          <cell r="M13">
            <v>8.5381944444444455E-2</v>
          </cell>
        </row>
      </sheetData>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StdFactors"/>
      <sheetName val="AgeStdSec"/>
      <sheetName val="AgeStdHMS"/>
    </sheetNames>
    <sheetDataSet>
      <sheetData sheetId="0">
        <row r="2">
          <cell r="A2" t="str">
            <v>Age</v>
          </cell>
          <cell r="B2" t="str">
            <v>1 Mile</v>
          </cell>
          <cell r="C2" t="str">
            <v>5 km</v>
          </cell>
          <cell r="D2" t="str">
            <v>6 km</v>
          </cell>
          <cell r="E2" t="str">
            <v>4 Mile</v>
          </cell>
          <cell r="F2" t="str">
            <v>8 km</v>
          </cell>
          <cell r="G2" t="str">
            <v>5 Mile</v>
          </cell>
          <cell r="H2" t="str">
            <v>10 km</v>
          </cell>
          <cell r="I2" t="str">
            <v>12 km</v>
          </cell>
          <cell r="J2" t="str">
            <v>15 km</v>
          </cell>
          <cell r="K2" t="str">
            <v>10 Mile</v>
          </cell>
          <cell r="L2" t="str">
            <v>20 km</v>
          </cell>
          <cell r="M2" t="str">
            <v>H. Mar</v>
          </cell>
          <cell r="N2" t="str">
            <v>25 km</v>
          </cell>
          <cell r="O2" t="str">
            <v>30 km</v>
          </cell>
          <cell r="P2" t="str">
            <v>Marathon</v>
          </cell>
          <cell r="Q2" t="str">
            <v>50 km</v>
          </cell>
          <cell r="R2" t="str">
            <v>50 Mile</v>
          </cell>
          <cell r="S2" t="str">
            <v>100 km</v>
          </cell>
          <cell r="T2" t="str">
            <v>150 km</v>
          </cell>
          <cell r="U2" t="str">
            <v>100 Mile</v>
          </cell>
          <cell r="V2" t="str">
            <v>200 km</v>
          </cell>
        </row>
        <row r="3">
          <cell r="A3" t="str">
            <v>Distance</v>
          </cell>
          <cell r="B3">
            <v>1.6093440000000001</v>
          </cell>
          <cell r="C3">
            <v>5</v>
          </cell>
          <cell r="D3">
            <v>6</v>
          </cell>
          <cell r="E3">
            <v>6.4373760000000004</v>
          </cell>
          <cell r="F3">
            <v>8</v>
          </cell>
          <cell r="G3">
            <v>8.0467200000000005</v>
          </cell>
          <cell r="H3">
            <v>10</v>
          </cell>
          <cell r="I3">
            <v>12</v>
          </cell>
          <cell r="J3">
            <v>15</v>
          </cell>
          <cell r="K3">
            <v>16.093440000000001</v>
          </cell>
          <cell r="L3">
            <v>20</v>
          </cell>
          <cell r="M3">
            <v>21.0975</v>
          </cell>
          <cell r="N3">
            <v>25</v>
          </cell>
          <cell r="O3">
            <v>30</v>
          </cell>
          <cell r="P3">
            <v>42.195</v>
          </cell>
          <cell r="Q3">
            <v>50</v>
          </cell>
          <cell r="R3">
            <v>80.467359999999999</v>
          </cell>
          <cell r="S3">
            <v>100</v>
          </cell>
          <cell r="T3">
            <v>150</v>
          </cell>
          <cell r="U3">
            <v>160.93440000000001</v>
          </cell>
          <cell r="V3">
            <v>200</v>
          </cell>
        </row>
        <row r="4">
          <cell r="A4" t="str">
            <v>OC sec</v>
          </cell>
          <cell r="B4">
            <v>227.00000000000003</v>
          </cell>
          <cell r="C4">
            <v>771</v>
          </cell>
          <cell r="D4">
            <v>933</v>
          </cell>
          <cell r="E4">
            <v>1002.9999999999999</v>
          </cell>
          <cell r="F4">
            <v>1257</v>
          </cell>
          <cell r="G4">
            <v>1264</v>
          </cell>
          <cell r="H4">
            <v>1584</v>
          </cell>
          <cell r="I4">
            <v>1922.9999999999998</v>
          </cell>
          <cell r="J4">
            <v>2435.9999999999995</v>
          </cell>
          <cell r="K4">
            <v>2625</v>
          </cell>
          <cell r="L4">
            <v>3297.9999999999995</v>
          </cell>
          <cell r="M4">
            <v>3480.9999999999995</v>
          </cell>
          <cell r="N4">
            <v>4170</v>
          </cell>
          <cell r="O4">
            <v>5069.9999999999991</v>
          </cell>
          <cell r="P4">
            <v>7298.9999999999991</v>
          </cell>
          <cell r="Q4">
            <v>8970</v>
          </cell>
          <cell r="R4">
            <v>16080</v>
          </cell>
          <cell r="S4">
            <v>21360</v>
          </cell>
          <cell r="T4">
            <v>36300</v>
          </cell>
          <cell r="U4">
            <v>39850</v>
          </cell>
          <cell r="V4">
            <v>52800.000000000007</v>
          </cell>
        </row>
        <row r="5">
          <cell r="A5" t="str">
            <v>OC</v>
          </cell>
          <cell r="B5">
            <v>2.627314814814815E-3</v>
          </cell>
          <cell r="C5">
            <v>8.9236111111111113E-3</v>
          </cell>
          <cell r="D5">
            <v>1.0798611111111111E-2</v>
          </cell>
          <cell r="E5">
            <v>1.1608796296296294E-2</v>
          </cell>
          <cell r="F5">
            <v>1.4548611111111111E-2</v>
          </cell>
          <cell r="G5">
            <v>1.462962962962963E-2</v>
          </cell>
          <cell r="H5">
            <v>1.8333333333333333E-2</v>
          </cell>
          <cell r="I5">
            <v>2.225694444444444E-2</v>
          </cell>
          <cell r="J5">
            <v>2.8194444444444439E-2</v>
          </cell>
          <cell r="K5">
            <v>3.0381944444444444E-2</v>
          </cell>
          <cell r="L5">
            <v>3.8171296296296293E-2</v>
          </cell>
          <cell r="M5">
            <v>4.0289351851851847E-2</v>
          </cell>
          <cell r="N5">
            <v>4.8263888888888891E-2</v>
          </cell>
          <cell r="O5">
            <v>5.8680555555555548E-2</v>
          </cell>
          <cell r="P5">
            <v>8.4479166666666661E-2</v>
          </cell>
          <cell r="Q5">
            <v>0.10381944444444445</v>
          </cell>
          <cell r="R5">
            <v>0.18611111111111112</v>
          </cell>
          <cell r="S5">
            <v>0.24722222222222223</v>
          </cell>
          <cell r="T5">
            <v>0.4201388888888889</v>
          </cell>
          <cell r="U5">
            <v>0.46122685185185186</v>
          </cell>
          <cell r="V5">
            <v>0.61111111111111116</v>
          </cell>
        </row>
        <row r="6">
          <cell r="A6">
            <v>5</v>
          </cell>
          <cell r="B6">
            <v>0.60619999999999996</v>
          </cell>
          <cell r="C6">
            <v>0.60619999999999996</v>
          </cell>
          <cell r="D6">
            <v>0.60560000000000003</v>
          </cell>
          <cell r="E6">
            <v>0.60560000000000003</v>
          </cell>
          <cell r="F6">
            <v>0.60560000000000003</v>
          </cell>
          <cell r="G6">
            <v>0.60560000000000003</v>
          </cell>
          <cell r="H6">
            <v>0.60799999999999998</v>
          </cell>
          <cell r="I6">
            <v>0.60560000000000003</v>
          </cell>
          <cell r="J6">
            <v>0.60560000000000003</v>
          </cell>
          <cell r="K6">
            <v>0.60560000000000003</v>
          </cell>
          <cell r="L6">
            <v>0.60560000000000003</v>
          </cell>
          <cell r="M6">
            <v>0.60560000000000003</v>
          </cell>
          <cell r="N6">
            <v>0.60560000000000003</v>
          </cell>
          <cell r="O6">
            <v>0.60560000000000003</v>
          </cell>
          <cell r="P6">
            <v>0.60560000000000003</v>
          </cell>
          <cell r="Q6">
            <v>0.60560000000000003</v>
          </cell>
          <cell r="R6">
            <v>0.60560000000000003</v>
          </cell>
          <cell r="S6">
            <v>0.60560000000000003</v>
          </cell>
          <cell r="T6">
            <v>0.60560000000000003</v>
          </cell>
          <cell r="U6">
            <v>0.60560000000000003</v>
          </cell>
          <cell r="V6">
            <v>0.60560000000000003</v>
          </cell>
        </row>
        <row r="7">
          <cell r="A7">
            <v>6</v>
          </cell>
          <cell r="B7">
            <v>0.66020000000000001</v>
          </cell>
          <cell r="C7">
            <v>0.66020000000000001</v>
          </cell>
          <cell r="D7">
            <v>0.65959999999999996</v>
          </cell>
          <cell r="E7">
            <v>0.65959999999999996</v>
          </cell>
          <cell r="F7">
            <v>0.65959999999999996</v>
          </cell>
          <cell r="G7">
            <v>0.65959999999999996</v>
          </cell>
          <cell r="H7">
            <v>0.66200000000000003</v>
          </cell>
          <cell r="I7">
            <v>0.65959999999999996</v>
          </cell>
          <cell r="J7">
            <v>0.65959999999999996</v>
          </cell>
          <cell r="K7">
            <v>0.65959999999999996</v>
          </cell>
          <cell r="L7">
            <v>0.65959999999999996</v>
          </cell>
          <cell r="M7">
            <v>0.65959999999999996</v>
          </cell>
          <cell r="N7">
            <v>0.65959999999999996</v>
          </cell>
          <cell r="O7">
            <v>0.65959999999999996</v>
          </cell>
          <cell r="P7">
            <v>0.65959999999999996</v>
          </cell>
          <cell r="Q7">
            <v>0.65959999999999996</v>
          </cell>
          <cell r="R7">
            <v>0.65959999999999996</v>
          </cell>
          <cell r="S7">
            <v>0.65959999999999996</v>
          </cell>
          <cell r="T7">
            <v>0.65959999999999996</v>
          </cell>
          <cell r="U7">
            <v>0.65959999999999996</v>
          </cell>
          <cell r="V7">
            <v>0.65959999999999996</v>
          </cell>
        </row>
        <row r="8">
          <cell r="A8">
            <v>7</v>
          </cell>
          <cell r="B8">
            <v>0.71020000000000005</v>
          </cell>
          <cell r="C8">
            <v>0.71020000000000005</v>
          </cell>
          <cell r="D8">
            <v>0.70960000000000001</v>
          </cell>
          <cell r="E8">
            <v>0.70960000000000001</v>
          </cell>
          <cell r="F8">
            <v>0.70960000000000001</v>
          </cell>
          <cell r="G8">
            <v>0.70960000000000001</v>
          </cell>
          <cell r="H8">
            <v>0.71199999999999997</v>
          </cell>
          <cell r="I8">
            <v>0.70960000000000001</v>
          </cell>
          <cell r="J8">
            <v>0.70960000000000001</v>
          </cell>
          <cell r="K8">
            <v>0.70960000000000001</v>
          </cell>
          <cell r="L8">
            <v>0.70960000000000001</v>
          </cell>
          <cell r="M8">
            <v>0.70960000000000001</v>
          </cell>
          <cell r="N8">
            <v>0.70960000000000001</v>
          </cell>
          <cell r="O8">
            <v>0.70960000000000001</v>
          </cell>
          <cell r="P8">
            <v>0.70960000000000001</v>
          </cell>
          <cell r="Q8">
            <v>0.70960000000000001</v>
          </cell>
          <cell r="R8">
            <v>0.70960000000000001</v>
          </cell>
          <cell r="S8">
            <v>0.70960000000000001</v>
          </cell>
          <cell r="T8">
            <v>0.70960000000000001</v>
          </cell>
          <cell r="U8">
            <v>0.70960000000000001</v>
          </cell>
          <cell r="V8">
            <v>0.70960000000000001</v>
          </cell>
        </row>
        <row r="9">
          <cell r="A9">
            <v>8</v>
          </cell>
          <cell r="B9">
            <v>0.75619999999999998</v>
          </cell>
          <cell r="C9">
            <v>0.75619999999999998</v>
          </cell>
          <cell r="D9">
            <v>0.75560000000000005</v>
          </cell>
          <cell r="E9">
            <v>0.75560000000000005</v>
          </cell>
          <cell r="F9">
            <v>0.75560000000000005</v>
          </cell>
          <cell r="G9">
            <v>0.75560000000000005</v>
          </cell>
          <cell r="H9">
            <v>0.75800000000000001</v>
          </cell>
          <cell r="I9">
            <v>0.75560000000000005</v>
          </cell>
          <cell r="J9">
            <v>0.75560000000000005</v>
          </cell>
          <cell r="K9">
            <v>0.75560000000000005</v>
          </cell>
          <cell r="L9">
            <v>0.75560000000000005</v>
          </cell>
          <cell r="M9">
            <v>0.75560000000000005</v>
          </cell>
          <cell r="N9">
            <v>0.75560000000000005</v>
          </cell>
          <cell r="O9">
            <v>0.75560000000000005</v>
          </cell>
          <cell r="P9">
            <v>0.75560000000000005</v>
          </cell>
          <cell r="Q9">
            <v>0.75560000000000005</v>
          </cell>
          <cell r="R9">
            <v>0.75560000000000005</v>
          </cell>
          <cell r="S9">
            <v>0.75560000000000005</v>
          </cell>
          <cell r="T9">
            <v>0.75560000000000005</v>
          </cell>
          <cell r="U9">
            <v>0.75560000000000005</v>
          </cell>
          <cell r="V9">
            <v>0.75560000000000005</v>
          </cell>
        </row>
        <row r="10">
          <cell r="A10">
            <v>9</v>
          </cell>
          <cell r="B10">
            <v>0.79820000000000002</v>
          </cell>
          <cell r="C10">
            <v>0.79820000000000002</v>
          </cell>
          <cell r="D10">
            <v>0.79759999999999998</v>
          </cell>
          <cell r="E10">
            <v>0.79759999999999998</v>
          </cell>
          <cell r="F10">
            <v>0.79759999999999998</v>
          </cell>
          <cell r="G10">
            <v>0.79759999999999998</v>
          </cell>
          <cell r="H10">
            <v>0.8</v>
          </cell>
          <cell r="I10">
            <v>0.79759999999999998</v>
          </cell>
          <cell r="J10">
            <v>0.79759999999999998</v>
          </cell>
          <cell r="K10">
            <v>0.79759999999999998</v>
          </cell>
          <cell r="L10">
            <v>0.79759999999999998</v>
          </cell>
          <cell r="M10">
            <v>0.79759999999999998</v>
          </cell>
          <cell r="N10">
            <v>0.79759999999999998</v>
          </cell>
          <cell r="O10">
            <v>0.79759999999999998</v>
          </cell>
          <cell r="P10">
            <v>0.79759999999999998</v>
          </cell>
          <cell r="Q10">
            <v>0.79759999999999998</v>
          </cell>
          <cell r="R10">
            <v>0.79759999999999998</v>
          </cell>
          <cell r="S10">
            <v>0.79759999999999998</v>
          </cell>
          <cell r="T10">
            <v>0.79759999999999998</v>
          </cell>
          <cell r="U10">
            <v>0.79759999999999998</v>
          </cell>
          <cell r="V10">
            <v>0.79759999999999998</v>
          </cell>
        </row>
        <row r="11">
          <cell r="A11">
            <v>10</v>
          </cell>
          <cell r="B11">
            <v>0.83620000000000005</v>
          </cell>
          <cell r="C11">
            <v>0.83620000000000005</v>
          </cell>
          <cell r="D11">
            <v>0.83560000000000001</v>
          </cell>
          <cell r="E11">
            <v>0.83560000000000001</v>
          </cell>
          <cell r="F11">
            <v>0.83560000000000001</v>
          </cell>
          <cell r="G11">
            <v>0.83560000000000001</v>
          </cell>
          <cell r="H11">
            <v>0.83799999999999997</v>
          </cell>
          <cell r="I11">
            <v>0.83560000000000001</v>
          </cell>
          <cell r="J11">
            <v>0.83560000000000001</v>
          </cell>
          <cell r="K11">
            <v>0.83560000000000001</v>
          </cell>
          <cell r="L11">
            <v>0.83560000000000001</v>
          </cell>
          <cell r="M11">
            <v>0.83560000000000001</v>
          </cell>
          <cell r="N11">
            <v>0.83560000000000001</v>
          </cell>
          <cell r="O11">
            <v>0.83560000000000001</v>
          </cell>
          <cell r="P11">
            <v>0.83560000000000001</v>
          </cell>
          <cell r="Q11">
            <v>0.83560000000000001</v>
          </cell>
          <cell r="R11">
            <v>0.83560000000000001</v>
          </cell>
          <cell r="S11">
            <v>0.83560000000000001</v>
          </cell>
          <cell r="T11">
            <v>0.83560000000000001</v>
          </cell>
          <cell r="U11">
            <v>0.83560000000000001</v>
          </cell>
          <cell r="V11">
            <v>0.83560000000000001</v>
          </cell>
        </row>
        <row r="12">
          <cell r="A12">
            <v>11</v>
          </cell>
          <cell r="B12">
            <v>0.87019999999999997</v>
          </cell>
          <cell r="C12">
            <v>0.87019999999999997</v>
          </cell>
          <cell r="D12">
            <v>0.86960000000000004</v>
          </cell>
          <cell r="E12">
            <v>0.86960000000000004</v>
          </cell>
          <cell r="F12">
            <v>0.86960000000000004</v>
          </cell>
          <cell r="G12">
            <v>0.86960000000000004</v>
          </cell>
          <cell r="H12">
            <v>0.872</v>
          </cell>
          <cell r="I12">
            <v>0.86960000000000004</v>
          </cell>
          <cell r="J12">
            <v>0.86960000000000004</v>
          </cell>
          <cell r="K12">
            <v>0.86960000000000004</v>
          </cell>
          <cell r="L12">
            <v>0.86960000000000004</v>
          </cell>
          <cell r="M12">
            <v>0.86960000000000004</v>
          </cell>
          <cell r="N12">
            <v>0.86960000000000004</v>
          </cell>
          <cell r="O12">
            <v>0.86960000000000004</v>
          </cell>
          <cell r="P12">
            <v>0.86960000000000004</v>
          </cell>
          <cell r="Q12">
            <v>0.86960000000000004</v>
          </cell>
          <cell r="R12">
            <v>0.86960000000000004</v>
          </cell>
          <cell r="S12">
            <v>0.86960000000000004</v>
          </cell>
          <cell r="T12">
            <v>0.86960000000000004</v>
          </cell>
          <cell r="U12">
            <v>0.86960000000000004</v>
          </cell>
          <cell r="V12">
            <v>0.86960000000000004</v>
          </cell>
        </row>
        <row r="13">
          <cell r="A13">
            <v>12</v>
          </cell>
          <cell r="B13">
            <v>0.9002</v>
          </cell>
          <cell r="C13">
            <v>0.9002</v>
          </cell>
          <cell r="D13">
            <v>0.89959999999999996</v>
          </cell>
          <cell r="E13">
            <v>0.89959999999999996</v>
          </cell>
          <cell r="F13">
            <v>0.89959999999999996</v>
          </cell>
          <cell r="G13">
            <v>0.89959999999999996</v>
          </cell>
          <cell r="H13">
            <v>0.90200000000000002</v>
          </cell>
          <cell r="I13">
            <v>0.89959999999999996</v>
          </cell>
          <cell r="J13">
            <v>0.89959999999999996</v>
          </cell>
          <cell r="K13">
            <v>0.89959999999999996</v>
          </cell>
          <cell r="L13">
            <v>0.89959999999999996</v>
          </cell>
          <cell r="M13">
            <v>0.89959999999999996</v>
          </cell>
          <cell r="N13">
            <v>0.89959999999999996</v>
          </cell>
          <cell r="O13">
            <v>0.89959999999999996</v>
          </cell>
          <cell r="P13">
            <v>0.89959999999999996</v>
          </cell>
          <cell r="Q13">
            <v>0.89959999999999996</v>
          </cell>
          <cell r="R13">
            <v>0.89959999999999996</v>
          </cell>
          <cell r="S13">
            <v>0.89959999999999996</v>
          </cell>
          <cell r="T13">
            <v>0.89959999999999996</v>
          </cell>
          <cell r="U13">
            <v>0.89959999999999996</v>
          </cell>
          <cell r="V13">
            <v>0.89959999999999996</v>
          </cell>
        </row>
        <row r="14">
          <cell r="A14">
            <v>13</v>
          </cell>
          <cell r="B14">
            <v>0.92620000000000002</v>
          </cell>
          <cell r="C14">
            <v>0.92620000000000002</v>
          </cell>
          <cell r="D14">
            <v>0.92559999999999998</v>
          </cell>
          <cell r="E14">
            <v>0.92559999999999998</v>
          </cell>
          <cell r="F14">
            <v>0.92559999999999998</v>
          </cell>
          <cell r="G14">
            <v>0.92559999999999998</v>
          </cell>
          <cell r="H14">
            <v>0.92800000000000005</v>
          </cell>
          <cell r="I14">
            <v>0.92559999999999998</v>
          </cell>
          <cell r="J14">
            <v>0.92559999999999998</v>
          </cell>
          <cell r="K14">
            <v>0.92559999999999998</v>
          </cell>
          <cell r="L14">
            <v>0.92559999999999998</v>
          </cell>
          <cell r="M14">
            <v>0.92559999999999998</v>
          </cell>
          <cell r="N14">
            <v>0.92559999999999998</v>
          </cell>
          <cell r="O14">
            <v>0.92559999999999998</v>
          </cell>
          <cell r="P14">
            <v>0.92559999999999998</v>
          </cell>
          <cell r="Q14">
            <v>0.92559999999999998</v>
          </cell>
          <cell r="R14">
            <v>0.92559999999999998</v>
          </cell>
          <cell r="S14">
            <v>0.92559999999999998</v>
          </cell>
          <cell r="T14">
            <v>0.92559999999999998</v>
          </cell>
          <cell r="U14">
            <v>0.92559999999999998</v>
          </cell>
          <cell r="V14">
            <v>0.92559999999999998</v>
          </cell>
        </row>
        <row r="15">
          <cell r="A15">
            <v>14</v>
          </cell>
          <cell r="B15">
            <v>0.94820000000000004</v>
          </cell>
          <cell r="C15">
            <v>0.94820000000000004</v>
          </cell>
          <cell r="D15">
            <v>0.9476</v>
          </cell>
          <cell r="E15">
            <v>0.9476</v>
          </cell>
          <cell r="F15">
            <v>0.9476</v>
          </cell>
          <cell r="G15">
            <v>0.9476</v>
          </cell>
          <cell r="H15">
            <v>0.95</v>
          </cell>
          <cell r="I15">
            <v>0.9476</v>
          </cell>
          <cell r="J15">
            <v>0.9476</v>
          </cell>
          <cell r="K15">
            <v>0.9476</v>
          </cell>
          <cell r="L15">
            <v>0.9476</v>
          </cell>
          <cell r="M15">
            <v>0.9476</v>
          </cell>
          <cell r="N15">
            <v>0.9476</v>
          </cell>
          <cell r="O15">
            <v>0.9476</v>
          </cell>
          <cell r="P15">
            <v>0.9476</v>
          </cell>
          <cell r="Q15">
            <v>0.9476</v>
          </cell>
          <cell r="R15">
            <v>0.9476</v>
          </cell>
          <cell r="S15">
            <v>0.9476</v>
          </cell>
          <cell r="T15">
            <v>0.9476</v>
          </cell>
          <cell r="U15">
            <v>0.9476</v>
          </cell>
          <cell r="V15">
            <v>0.9476</v>
          </cell>
        </row>
        <row r="16">
          <cell r="A16">
            <v>15</v>
          </cell>
          <cell r="B16">
            <v>0.96619999999999995</v>
          </cell>
          <cell r="C16">
            <v>0.96619999999999995</v>
          </cell>
          <cell r="D16">
            <v>0.96560000000000001</v>
          </cell>
          <cell r="E16">
            <v>0.96560000000000001</v>
          </cell>
          <cell r="F16">
            <v>0.96560000000000001</v>
          </cell>
          <cell r="G16">
            <v>0.96560000000000001</v>
          </cell>
          <cell r="H16">
            <v>0.96799999999999997</v>
          </cell>
          <cell r="I16">
            <v>0.96560000000000001</v>
          </cell>
          <cell r="J16">
            <v>0.96560000000000001</v>
          </cell>
          <cell r="K16">
            <v>0.96560000000000001</v>
          </cell>
          <cell r="L16">
            <v>0.96560000000000001</v>
          </cell>
          <cell r="M16">
            <v>0.96560000000000001</v>
          </cell>
          <cell r="N16">
            <v>0.96560000000000001</v>
          </cell>
          <cell r="O16">
            <v>0.96560000000000001</v>
          </cell>
          <cell r="P16">
            <v>0.96560000000000001</v>
          </cell>
          <cell r="Q16">
            <v>0.96560000000000001</v>
          </cell>
          <cell r="R16">
            <v>0.96560000000000001</v>
          </cell>
          <cell r="S16">
            <v>0.96560000000000001</v>
          </cell>
          <cell r="T16">
            <v>0.96560000000000001</v>
          </cell>
          <cell r="U16">
            <v>0.96560000000000001</v>
          </cell>
          <cell r="V16">
            <v>0.96560000000000001</v>
          </cell>
        </row>
        <row r="17">
          <cell r="A17">
            <v>16</v>
          </cell>
          <cell r="B17">
            <v>0.98019999999999996</v>
          </cell>
          <cell r="C17">
            <v>0.98019999999999996</v>
          </cell>
          <cell r="D17">
            <v>0.97960000000000003</v>
          </cell>
          <cell r="E17">
            <v>0.97960000000000003</v>
          </cell>
          <cell r="F17">
            <v>0.97960000000000003</v>
          </cell>
          <cell r="G17">
            <v>0.97960000000000003</v>
          </cell>
          <cell r="H17">
            <v>0.98199999999999998</v>
          </cell>
          <cell r="I17">
            <v>0.97960000000000003</v>
          </cell>
          <cell r="J17">
            <v>0.97960000000000003</v>
          </cell>
          <cell r="K17">
            <v>0.97960000000000003</v>
          </cell>
          <cell r="L17">
            <v>0.97960000000000003</v>
          </cell>
          <cell r="M17">
            <v>0.97960000000000003</v>
          </cell>
          <cell r="N17">
            <v>0.97960000000000003</v>
          </cell>
          <cell r="O17">
            <v>0.97960000000000003</v>
          </cell>
          <cell r="P17">
            <v>0.97960000000000003</v>
          </cell>
          <cell r="Q17">
            <v>0.97960000000000003</v>
          </cell>
          <cell r="R17">
            <v>0.97960000000000003</v>
          </cell>
          <cell r="S17">
            <v>0.97960000000000003</v>
          </cell>
          <cell r="T17">
            <v>0.97960000000000003</v>
          </cell>
          <cell r="U17">
            <v>0.97960000000000003</v>
          </cell>
          <cell r="V17">
            <v>0.97960000000000003</v>
          </cell>
        </row>
        <row r="18">
          <cell r="A18">
            <v>17</v>
          </cell>
          <cell r="B18">
            <v>0.99219999999999997</v>
          </cell>
          <cell r="C18">
            <v>0.99219999999999997</v>
          </cell>
          <cell r="D18">
            <v>0.99160000000000004</v>
          </cell>
          <cell r="E18">
            <v>0.99160000000000004</v>
          </cell>
          <cell r="F18">
            <v>0.99160000000000004</v>
          </cell>
          <cell r="G18">
            <v>0.99160000000000004</v>
          </cell>
          <cell r="H18">
            <v>0.99199999999999999</v>
          </cell>
          <cell r="I18">
            <v>0.99160000000000004</v>
          </cell>
          <cell r="J18">
            <v>0.99160000000000004</v>
          </cell>
          <cell r="K18">
            <v>0.99160000000000004</v>
          </cell>
          <cell r="L18">
            <v>0.99160000000000004</v>
          </cell>
          <cell r="M18">
            <v>0.99160000000000004</v>
          </cell>
          <cell r="N18">
            <v>0.99160000000000004</v>
          </cell>
          <cell r="O18">
            <v>0.99160000000000004</v>
          </cell>
          <cell r="P18">
            <v>0.99160000000000004</v>
          </cell>
          <cell r="Q18">
            <v>0.99160000000000004</v>
          </cell>
          <cell r="R18">
            <v>0.99160000000000004</v>
          </cell>
          <cell r="S18">
            <v>0.99160000000000004</v>
          </cell>
          <cell r="T18">
            <v>0.99160000000000004</v>
          </cell>
          <cell r="U18">
            <v>0.99160000000000004</v>
          </cell>
          <cell r="V18">
            <v>0.99160000000000004</v>
          </cell>
        </row>
        <row r="19">
          <cell r="A19">
            <v>18</v>
          </cell>
          <cell r="B19">
            <v>0.99960000000000004</v>
          </cell>
          <cell r="C19">
            <v>0.99960000000000004</v>
          </cell>
          <cell r="D19">
            <v>0.99929999999999997</v>
          </cell>
          <cell r="E19">
            <v>0.99929999999999997</v>
          </cell>
          <cell r="F19">
            <v>0.99929999999999997</v>
          </cell>
          <cell r="G19">
            <v>0.99929999999999997</v>
          </cell>
          <cell r="H19">
            <v>0.998</v>
          </cell>
          <cell r="I19">
            <v>0.99929999999999997</v>
          </cell>
          <cell r="J19">
            <v>0.99929999999999997</v>
          </cell>
          <cell r="K19">
            <v>0.99929999999999997</v>
          </cell>
          <cell r="L19">
            <v>0.99929999999999997</v>
          </cell>
          <cell r="M19">
            <v>0.99929999999999997</v>
          </cell>
          <cell r="N19">
            <v>0.99929999999999997</v>
          </cell>
          <cell r="O19">
            <v>0.99929999999999997</v>
          </cell>
          <cell r="P19">
            <v>0.99929999999999997</v>
          </cell>
          <cell r="Q19">
            <v>0.99929999999999997</v>
          </cell>
          <cell r="R19">
            <v>0.99929999999999997</v>
          </cell>
          <cell r="S19">
            <v>0.99929999999999997</v>
          </cell>
          <cell r="T19">
            <v>0.99929999999999997</v>
          </cell>
          <cell r="U19">
            <v>0.99929999999999997</v>
          </cell>
          <cell r="V19">
            <v>0.99929999999999997</v>
          </cell>
        </row>
        <row r="20">
          <cell r="A20">
            <v>19</v>
          </cell>
          <cell r="B20">
            <v>1</v>
          </cell>
          <cell r="C20">
            <v>1</v>
          </cell>
          <cell r="D20">
            <v>1</v>
          </cell>
          <cell r="E20">
            <v>1</v>
          </cell>
          <cell r="F20">
            <v>1</v>
          </cell>
          <cell r="G20">
            <v>1</v>
          </cell>
          <cell r="H20">
            <v>1</v>
          </cell>
          <cell r="I20">
            <v>1</v>
          </cell>
          <cell r="J20">
            <v>1</v>
          </cell>
          <cell r="K20">
            <v>1</v>
          </cell>
          <cell r="L20">
            <v>1</v>
          </cell>
          <cell r="M20">
            <v>1</v>
          </cell>
          <cell r="N20">
            <v>1</v>
          </cell>
          <cell r="O20">
            <v>1</v>
          </cell>
          <cell r="P20">
            <v>1</v>
          </cell>
          <cell r="Q20">
            <v>1</v>
          </cell>
          <cell r="R20">
            <v>1</v>
          </cell>
          <cell r="S20">
            <v>1</v>
          </cell>
          <cell r="T20">
            <v>1</v>
          </cell>
          <cell r="U20">
            <v>1</v>
          </cell>
          <cell r="V20">
            <v>1</v>
          </cell>
        </row>
        <row r="21">
          <cell r="A21">
            <v>20</v>
          </cell>
          <cell r="B21">
            <v>1</v>
          </cell>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row>
        <row r="22">
          <cell r="A22">
            <v>21</v>
          </cell>
          <cell r="B22">
            <v>1</v>
          </cell>
          <cell r="C22">
            <v>1</v>
          </cell>
          <cell r="D22">
            <v>1</v>
          </cell>
          <cell r="E22">
            <v>1</v>
          </cell>
          <cell r="F22">
            <v>1</v>
          </cell>
          <cell r="G22">
            <v>1</v>
          </cell>
          <cell r="H22">
            <v>1</v>
          </cell>
          <cell r="I22">
            <v>1</v>
          </cell>
          <cell r="J22">
            <v>1</v>
          </cell>
          <cell r="K22">
            <v>1</v>
          </cell>
          <cell r="L22">
            <v>1</v>
          </cell>
          <cell r="M22">
            <v>1</v>
          </cell>
          <cell r="N22">
            <v>1</v>
          </cell>
          <cell r="O22">
            <v>1</v>
          </cell>
          <cell r="P22">
            <v>1</v>
          </cell>
          <cell r="Q22">
            <v>1</v>
          </cell>
          <cell r="R22">
            <v>1</v>
          </cell>
          <cell r="S22">
            <v>1</v>
          </cell>
          <cell r="T22">
            <v>1</v>
          </cell>
          <cell r="U22">
            <v>1</v>
          </cell>
          <cell r="V22">
            <v>1</v>
          </cell>
        </row>
        <row r="23">
          <cell r="A23">
            <v>22</v>
          </cell>
          <cell r="B23">
            <v>1</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row>
        <row r="24">
          <cell r="A24">
            <v>23</v>
          </cell>
          <cell r="B24">
            <v>1</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row>
        <row r="25">
          <cell r="A25">
            <v>24</v>
          </cell>
          <cell r="B25">
            <v>1</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row>
        <row r="26">
          <cell r="A26">
            <v>25</v>
          </cell>
          <cell r="B26">
            <v>1</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row>
        <row r="27">
          <cell r="A27">
            <v>26</v>
          </cell>
          <cell r="B27">
            <v>1</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row>
        <row r="28">
          <cell r="A28">
            <v>27</v>
          </cell>
          <cell r="B28">
            <v>1</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row>
        <row r="29">
          <cell r="A29">
            <v>28</v>
          </cell>
          <cell r="B29">
            <v>1</v>
          </cell>
          <cell r="C29">
            <v>1</v>
          </cell>
          <cell r="D29">
            <v>1</v>
          </cell>
          <cell r="E29">
            <v>1</v>
          </cell>
          <cell r="F29">
            <v>1</v>
          </cell>
          <cell r="G29">
            <v>1</v>
          </cell>
          <cell r="H29">
            <v>1</v>
          </cell>
          <cell r="I29">
            <v>1</v>
          </cell>
          <cell r="J29">
            <v>1</v>
          </cell>
          <cell r="K29">
            <v>1</v>
          </cell>
          <cell r="L29">
            <v>1</v>
          </cell>
          <cell r="M29">
            <v>1</v>
          </cell>
          <cell r="N29">
            <v>1</v>
          </cell>
          <cell r="O29">
            <v>1</v>
          </cell>
          <cell r="P29">
            <v>1</v>
          </cell>
          <cell r="Q29">
            <v>1</v>
          </cell>
          <cell r="R29">
            <v>1</v>
          </cell>
          <cell r="S29">
            <v>1</v>
          </cell>
          <cell r="T29">
            <v>1</v>
          </cell>
          <cell r="U29">
            <v>1</v>
          </cell>
          <cell r="V29">
            <v>1</v>
          </cell>
        </row>
        <row r="30">
          <cell r="A30">
            <v>29</v>
          </cell>
          <cell r="B30">
            <v>0.99990000000000001</v>
          </cell>
          <cell r="C30">
            <v>1</v>
          </cell>
          <cell r="D30">
            <v>1</v>
          </cell>
          <cell r="E30">
            <v>1</v>
          </cell>
          <cell r="F30">
            <v>1</v>
          </cell>
          <cell r="G30">
            <v>1</v>
          </cell>
          <cell r="H30">
            <v>1</v>
          </cell>
          <cell r="I30">
            <v>1</v>
          </cell>
          <cell r="J30">
            <v>1</v>
          </cell>
          <cell r="K30">
            <v>1</v>
          </cell>
          <cell r="L30">
            <v>1</v>
          </cell>
          <cell r="M30">
            <v>1</v>
          </cell>
          <cell r="N30">
            <v>1</v>
          </cell>
          <cell r="O30">
            <v>1</v>
          </cell>
          <cell r="P30">
            <v>1</v>
          </cell>
          <cell r="Q30">
            <v>1</v>
          </cell>
          <cell r="R30">
            <v>1</v>
          </cell>
          <cell r="S30">
            <v>1</v>
          </cell>
          <cell r="T30">
            <v>1</v>
          </cell>
          <cell r="U30">
            <v>1</v>
          </cell>
          <cell r="V30">
            <v>1</v>
          </cell>
        </row>
        <row r="31">
          <cell r="A31">
            <v>30</v>
          </cell>
          <cell r="B31">
            <v>0.99919999999999998</v>
          </cell>
          <cell r="C31">
            <v>0.99990000000000001</v>
          </cell>
          <cell r="D31">
            <v>1</v>
          </cell>
          <cell r="E31">
            <v>1</v>
          </cell>
          <cell r="F31">
            <v>1</v>
          </cell>
          <cell r="G31">
            <v>1</v>
          </cell>
          <cell r="H31">
            <v>1</v>
          </cell>
          <cell r="I31">
            <v>1</v>
          </cell>
          <cell r="J31">
            <v>1</v>
          </cell>
          <cell r="K31">
            <v>1</v>
          </cell>
          <cell r="L31">
            <v>1</v>
          </cell>
          <cell r="M31">
            <v>1</v>
          </cell>
          <cell r="N31">
            <v>1</v>
          </cell>
          <cell r="O31">
            <v>1</v>
          </cell>
          <cell r="P31">
            <v>1</v>
          </cell>
          <cell r="Q31">
            <v>1</v>
          </cell>
          <cell r="R31">
            <v>1</v>
          </cell>
          <cell r="S31">
            <v>1</v>
          </cell>
          <cell r="T31">
            <v>1</v>
          </cell>
          <cell r="U31">
            <v>1</v>
          </cell>
          <cell r="V31">
            <v>1</v>
          </cell>
        </row>
        <row r="32">
          <cell r="A32">
            <v>31</v>
          </cell>
          <cell r="B32">
            <v>0.99760000000000004</v>
          </cell>
          <cell r="C32">
            <v>0.99890000000000001</v>
          </cell>
          <cell r="D32">
            <v>0.99919999999999998</v>
          </cell>
          <cell r="E32">
            <v>0.99929999999999997</v>
          </cell>
          <cell r="F32">
            <v>0.99950000000000006</v>
          </cell>
          <cell r="G32">
            <v>0.99950000000000006</v>
          </cell>
          <cell r="H32">
            <v>0.99960000000000004</v>
          </cell>
          <cell r="I32">
            <v>0.99980000000000002</v>
          </cell>
          <cell r="J32">
            <v>1</v>
          </cell>
          <cell r="K32">
            <v>1</v>
          </cell>
          <cell r="L32">
            <v>1</v>
          </cell>
          <cell r="M32">
            <v>1</v>
          </cell>
          <cell r="N32">
            <v>1</v>
          </cell>
          <cell r="O32">
            <v>1</v>
          </cell>
          <cell r="P32">
            <v>1</v>
          </cell>
          <cell r="Q32">
            <v>1</v>
          </cell>
          <cell r="R32">
            <v>1</v>
          </cell>
          <cell r="S32">
            <v>1</v>
          </cell>
          <cell r="T32">
            <v>1</v>
          </cell>
          <cell r="U32">
            <v>1</v>
          </cell>
          <cell r="V32">
            <v>1</v>
          </cell>
        </row>
        <row r="33">
          <cell r="A33">
            <v>32</v>
          </cell>
          <cell r="B33">
            <v>0.99529999999999996</v>
          </cell>
          <cell r="C33">
            <v>0.99690000000000001</v>
          </cell>
          <cell r="D33">
            <v>0.99750000000000005</v>
          </cell>
          <cell r="E33">
            <v>0.99770000000000003</v>
          </cell>
          <cell r="F33">
            <v>0.99819999999999998</v>
          </cell>
          <cell r="G33">
            <v>0.99819999999999998</v>
          </cell>
          <cell r="H33">
            <v>0.99850000000000005</v>
          </cell>
          <cell r="I33">
            <v>0.99890000000000001</v>
          </cell>
          <cell r="J33">
            <v>0.99939999999999996</v>
          </cell>
          <cell r="K33">
            <v>0.99950000000000006</v>
          </cell>
          <cell r="L33">
            <v>0.99970000000000003</v>
          </cell>
          <cell r="M33">
            <v>0.99980000000000002</v>
          </cell>
          <cell r="N33">
            <v>0.99980000000000002</v>
          </cell>
          <cell r="O33">
            <v>0.99980000000000002</v>
          </cell>
          <cell r="P33">
            <v>0.99980000000000002</v>
          </cell>
          <cell r="Q33">
            <v>0.99980000000000002</v>
          </cell>
          <cell r="R33">
            <v>0.99980000000000002</v>
          </cell>
          <cell r="S33">
            <v>0.99980000000000002</v>
          </cell>
          <cell r="T33">
            <v>0.99980000000000002</v>
          </cell>
          <cell r="U33">
            <v>0.99980000000000002</v>
          </cell>
          <cell r="V33">
            <v>0.99980000000000002</v>
          </cell>
        </row>
        <row r="34">
          <cell r="A34">
            <v>33</v>
          </cell>
          <cell r="B34">
            <v>0.99199999999999999</v>
          </cell>
          <cell r="C34">
            <v>0.99370000000000003</v>
          </cell>
          <cell r="D34">
            <v>0.99480000000000002</v>
          </cell>
          <cell r="E34">
            <v>0.99509999999999998</v>
          </cell>
          <cell r="F34">
            <v>0.996</v>
          </cell>
          <cell r="G34">
            <v>0.996</v>
          </cell>
          <cell r="H34">
            <v>0.99670000000000003</v>
          </cell>
          <cell r="I34">
            <v>0.99729999999999996</v>
          </cell>
          <cell r="J34">
            <v>0.998</v>
          </cell>
          <cell r="K34">
            <v>0.99819999999999998</v>
          </cell>
          <cell r="L34">
            <v>0.99870000000000003</v>
          </cell>
          <cell r="M34">
            <v>0.99880000000000002</v>
          </cell>
          <cell r="N34">
            <v>0.99880000000000002</v>
          </cell>
          <cell r="O34">
            <v>0.99880000000000002</v>
          </cell>
          <cell r="P34">
            <v>0.99880000000000002</v>
          </cell>
          <cell r="Q34">
            <v>0.99880000000000002</v>
          </cell>
          <cell r="R34">
            <v>0.99880000000000002</v>
          </cell>
          <cell r="S34">
            <v>0.99880000000000002</v>
          </cell>
          <cell r="T34">
            <v>0.99880000000000002</v>
          </cell>
          <cell r="U34">
            <v>0.99880000000000002</v>
          </cell>
          <cell r="V34">
            <v>0.99880000000000002</v>
          </cell>
        </row>
        <row r="35">
          <cell r="A35">
            <v>34</v>
          </cell>
          <cell r="B35">
            <v>0.98799999999999999</v>
          </cell>
          <cell r="C35">
            <v>0.98939999999999995</v>
          </cell>
          <cell r="D35">
            <v>0.99109999999999998</v>
          </cell>
          <cell r="E35">
            <v>0.99170000000000003</v>
          </cell>
          <cell r="F35">
            <v>0.99309999999999998</v>
          </cell>
          <cell r="G35">
            <v>0.99309999999999998</v>
          </cell>
          <cell r="H35">
            <v>0.99419999999999997</v>
          </cell>
          <cell r="I35">
            <v>0.99490000000000001</v>
          </cell>
          <cell r="J35">
            <v>0.99580000000000002</v>
          </cell>
          <cell r="K35">
            <v>0.99609999999999999</v>
          </cell>
          <cell r="L35">
            <v>0.99690000000000001</v>
          </cell>
          <cell r="M35">
            <v>0.99709999999999999</v>
          </cell>
          <cell r="N35">
            <v>0.99709999999999999</v>
          </cell>
          <cell r="O35">
            <v>0.99709999999999999</v>
          </cell>
          <cell r="P35">
            <v>0.99709999999999999</v>
          </cell>
          <cell r="Q35">
            <v>0.99709999999999999</v>
          </cell>
          <cell r="R35">
            <v>0.99709999999999999</v>
          </cell>
          <cell r="S35">
            <v>0.99709999999999999</v>
          </cell>
          <cell r="T35">
            <v>0.99709999999999999</v>
          </cell>
          <cell r="U35">
            <v>0.99709999999999999</v>
          </cell>
          <cell r="V35">
            <v>0.99709999999999999</v>
          </cell>
        </row>
        <row r="36">
          <cell r="A36">
            <v>35</v>
          </cell>
          <cell r="B36">
            <v>0.98319999999999996</v>
          </cell>
          <cell r="C36">
            <v>0.98409999999999997</v>
          </cell>
          <cell r="D36">
            <v>0.98650000000000004</v>
          </cell>
          <cell r="E36">
            <v>0.98729999999999996</v>
          </cell>
          <cell r="F36">
            <v>0.98929999999999996</v>
          </cell>
          <cell r="G36">
            <v>0.98939999999999995</v>
          </cell>
          <cell r="H36">
            <v>0.9909</v>
          </cell>
          <cell r="I36">
            <v>0.99180000000000001</v>
          </cell>
          <cell r="J36">
            <v>0.9929</v>
          </cell>
          <cell r="K36">
            <v>0.99329999999999996</v>
          </cell>
          <cell r="L36">
            <v>0.99429999999999996</v>
          </cell>
          <cell r="M36">
            <v>0.99450000000000005</v>
          </cell>
          <cell r="N36">
            <v>0.99450000000000005</v>
          </cell>
          <cell r="O36">
            <v>0.99450000000000005</v>
          </cell>
          <cell r="P36">
            <v>0.99450000000000005</v>
          </cell>
          <cell r="Q36">
            <v>0.99450000000000005</v>
          </cell>
          <cell r="R36">
            <v>0.99450000000000005</v>
          </cell>
          <cell r="S36">
            <v>0.99450000000000005</v>
          </cell>
          <cell r="T36">
            <v>0.99450000000000005</v>
          </cell>
          <cell r="U36">
            <v>0.99450000000000005</v>
          </cell>
          <cell r="V36">
            <v>0.99450000000000005</v>
          </cell>
        </row>
        <row r="37">
          <cell r="A37">
            <v>36</v>
          </cell>
          <cell r="B37">
            <v>0.97750000000000004</v>
          </cell>
          <cell r="C37">
            <v>0.97760000000000002</v>
          </cell>
          <cell r="D37">
            <v>0.98099999999999998</v>
          </cell>
          <cell r="E37">
            <v>0.98199999999999998</v>
          </cell>
          <cell r="F37">
            <v>0.98480000000000001</v>
          </cell>
          <cell r="G37">
            <v>0.98480000000000001</v>
          </cell>
          <cell r="H37">
            <v>0.9869</v>
          </cell>
          <cell r="I37">
            <v>0.98799999999999999</v>
          </cell>
          <cell r="J37">
            <v>0.98919999999999997</v>
          </cell>
          <cell r="K37">
            <v>0.98960000000000004</v>
          </cell>
          <cell r="L37">
            <v>0.9909</v>
          </cell>
          <cell r="M37">
            <v>0.99109999999999998</v>
          </cell>
          <cell r="N37">
            <v>0.99109999999999998</v>
          </cell>
          <cell r="O37">
            <v>0.99109999999999998</v>
          </cell>
          <cell r="P37">
            <v>0.99109999999999998</v>
          </cell>
          <cell r="Q37">
            <v>0.99109999999999998</v>
          </cell>
          <cell r="R37">
            <v>0.99109999999999998</v>
          </cell>
          <cell r="S37">
            <v>0.99109999999999998</v>
          </cell>
          <cell r="T37">
            <v>0.99109999999999998</v>
          </cell>
          <cell r="U37">
            <v>0.99109999999999998</v>
          </cell>
          <cell r="V37">
            <v>0.99109999999999998</v>
          </cell>
        </row>
        <row r="38">
          <cell r="A38">
            <v>37</v>
          </cell>
          <cell r="B38">
            <v>0.97099999999999997</v>
          </cell>
          <cell r="C38">
            <v>0.97060000000000002</v>
          </cell>
          <cell r="D38">
            <v>0.97440000000000004</v>
          </cell>
          <cell r="E38">
            <v>0.9758</v>
          </cell>
          <cell r="F38">
            <v>0.97940000000000005</v>
          </cell>
          <cell r="G38">
            <v>0.97950000000000004</v>
          </cell>
          <cell r="H38">
            <v>0.98219999999999996</v>
          </cell>
          <cell r="I38">
            <v>0.98340000000000005</v>
          </cell>
          <cell r="J38">
            <v>0.98480000000000001</v>
          </cell>
          <cell r="K38">
            <v>0.98529999999999995</v>
          </cell>
          <cell r="L38">
            <v>0.98660000000000003</v>
          </cell>
          <cell r="M38">
            <v>0.98699999999999999</v>
          </cell>
          <cell r="N38">
            <v>0.98699999999999999</v>
          </cell>
          <cell r="O38">
            <v>0.98699999999999999</v>
          </cell>
          <cell r="P38">
            <v>0.98699999999999999</v>
          </cell>
          <cell r="Q38">
            <v>0.98699999999999999</v>
          </cell>
          <cell r="R38">
            <v>0.98699999999999999</v>
          </cell>
          <cell r="S38">
            <v>0.98699999999999999</v>
          </cell>
          <cell r="T38">
            <v>0.98699999999999999</v>
          </cell>
          <cell r="U38">
            <v>0.98699999999999999</v>
          </cell>
          <cell r="V38">
            <v>0.98699999999999999</v>
          </cell>
        </row>
        <row r="39">
          <cell r="A39">
            <v>38</v>
          </cell>
          <cell r="B39">
            <v>0.96409999999999996</v>
          </cell>
          <cell r="C39">
            <v>0.96360000000000001</v>
          </cell>
          <cell r="D39">
            <v>0.96730000000000005</v>
          </cell>
          <cell r="E39">
            <v>0.96879999999999999</v>
          </cell>
          <cell r="F39">
            <v>0.97319999999999995</v>
          </cell>
          <cell r="G39">
            <v>0.97330000000000005</v>
          </cell>
          <cell r="H39">
            <v>0.97670000000000001</v>
          </cell>
          <cell r="I39">
            <v>0.97799999999999998</v>
          </cell>
          <cell r="J39">
            <v>0.97960000000000003</v>
          </cell>
          <cell r="K39">
            <v>0.98009999999999997</v>
          </cell>
          <cell r="L39">
            <v>0.98160000000000003</v>
          </cell>
          <cell r="M39">
            <v>0.98199999999999998</v>
          </cell>
          <cell r="N39">
            <v>0.98199999999999998</v>
          </cell>
          <cell r="O39">
            <v>0.98199999999999998</v>
          </cell>
          <cell r="P39">
            <v>0.98199999999999998</v>
          </cell>
          <cell r="Q39">
            <v>0.98199999999999998</v>
          </cell>
          <cell r="R39">
            <v>0.98199999999999998</v>
          </cell>
          <cell r="S39">
            <v>0.98199999999999998</v>
          </cell>
          <cell r="T39">
            <v>0.98199999999999998</v>
          </cell>
          <cell r="U39">
            <v>0.98199999999999998</v>
          </cell>
          <cell r="V39">
            <v>0.98199999999999998</v>
          </cell>
        </row>
        <row r="40">
          <cell r="A40">
            <v>39</v>
          </cell>
          <cell r="B40">
            <v>0.95720000000000005</v>
          </cell>
          <cell r="C40">
            <v>0.95660000000000001</v>
          </cell>
          <cell r="D40">
            <v>0.96020000000000005</v>
          </cell>
          <cell r="E40">
            <v>0.96160000000000001</v>
          </cell>
          <cell r="F40">
            <v>0.96619999999999995</v>
          </cell>
          <cell r="G40">
            <v>0.96630000000000005</v>
          </cell>
          <cell r="H40">
            <v>0.97050000000000003</v>
          </cell>
          <cell r="I40">
            <v>0.97189999999999999</v>
          </cell>
          <cell r="J40">
            <v>0.97360000000000002</v>
          </cell>
          <cell r="K40">
            <v>0.97419999999999995</v>
          </cell>
          <cell r="L40">
            <v>0.9758</v>
          </cell>
          <cell r="M40">
            <v>0.97619999999999996</v>
          </cell>
          <cell r="N40">
            <v>0.97619999999999996</v>
          </cell>
          <cell r="O40">
            <v>0.97619999999999996</v>
          </cell>
          <cell r="P40">
            <v>0.97619999999999996</v>
          </cell>
          <cell r="Q40">
            <v>0.97619999999999996</v>
          </cell>
          <cell r="R40">
            <v>0.97619999999999996</v>
          </cell>
          <cell r="S40">
            <v>0.97619999999999996</v>
          </cell>
          <cell r="T40">
            <v>0.97619999999999996</v>
          </cell>
          <cell r="U40">
            <v>0.97619999999999996</v>
          </cell>
          <cell r="V40">
            <v>0.97619999999999996</v>
          </cell>
        </row>
        <row r="41">
          <cell r="A41">
            <v>40</v>
          </cell>
          <cell r="B41">
            <v>0.95030000000000003</v>
          </cell>
          <cell r="C41">
            <v>0.9496</v>
          </cell>
          <cell r="D41">
            <v>0.95309999999999995</v>
          </cell>
          <cell r="E41">
            <v>0.95440000000000003</v>
          </cell>
          <cell r="F41">
            <v>0.95889999999999997</v>
          </cell>
          <cell r="G41">
            <v>0.95899999999999996</v>
          </cell>
          <cell r="H41">
            <v>0.96360000000000001</v>
          </cell>
          <cell r="I41">
            <v>0.96509999999999996</v>
          </cell>
          <cell r="J41">
            <v>0.96689999999999998</v>
          </cell>
          <cell r="K41">
            <v>0.96740000000000004</v>
          </cell>
          <cell r="L41">
            <v>0.96919999999999995</v>
          </cell>
          <cell r="M41">
            <v>0.96960000000000002</v>
          </cell>
          <cell r="N41">
            <v>0.96960000000000002</v>
          </cell>
          <cell r="O41">
            <v>0.96960000000000002</v>
          </cell>
          <cell r="P41">
            <v>0.96960000000000002</v>
          </cell>
          <cell r="Q41">
            <v>0.96960000000000002</v>
          </cell>
          <cell r="R41">
            <v>0.96960000000000002</v>
          </cell>
          <cell r="S41">
            <v>0.96960000000000002</v>
          </cell>
          <cell r="T41">
            <v>0.96960000000000002</v>
          </cell>
          <cell r="U41">
            <v>0.96960000000000002</v>
          </cell>
          <cell r="V41">
            <v>0.96960000000000002</v>
          </cell>
        </row>
        <row r="42">
          <cell r="A42">
            <v>41</v>
          </cell>
          <cell r="B42">
            <v>0.94340000000000002</v>
          </cell>
          <cell r="C42">
            <v>0.94259999999999999</v>
          </cell>
          <cell r="D42">
            <v>0.94589999999999996</v>
          </cell>
          <cell r="E42">
            <v>0.94730000000000003</v>
          </cell>
          <cell r="F42">
            <v>0.95150000000000001</v>
          </cell>
          <cell r="G42">
            <v>0.9516</v>
          </cell>
          <cell r="H42">
            <v>0.95609999999999995</v>
          </cell>
          <cell r="I42">
            <v>0.95760000000000001</v>
          </cell>
          <cell r="J42">
            <v>0.95940000000000003</v>
          </cell>
          <cell r="K42">
            <v>0.96</v>
          </cell>
          <cell r="L42">
            <v>0.96179999999999999</v>
          </cell>
          <cell r="M42">
            <v>0.96230000000000004</v>
          </cell>
          <cell r="N42">
            <v>0.96230000000000004</v>
          </cell>
          <cell r="O42">
            <v>0.96230000000000004</v>
          </cell>
          <cell r="P42">
            <v>0.96230000000000004</v>
          </cell>
          <cell r="Q42">
            <v>0.96230000000000004</v>
          </cell>
          <cell r="R42">
            <v>0.96230000000000004</v>
          </cell>
          <cell r="S42">
            <v>0.96230000000000004</v>
          </cell>
          <cell r="T42">
            <v>0.96230000000000004</v>
          </cell>
          <cell r="U42">
            <v>0.96230000000000004</v>
          </cell>
          <cell r="V42">
            <v>0.96230000000000004</v>
          </cell>
        </row>
        <row r="43">
          <cell r="A43">
            <v>42</v>
          </cell>
          <cell r="B43">
            <v>0.9365</v>
          </cell>
          <cell r="C43">
            <v>0.93559999999999999</v>
          </cell>
          <cell r="D43">
            <v>0.93879999999999997</v>
          </cell>
          <cell r="E43">
            <v>0.94010000000000005</v>
          </cell>
          <cell r="F43">
            <v>0.94420000000000004</v>
          </cell>
          <cell r="G43">
            <v>0.94430000000000003</v>
          </cell>
          <cell r="H43">
            <v>0.9486</v>
          </cell>
          <cell r="I43">
            <v>0.95</v>
          </cell>
          <cell r="J43">
            <v>0.95169999999999999</v>
          </cell>
          <cell r="K43">
            <v>0.95230000000000004</v>
          </cell>
          <cell r="L43">
            <v>0.95399999999999996</v>
          </cell>
          <cell r="M43">
            <v>0.95450000000000002</v>
          </cell>
          <cell r="N43">
            <v>0.95450000000000002</v>
          </cell>
          <cell r="O43">
            <v>0.95450000000000002</v>
          </cell>
          <cell r="P43">
            <v>0.95450000000000002</v>
          </cell>
          <cell r="Q43">
            <v>0.95450000000000002</v>
          </cell>
          <cell r="R43">
            <v>0.95450000000000002</v>
          </cell>
          <cell r="S43">
            <v>0.95450000000000002</v>
          </cell>
          <cell r="T43">
            <v>0.95450000000000002</v>
          </cell>
          <cell r="U43">
            <v>0.95450000000000002</v>
          </cell>
          <cell r="V43">
            <v>0.95450000000000002</v>
          </cell>
        </row>
        <row r="44">
          <cell r="A44">
            <v>43</v>
          </cell>
          <cell r="B44">
            <v>0.92959999999999998</v>
          </cell>
          <cell r="C44">
            <v>0.92859999999999998</v>
          </cell>
          <cell r="D44">
            <v>0.93169999999999997</v>
          </cell>
          <cell r="E44">
            <v>0.93289999999999995</v>
          </cell>
          <cell r="F44">
            <v>0.93679999999999997</v>
          </cell>
          <cell r="G44">
            <v>0.93689999999999996</v>
          </cell>
          <cell r="H44">
            <v>0.94110000000000005</v>
          </cell>
          <cell r="I44">
            <v>0.94240000000000002</v>
          </cell>
          <cell r="J44">
            <v>0.94410000000000005</v>
          </cell>
          <cell r="K44">
            <v>0.9446</v>
          </cell>
          <cell r="L44">
            <v>0.94630000000000003</v>
          </cell>
          <cell r="M44">
            <v>0.94669999999999999</v>
          </cell>
          <cell r="N44">
            <v>0.94669999999999999</v>
          </cell>
          <cell r="O44">
            <v>0.94669999999999999</v>
          </cell>
          <cell r="P44">
            <v>0.94669999999999999</v>
          </cell>
          <cell r="Q44">
            <v>0.94669999999999999</v>
          </cell>
          <cell r="R44">
            <v>0.94669999999999999</v>
          </cell>
          <cell r="S44">
            <v>0.94669999999999999</v>
          </cell>
          <cell r="T44">
            <v>0.94669999999999999</v>
          </cell>
          <cell r="U44">
            <v>0.94669999999999999</v>
          </cell>
          <cell r="V44">
            <v>0.94669999999999999</v>
          </cell>
        </row>
        <row r="45">
          <cell r="A45">
            <v>44</v>
          </cell>
          <cell r="B45">
            <v>0.92269999999999996</v>
          </cell>
          <cell r="C45">
            <v>0.92159999999999997</v>
          </cell>
          <cell r="D45">
            <v>0.92449999999999999</v>
          </cell>
          <cell r="E45">
            <v>0.92569999999999997</v>
          </cell>
          <cell r="F45">
            <v>0.92949999999999999</v>
          </cell>
          <cell r="G45">
            <v>0.92959999999999998</v>
          </cell>
          <cell r="H45">
            <v>0.93359999999999999</v>
          </cell>
          <cell r="I45">
            <v>0.93489999999999995</v>
          </cell>
          <cell r="J45">
            <v>0.93640000000000001</v>
          </cell>
          <cell r="K45">
            <v>0.93689999999999996</v>
          </cell>
          <cell r="L45">
            <v>0.9385</v>
          </cell>
          <cell r="M45">
            <v>0.93889999999999996</v>
          </cell>
          <cell r="N45">
            <v>0.93889999999999996</v>
          </cell>
          <cell r="O45">
            <v>0.93889999999999996</v>
          </cell>
          <cell r="P45">
            <v>0.93889999999999996</v>
          </cell>
          <cell r="Q45">
            <v>0.93889999999999996</v>
          </cell>
          <cell r="R45">
            <v>0.93889999999999996</v>
          </cell>
          <cell r="S45">
            <v>0.93889999999999996</v>
          </cell>
          <cell r="T45">
            <v>0.93889999999999996</v>
          </cell>
          <cell r="U45">
            <v>0.93889999999999996</v>
          </cell>
          <cell r="V45">
            <v>0.93889999999999996</v>
          </cell>
        </row>
        <row r="46">
          <cell r="A46">
            <v>45</v>
          </cell>
          <cell r="B46">
            <v>0.91579999999999995</v>
          </cell>
          <cell r="C46">
            <v>0.91459999999999997</v>
          </cell>
          <cell r="D46">
            <v>0.91739999999999999</v>
          </cell>
          <cell r="E46">
            <v>0.91849999999999998</v>
          </cell>
          <cell r="F46">
            <v>0.92220000000000002</v>
          </cell>
          <cell r="G46">
            <v>0.92230000000000001</v>
          </cell>
          <cell r="H46">
            <v>0.92610000000000003</v>
          </cell>
          <cell r="I46">
            <v>0.92730000000000001</v>
          </cell>
          <cell r="J46">
            <v>0.92879999999999996</v>
          </cell>
          <cell r="K46">
            <v>0.92930000000000001</v>
          </cell>
          <cell r="L46">
            <v>0.93079999999999996</v>
          </cell>
          <cell r="M46">
            <v>0.93110000000000004</v>
          </cell>
          <cell r="N46">
            <v>0.93110000000000004</v>
          </cell>
          <cell r="O46">
            <v>0.93110000000000004</v>
          </cell>
          <cell r="P46">
            <v>0.93110000000000004</v>
          </cell>
          <cell r="Q46">
            <v>0.93110000000000004</v>
          </cell>
          <cell r="R46">
            <v>0.93110000000000004</v>
          </cell>
          <cell r="S46">
            <v>0.93110000000000004</v>
          </cell>
          <cell r="T46">
            <v>0.93110000000000004</v>
          </cell>
          <cell r="U46">
            <v>0.93110000000000004</v>
          </cell>
          <cell r="V46">
            <v>0.93110000000000004</v>
          </cell>
        </row>
        <row r="47">
          <cell r="A47">
            <v>46</v>
          </cell>
          <cell r="B47">
            <v>0.90890000000000004</v>
          </cell>
          <cell r="C47">
            <v>0.90759999999999996</v>
          </cell>
          <cell r="D47">
            <v>0.9103</v>
          </cell>
          <cell r="E47">
            <v>0.9113</v>
          </cell>
          <cell r="F47">
            <v>0.91479999999999995</v>
          </cell>
          <cell r="G47">
            <v>0.91490000000000005</v>
          </cell>
          <cell r="H47">
            <v>0.91859999999999997</v>
          </cell>
          <cell r="I47">
            <v>0.91969999999999996</v>
          </cell>
          <cell r="J47">
            <v>0.92110000000000003</v>
          </cell>
          <cell r="K47">
            <v>0.92159999999999997</v>
          </cell>
          <cell r="L47">
            <v>0.92300000000000004</v>
          </cell>
          <cell r="M47">
            <v>0.9234</v>
          </cell>
          <cell r="N47">
            <v>0.9234</v>
          </cell>
          <cell r="O47">
            <v>0.9234</v>
          </cell>
          <cell r="P47">
            <v>0.9234</v>
          </cell>
          <cell r="Q47">
            <v>0.9234</v>
          </cell>
          <cell r="R47">
            <v>0.9234</v>
          </cell>
          <cell r="S47">
            <v>0.9234</v>
          </cell>
          <cell r="T47">
            <v>0.9234</v>
          </cell>
          <cell r="U47">
            <v>0.9234</v>
          </cell>
          <cell r="V47">
            <v>0.9234</v>
          </cell>
        </row>
        <row r="48">
          <cell r="A48">
            <v>47</v>
          </cell>
          <cell r="B48">
            <v>0.90200000000000002</v>
          </cell>
          <cell r="C48">
            <v>0.90059999999999996</v>
          </cell>
          <cell r="D48">
            <v>0.90310000000000001</v>
          </cell>
          <cell r="E48">
            <v>0.9042</v>
          </cell>
          <cell r="F48">
            <v>0.90749999999999997</v>
          </cell>
          <cell r="G48">
            <v>0.90759999999999996</v>
          </cell>
          <cell r="H48">
            <v>0.91110000000000002</v>
          </cell>
          <cell r="I48">
            <v>0.91220000000000001</v>
          </cell>
          <cell r="J48">
            <v>0.91349999999999998</v>
          </cell>
          <cell r="K48">
            <v>0.91390000000000005</v>
          </cell>
          <cell r="L48">
            <v>0.91520000000000001</v>
          </cell>
          <cell r="M48">
            <v>0.91559999999999997</v>
          </cell>
          <cell r="N48">
            <v>0.91559999999999997</v>
          </cell>
          <cell r="O48">
            <v>0.91559999999999997</v>
          </cell>
          <cell r="P48">
            <v>0.91559999999999997</v>
          </cell>
          <cell r="Q48">
            <v>0.91559999999999997</v>
          </cell>
          <cell r="R48">
            <v>0.91559999999999997</v>
          </cell>
          <cell r="S48">
            <v>0.91559999999999997</v>
          </cell>
          <cell r="T48">
            <v>0.91559999999999997</v>
          </cell>
          <cell r="U48">
            <v>0.91559999999999997</v>
          </cell>
          <cell r="V48">
            <v>0.91559999999999997</v>
          </cell>
        </row>
        <row r="49">
          <cell r="A49">
            <v>48</v>
          </cell>
          <cell r="B49">
            <v>0.89510000000000001</v>
          </cell>
          <cell r="C49">
            <v>0.89359999999999995</v>
          </cell>
          <cell r="D49">
            <v>0.89600000000000002</v>
          </cell>
          <cell r="E49">
            <v>0.89700000000000002</v>
          </cell>
          <cell r="F49">
            <v>0.90010000000000001</v>
          </cell>
          <cell r="G49">
            <v>0.9002</v>
          </cell>
          <cell r="H49">
            <v>0.90359999999999996</v>
          </cell>
          <cell r="I49">
            <v>0.90459999999999996</v>
          </cell>
          <cell r="J49">
            <v>0.90580000000000005</v>
          </cell>
          <cell r="K49">
            <v>0.90620000000000001</v>
          </cell>
          <cell r="L49">
            <v>0.90749999999999997</v>
          </cell>
          <cell r="M49">
            <v>0.90780000000000005</v>
          </cell>
          <cell r="N49">
            <v>0.90780000000000005</v>
          </cell>
          <cell r="O49">
            <v>0.90780000000000005</v>
          </cell>
          <cell r="P49">
            <v>0.90780000000000005</v>
          </cell>
          <cell r="Q49">
            <v>0.90780000000000005</v>
          </cell>
          <cell r="R49">
            <v>0.90780000000000005</v>
          </cell>
          <cell r="S49">
            <v>0.90780000000000005</v>
          </cell>
          <cell r="T49">
            <v>0.90780000000000005</v>
          </cell>
          <cell r="U49">
            <v>0.90780000000000005</v>
          </cell>
          <cell r="V49">
            <v>0.90780000000000005</v>
          </cell>
        </row>
        <row r="50">
          <cell r="A50">
            <v>49</v>
          </cell>
          <cell r="B50">
            <v>0.88819999999999999</v>
          </cell>
          <cell r="C50">
            <v>0.88660000000000005</v>
          </cell>
          <cell r="D50">
            <v>0.88890000000000002</v>
          </cell>
          <cell r="E50">
            <v>0.88980000000000004</v>
          </cell>
          <cell r="F50">
            <v>0.89280000000000004</v>
          </cell>
          <cell r="G50">
            <v>0.89290000000000003</v>
          </cell>
          <cell r="H50">
            <v>0.89610000000000001</v>
          </cell>
          <cell r="I50">
            <v>0.89700000000000002</v>
          </cell>
          <cell r="J50">
            <v>0.8982</v>
          </cell>
          <cell r="K50">
            <v>0.89849999999999997</v>
          </cell>
          <cell r="L50">
            <v>0.89970000000000006</v>
          </cell>
          <cell r="M50">
            <v>0.9</v>
          </cell>
          <cell r="N50">
            <v>0.9</v>
          </cell>
          <cell r="O50">
            <v>0.9</v>
          </cell>
          <cell r="P50">
            <v>0.9</v>
          </cell>
          <cell r="Q50">
            <v>0.9</v>
          </cell>
          <cell r="R50">
            <v>0.9</v>
          </cell>
          <cell r="S50">
            <v>0.9</v>
          </cell>
          <cell r="T50">
            <v>0.9</v>
          </cell>
          <cell r="U50">
            <v>0.9</v>
          </cell>
          <cell r="V50">
            <v>0.9</v>
          </cell>
        </row>
        <row r="51">
          <cell r="A51">
            <v>50</v>
          </cell>
          <cell r="B51">
            <v>0.88129999999999997</v>
          </cell>
          <cell r="C51">
            <v>0.87960000000000005</v>
          </cell>
          <cell r="D51">
            <v>0.88170000000000004</v>
          </cell>
          <cell r="E51">
            <v>0.88260000000000005</v>
          </cell>
          <cell r="F51">
            <v>0.88549999999999995</v>
          </cell>
          <cell r="G51">
            <v>0.88549999999999995</v>
          </cell>
          <cell r="H51">
            <v>0.88859999999999995</v>
          </cell>
          <cell r="I51">
            <v>0.88949999999999996</v>
          </cell>
          <cell r="J51">
            <v>0.89049999999999996</v>
          </cell>
          <cell r="K51">
            <v>0.89090000000000003</v>
          </cell>
          <cell r="L51">
            <v>0.89200000000000002</v>
          </cell>
          <cell r="M51">
            <v>0.89219999999999999</v>
          </cell>
          <cell r="N51">
            <v>0.89219999999999999</v>
          </cell>
          <cell r="O51">
            <v>0.89219999999999999</v>
          </cell>
          <cell r="P51">
            <v>0.89219999999999999</v>
          </cell>
          <cell r="Q51">
            <v>0.89219999999999999</v>
          </cell>
          <cell r="R51">
            <v>0.89219999999999999</v>
          </cell>
          <cell r="S51">
            <v>0.89219999999999999</v>
          </cell>
          <cell r="T51">
            <v>0.89219999999999999</v>
          </cell>
          <cell r="U51">
            <v>0.89219999999999999</v>
          </cell>
          <cell r="V51">
            <v>0.89219999999999999</v>
          </cell>
        </row>
        <row r="52">
          <cell r="A52">
            <v>51</v>
          </cell>
          <cell r="B52">
            <v>0.87439999999999996</v>
          </cell>
          <cell r="C52">
            <v>0.87260000000000004</v>
          </cell>
          <cell r="D52">
            <v>0.87460000000000004</v>
          </cell>
          <cell r="E52">
            <v>0.87539999999999996</v>
          </cell>
          <cell r="F52">
            <v>0.87809999999999999</v>
          </cell>
          <cell r="G52">
            <v>0.87819999999999998</v>
          </cell>
          <cell r="H52">
            <v>0.88109999999999999</v>
          </cell>
          <cell r="I52">
            <v>0.88190000000000002</v>
          </cell>
          <cell r="J52">
            <v>0.88290000000000002</v>
          </cell>
          <cell r="K52">
            <v>0.88319999999999999</v>
          </cell>
          <cell r="L52">
            <v>0.88419999999999999</v>
          </cell>
          <cell r="M52">
            <v>0.88449999999999995</v>
          </cell>
          <cell r="N52">
            <v>0.88449999999999995</v>
          </cell>
          <cell r="O52">
            <v>0.88449999999999995</v>
          </cell>
          <cell r="P52">
            <v>0.88449999999999995</v>
          </cell>
          <cell r="Q52">
            <v>0.88449999999999995</v>
          </cell>
          <cell r="R52">
            <v>0.88449999999999995</v>
          </cell>
          <cell r="S52">
            <v>0.88449999999999995</v>
          </cell>
          <cell r="T52">
            <v>0.88449999999999995</v>
          </cell>
          <cell r="U52">
            <v>0.88449999999999995</v>
          </cell>
          <cell r="V52">
            <v>0.88449999999999995</v>
          </cell>
        </row>
        <row r="53">
          <cell r="A53">
            <v>52</v>
          </cell>
          <cell r="B53">
            <v>0.86750000000000005</v>
          </cell>
          <cell r="C53">
            <v>0.86560000000000004</v>
          </cell>
          <cell r="D53">
            <v>0.86750000000000005</v>
          </cell>
          <cell r="E53">
            <v>0.86829999999999996</v>
          </cell>
          <cell r="F53">
            <v>0.87080000000000002</v>
          </cell>
          <cell r="G53">
            <v>0.87090000000000001</v>
          </cell>
          <cell r="H53">
            <v>0.87360000000000004</v>
          </cell>
          <cell r="I53">
            <v>0.87429999999999997</v>
          </cell>
          <cell r="J53">
            <v>0.87519999999999998</v>
          </cell>
          <cell r="K53">
            <v>0.87549999999999994</v>
          </cell>
          <cell r="L53">
            <v>0.87639999999999996</v>
          </cell>
          <cell r="M53">
            <v>0.87670000000000003</v>
          </cell>
          <cell r="N53">
            <v>0.87670000000000003</v>
          </cell>
          <cell r="O53">
            <v>0.87670000000000003</v>
          </cell>
          <cell r="P53">
            <v>0.87670000000000003</v>
          </cell>
          <cell r="Q53">
            <v>0.87670000000000003</v>
          </cell>
          <cell r="R53">
            <v>0.87670000000000003</v>
          </cell>
          <cell r="S53">
            <v>0.87670000000000003</v>
          </cell>
          <cell r="T53">
            <v>0.87670000000000003</v>
          </cell>
          <cell r="U53">
            <v>0.87670000000000003</v>
          </cell>
          <cell r="V53">
            <v>0.87670000000000003</v>
          </cell>
        </row>
        <row r="54">
          <cell r="A54">
            <v>53</v>
          </cell>
          <cell r="B54">
            <v>0.86060000000000003</v>
          </cell>
          <cell r="C54">
            <v>0.85860000000000003</v>
          </cell>
          <cell r="D54">
            <v>0.86040000000000005</v>
          </cell>
          <cell r="E54">
            <v>0.86109999999999998</v>
          </cell>
          <cell r="F54">
            <v>0.86339999999999995</v>
          </cell>
          <cell r="G54">
            <v>0.86350000000000005</v>
          </cell>
          <cell r="H54">
            <v>0.86609999999999998</v>
          </cell>
          <cell r="I54">
            <v>0.86680000000000001</v>
          </cell>
          <cell r="J54">
            <v>0.86760000000000004</v>
          </cell>
          <cell r="K54">
            <v>0.86780000000000002</v>
          </cell>
          <cell r="L54">
            <v>0.86870000000000003</v>
          </cell>
          <cell r="M54">
            <v>0.86890000000000001</v>
          </cell>
          <cell r="N54">
            <v>0.86890000000000001</v>
          </cell>
          <cell r="O54">
            <v>0.86890000000000001</v>
          </cell>
          <cell r="P54">
            <v>0.86890000000000001</v>
          </cell>
          <cell r="Q54">
            <v>0.86890000000000001</v>
          </cell>
          <cell r="R54">
            <v>0.86890000000000001</v>
          </cell>
          <cell r="S54">
            <v>0.86890000000000001</v>
          </cell>
          <cell r="T54">
            <v>0.86890000000000001</v>
          </cell>
          <cell r="U54">
            <v>0.86890000000000001</v>
          </cell>
          <cell r="V54">
            <v>0.86890000000000001</v>
          </cell>
        </row>
        <row r="55">
          <cell r="A55">
            <v>54</v>
          </cell>
          <cell r="B55">
            <v>0.85370000000000001</v>
          </cell>
          <cell r="C55">
            <v>0.85160000000000002</v>
          </cell>
          <cell r="D55">
            <v>0.85319999999999996</v>
          </cell>
          <cell r="E55">
            <v>0.85389999999999999</v>
          </cell>
          <cell r="F55">
            <v>0.85609999999999997</v>
          </cell>
          <cell r="G55">
            <v>0.85619999999999996</v>
          </cell>
          <cell r="H55">
            <v>0.85860000000000003</v>
          </cell>
          <cell r="I55">
            <v>0.85919999999999996</v>
          </cell>
          <cell r="J55">
            <v>0.8599</v>
          </cell>
          <cell r="K55">
            <v>0.86019999999999996</v>
          </cell>
          <cell r="L55">
            <v>0.8609</v>
          </cell>
          <cell r="M55">
            <v>0.86109999999999998</v>
          </cell>
          <cell r="N55">
            <v>0.86109999999999998</v>
          </cell>
          <cell r="O55">
            <v>0.86109999999999998</v>
          </cell>
          <cell r="P55">
            <v>0.86109999999999998</v>
          </cell>
          <cell r="Q55">
            <v>0.86109999999999998</v>
          </cell>
          <cell r="R55">
            <v>0.86109999999999998</v>
          </cell>
          <cell r="S55">
            <v>0.86109999999999998</v>
          </cell>
          <cell r="T55">
            <v>0.86109999999999998</v>
          </cell>
          <cell r="U55">
            <v>0.86109999999999998</v>
          </cell>
          <cell r="V55">
            <v>0.86109999999999998</v>
          </cell>
        </row>
        <row r="56">
          <cell r="A56">
            <v>55</v>
          </cell>
          <cell r="B56">
            <v>0.8468</v>
          </cell>
          <cell r="C56">
            <v>0.84460000000000002</v>
          </cell>
          <cell r="D56">
            <v>0.84609999999999996</v>
          </cell>
          <cell r="E56">
            <v>0.84670000000000001</v>
          </cell>
          <cell r="F56">
            <v>0.8488</v>
          </cell>
          <cell r="G56">
            <v>0.8488</v>
          </cell>
          <cell r="H56">
            <v>0.85109999999999997</v>
          </cell>
          <cell r="I56">
            <v>0.85160000000000002</v>
          </cell>
          <cell r="J56">
            <v>0.85229999999999995</v>
          </cell>
          <cell r="K56">
            <v>0.85250000000000004</v>
          </cell>
          <cell r="L56">
            <v>0.85319999999999996</v>
          </cell>
          <cell r="M56">
            <v>0.85329999999999995</v>
          </cell>
          <cell r="N56">
            <v>0.85329999999999995</v>
          </cell>
          <cell r="O56">
            <v>0.85329999999999995</v>
          </cell>
          <cell r="P56">
            <v>0.85329999999999995</v>
          </cell>
          <cell r="Q56">
            <v>0.85329999999999995</v>
          </cell>
          <cell r="R56">
            <v>0.85329999999999995</v>
          </cell>
          <cell r="S56">
            <v>0.85329999999999995</v>
          </cell>
          <cell r="T56">
            <v>0.85329999999999995</v>
          </cell>
          <cell r="U56">
            <v>0.85329999999999995</v>
          </cell>
          <cell r="V56">
            <v>0.85329999999999995</v>
          </cell>
        </row>
        <row r="57">
          <cell r="A57">
            <v>56</v>
          </cell>
          <cell r="B57">
            <v>0.83989999999999998</v>
          </cell>
          <cell r="C57">
            <v>0.83760000000000001</v>
          </cell>
          <cell r="D57">
            <v>0.83899999999999997</v>
          </cell>
          <cell r="E57">
            <v>0.83950000000000002</v>
          </cell>
          <cell r="F57">
            <v>0.84140000000000004</v>
          </cell>
          <cell r="G57">
            <v>0.84150000000000003</v>
          </cell>
          <cell r="H57">
            <v>0.84360000000000002</v>
          </cell>
          <cell r="I57">
            <v>0.84399999999999997</v>
          </cell>
          <cell r="J57">
            <v>0.84460000000000002</v>
          </cell>
          <cell r="K57">
            <v>0.8448</v>
          </cell>
          <cell r="L57">
            <v>0.84540000000000004</v>
          </cell>
          <cell r="M57">
            <v>0.84560000000000002</v>
          </cell>
          <cell r="N57">
            <v>0.84560000000000002</v>
          </cell>
          <cell r="O57">
            <v>0.84560000000000002</v>
          </cell>
          <cell r="P57">
            <v>0.84560000000000002</v>
          </cell>
          <cell r="Q57">
            <v>0.84560000000000002</v>
          </cell>
          <cell r="R57">
            <v>0.84560000000000002</v>
          </cell>
          <cell r="S57">
            <v>0.84560000000000002</v>
          </cell>
          <cell r="T57">
            <v>0.84560000000000002</v>
          </cell>
          <cell r="U57">
            <v>0.84560000000000002</v>
          </cell>
          <cell r="V57">
            <v>0.84560000000000002</v>
          </cell>
        </row>
        <row r="58">
          <cell r="A58">
            <v>57</v>
          </cell>
          <cell r="B58">
            <v>0.83299999999999996</v>
          </cell>
          <cell r="C58">
            <v>0.8306</v>
          </cell>
          <cell r="D58">
            <v>0.83179999999999998</v>
          </cell>
          <cell r="E58">
            <v>0.83230000000000004</v>
          </cell>
          <cell r="F58">
            <v>0.83409999999999995</v>
          </cell>
          <cell r="G58">
            <v>0.83409999999999995</v>
          </cell>
          <cell r="H58">
            <v>0.83609999999999995</v>
          </cell>
          <cell r="I58">
            <v>0.83650000000000002</v>
          </cell>
          <cell r="J58">
            <v>0.83699999999999997</v>
          </cell>
          <cell r="K58">
            <v>0.83709999999999996</v>
          </cell>
          <cell r="L58">
            <v>0.83760000000000001</v>
          </cell>
          <cell r="M58">
            <v>0.83779999999999999</v>
          </cell>
          <cell r="N58">
            <v>0.83779999999999999</v>
          </cell>
          <cell r="O58">
            <v>0.83779999999999999</v>
          </cell>
          <cell r="P58">
            <v>0.83779999999999999</v>
          </cell>
          <cell r="Q58">
            <v>0.83779999999999999</v>
          </cell>
          <cell r="R58">
            <v>0.83779999999999999</v>
          </cell>
          <cell r="S58">
            <v>0.83779999999999999</v>
          </cell>
          <cell r="T58">
            <v>0.83779999999999999</v>
          </cell>
          <cell r="U58">
            <v>0.83779999999999999</v>
          </cell>
          <cell r="V58">
            <v>0.83779999999999999</v>
          </cell>
        </row>
        <row r="59">
          <cell r="A59">
            <v>58</v>
          </cell>
          <cell r="B59">
            <v>0.82609999999999995</v>
          </cell>
          <cell r="C59">
            <v>0.8236</v>
          </cell>
          <cell r="D59">
            <v>0.82469999999999999</v>
          </cell>
          <cell r="E59">
            <v>0.82520000000000004</v>
          </cell>
          <cell r="F59">
            <v>0.82679999999999998</v>
          </cell>
          <cell r="G59">
            <v>0.82679999999999998</v>
          </cell>
          <cell r="H59">
            <v>0.8286</v>
          </cell>
          <cell r="I59">
            <v>0.82889999999999997</v>
          </cell>
          <cell r="J59">
            <v>0.82930000000000004</v>
          </cell>
          <cell r="K59">
            <v>0.82940000000000003</v>
          </cell>
          <cell r="L59">
            <v>0.82989999999999997</v>
          </cell>
          <cell r="M59">
            <v>0.83</v>
          </cell>
          <cell r="N59">
            <v>0.83</v>
          </cell>
          <cell r="O59">
            <v>0.83</v>
          </cell>
          <cell r="P59">
            <v>0.83</v>
          </cell>
          <cell r="Q59">
            <v>0.83</v>
          </cell>
          <cell r="R59">
            <v>0.83</v>
          </cell>
          <cell r="S59">
            <v>0.83</v>
          </cell>
          <cell r="T59">
            <v>0.83</v>
          </cell>
          <cell r="U59">
            <v>0.83</v>
          </cell>
          <cell r="V59">
            <v>0.83</v>
          </cell>
        </row>
        <row r="60">
          <cell r="A60">
            <v>59</v>
          </cell>
          <cell r="B60">
            <v>0.81920000000000004</v>
          </cell>
          <cell r="C60">
            <v>0.81659999999999999</v>
          </cell>
          <cell r="D60">
            <v>0.81759999999999999</v>
          </cell>
          <cell r="E60">
            <v>0.81799999999999995</v>
          </cell>
          <cell r="F60">
            <v>0.81940000000000002</v>
          </cell>
          <cell r="G60">
            <v>0.81950000000000001</v>
          </cell>
          <cell r="H60">
            <v>0.82110000000000005</v>
          </cell>
          <cell r="I60">
            <v>0.82130000000000003</v>
          </cell>
          <cell r="J60">
            <v>0.82169999999999999</v>
          </cell>
          <cell r="K60">
            <v>0.82179999999999997</v>
          </cell>
          <cell r="L60">
            <v>0.82210000000000005</v>
          </cell>
          <cell r="M60">
            <v>0.82220000000000004</v>
          </cell>
          <cell r="N60">
            <v>0.82220000000000004</v>
          </cell>
          <cell r="O60">
            <v>0.82220000000000004</v>
          </cell>
          <cell r="P60">
            <v>0.82220000000000004</v>
          </cell>
          <cell r="Q60">
            <v>0.82220000000000004</v>
          </cell>
          <cell r="R60">
            <v>0.82220000000000004</v>
          </cell>
          <cell r="S60">
            <v>0.82220000000000004</v>
          </cell>
          <cell r="T60">
            <v>0.82220000000000004</v>
          </cell>
          <cell r="U60">
            <v>0.82220000000000004</v>
          </cell>
          <cell r="V60">
            <v>0.82220000000000004</v>
          </cell>
        </row>
        <row r="61">
          <cell r="A61">
            <v>60</v>
          </cell>
          <cell r="B61">
            <v>0.81230000000000002</v>
          </cell>
          <cell r="C61">
            <v>0.80959999999999999</v>
          </cell>
          <cell r="D61">
            <v>0.81040000000000001</v>
          </cell>
          <cell r="E61">
            <v>0.81079999999999997</v>
          </cell>
          <cell r="F61">
            <v>0.81210000000000004</v>
          </cell>
          <cell r="G61">
            <v>0.81210000000000004</v>
          </cell>
          <cell r="H61">
            <v>0.81359999999999999</v>
          </cell>
          <cell r="I61">
            <v>0.81379999999999997</v>
          </cell>
          <cell r="J61">
            <v>0.81399999999999995</v>
          </cell>
          <cell r="K61">
            <v>0.81410000000000005</v>
          </cell>
          <cell r="L61">
            <v>0.81440000000000001</v>
          </cell>
          <cell r="M61">
            <v>0.81440000000000001</v>
          </cell>
          <cell r="N61">
            <v>0.81440000000000001</v>
          </cell>
          <cell r="O61">
            <v>0.81440000000000001</v>
          </cell>
          <cell r="P61">
            <v>0.81440000000000001</v>
          </cell>
          <cell r="Q61">
            <v>0.81440000000000001</v>
          </cell>
          <cell r="R61">
            <v>0.81440000000000001</v>
          </cell>
          <cell r="S61">
            <v>0.81440000000000001</v>
          </cell>
          <cell r="T61">
            <v>0.81440000000000001</v>
          </cell>
          <cell r="U61">
            <v>0.81440000000000001</v>
          </cell>
          <cell r="V61">
            <v>0.81440000000000001</v>
          </cell>
        </row>
        <row r="62">
          <cell r="A62">
            <v>61</v>
          </cell>
          <cell r="B62">
            <v>0.8054</v>
          </cell>
          <cell r="C62">
            <v>0.80259999999999998</v>
          </cell>
          <cell r="D62">
            <v>0.80330000000000001</v>
          </cell>
          <cell r="E62">
            <v>0.80359999999999998</v>
          </cell>
          <cell r="F62">
            <v>0.80469999999999997</v>
          </cell>
          <cell r="G62">
            <v>0.80479999999999996</v>
          </cell>
          <cell r="H62">
            <v>0.80610000000000004</v>
          </cell>
          <cell r="I62">
            <v>0.80620000000000003</v>
          </cell>
          <cell r="J62">
            <v>0.80630000000000002</v>
          </cell>
          <cell r="K62">
            <v>0.80640000000000001</v>
          </cell>
          <cell r="L62">
            <v>0.80659999999999998</v>
          </cell>
          <cell r="M62">
            <v>0.80669999999999997</v>
          </cell>
          <cell r="N62">
            <v>0.80669999999999997</v>
          </cell>
          <cell r="O62">
            <v>0.80669999999999997</v>
          </cell>
          <cell r="P62">
            <v>0.80669999999999997</v>
          </cell>
          <cell r="Q62">
            <v>0.80669999999999997</v>
          </cell>
          <cell r="R62">
            <v>0.80669999999999997</v>
          </cell>
          <cell r="S62">
            <v>0.80669999999999997</v>
          </cell>
          <cell r="T62">
            <v>0.80669999999999997</v>
          </cell>
          <cell r="U62">
            <v>0.80669999999999997</v>
          </cell>
          <cell r="V62">
            <v>0.80669999999999997</v>
          </cell>
        </row>
        <row r="63">
          <cell r="A63">
            <v>62</v>
          </cell>
          <cell r="B63">
            <v>0.79849999999999999</v>
          </cell>
          <cell r="C63">
            <v>0.79559999999999997</v>
          </cell>
          <cell r="D63">
            <v>0.79620000000000002</v>
          </cell>
          <cell r="E63">
            <v>0.7964</v>
          </cell>
          <cell r="F63">
            <v>0.7974</v>
          </cell>
          <cell r="G63">
            <v>0.7974</v>
          </cell>
          <cell r="H63">
            <v>0.79859999999999998</v>
          </cell>
          <cell r="I63">
            <v>0.79859999999999998</v>
          </cell>
          <cell r="J63">
            <v>0.79869999999999997</v>
          </cell>
          <cell r="K63">
            <v>0.79869999999999997</v>
          </cell>
          <cell r="L63">
            <v>0.79879999999999995</v>
          </cell>
          <cell r="M63">
            <v>0.79890000000000005</v>
          </cell>
          <cell r="N63">
            <v>0.79890000000000005</v>
          </cell>
          <cell r="O63">
            <v>0.79890000000000005</v>
          </cell>
          <cell r="P63">
            <v>0.79890000000000005</v>
          </cell>
          <cell r="Q63">
            <v>0.79890000000000005</v>
          </cell>
          <cell r="R63">
            <v>0.79890000000000005</v>
          </cell>
          <cell r="S63">
            <v>0.79890000000000005</v>
          </cell>
          <cell r="T63">
            <v>0.79890000000000005</v>
          </cell>
          <cell r="U63">
            <v>0.79890000000000005</v>
          </cell>
          <cell r="V63">
            <v>0.79890000000000005</v>
          </cell>
        </row>
        <row r="64">
          <cell r="A64">
            <v>63</v>
          </cell>
          <cell r="B64">
            <v>0.79159999999999997</v>
          </cell>
          <cell r="C64">
            <v>0.78859999999999997</v>
          </cell>
          <cell r="D64">
            <v>0.78900000000000003</v>
          </cell>
          <cell r="E64">
            <v>0.78920000000000001</v>
          </cell>
          <cell r="F64">
            <v>0.79010000000000002</v>
          </cell>
          <cell r="G64">
            <v>0.79010000000000002</v>
          </cell>
          <cell r="H64">
            <v>0.79110000000000003</v>
          </cell>
          <cell r="I64">
            <v>0.79110000000000003</v>
          </cell>
          <cell r="J64">
            <v>0.79100000000000004</v>
          </cell>
          <cell r="K64">
            <v>0.79100000000000004</v>
          </cell>
          <cell r="L64">
            <v>0.79110000000000003</v>
          </cell>
          <cell r="M64">
            <v>0.79110000000000003</v>
          </cell>
          <cell r="N64">
            <v>0.79110000000000003</v>
          </cell>
          <cell r="O64">
            <v>0.79110000000000003</v>
          </cell>
          <cell r="P64">
            <v>0.79110000000000003</v>
          </cell>
          <cell r="Q64">
            <v>0.79110000000000003</v>
          </cell>
          <cell r="R64">
            <v>0.79110000000000003</v>
          </cell>
          <cell r="S64">
            <v>0.79110000000000003</v>
          </cell>
          <cell r="T64">
            <v>0.79110000000000003</v>
          </cell>
          <cell r="U64">
            <v>0.79110000000000003</v>
          </cell>
          <cell r="V64">
            <v>0.79110000000000003</v>
          </cell>
        </row>
        <row r="65">
          <cell r="A65">
            <v>64</v>
          </cell>
          <cell r="B65">
            <v>0.78469999999999995</v>
          </cell>
          <cell r="C65">
            <v>0.78159999999999996</v>
          </cell>
          <cell r="D65">
            <v>0.78190000000000004</v>
          </cell>
          <cell r="E65">
            <v>0.78210000000000002</v>
          </cell>
          <cell r="F65">
            <v>0.78269999999999995</v>
          </cell>
          <cell r="G65">
            <v>0.78269999999999995</v>
          </cell>
          <cell r="H65">
            <v>0.78359999999999996</v>
          </cell>
          <cell r="I65">
            <v>0.78349999999999997</v>
          </cell>
          <cell r="J65">
            <v>0.78339999999999999</v>
          </cell>
          <cell r="K65">
            <v>0.78339999999999999</v>
          </cell>
          <cell r="L65">
            <v>0.7833</v>
          </cell>
          <cell r="M65">
            <v>0.7833</v>
          </cell>
          <cell r="N65">
            <v>0.7833</v>
          </cell>
          <cell r="O65">
            <v>0.7833</v>
          </cell>
          <cell r="P65">
            <v>0.7833</v>
          </cell>
          <cell r="Q65">
            <v>0.7833</v>
          </cell>
          <cell r="R65">
            <v>0.7833</v>
          </cell>
          <cell r="S65">
            <v>0.7833</v>
          </cell>
          <cell r="T65">
            <v>0.7833</v>
          </cell>
          <cell r="U65">
            <v>0.7833</v>
          </cell>
          <cell r="V65">
            <v>0.7833</v>
          </cell>
        </row>
        <row r="66">
          <cell r="A66">
            <v>65</v>
          </cell>
          <cell r="B66">
            <v>0.77780000000000005</v>
          </cell>
          <cell r="C66">
            <v>0.77459999999999996</v>
          </cell>
          <cell r="D66">
            <v>0.77480000000000004</v>
          </cell>
          <cell r="E66">
            <v>0.77490000000000003</v>
          </cell>
          <cell r="F66">
            <v>0.77539999999999998</v>
          </cell>
          <cell r="G66">
            <v>0.77539999999999998</v>
          </cell>
          <cell r="H66">
            <v>0.77610000000000001</v>
          </cell>
          <cell r="I66">
            <v>0.77590000000000003</v>
          </cell>
          <cell r="J66">
            <v>0.77569999999999995</v>
          </cell>
          <cell r="K66">
            <v>0.77569999999999995</v>
          </cell>
          <cell r="L66">
            <v>0.77559999999999996</v>
          </cell>
          <cell r="M66">
            <v>0.77549999999999997</v>
          </cell>
          <cell r="N66">
            <v>0.77549999999999997</v>
          </cell>
          <cell r="O66">
            <v>0.77549999999999997</v>
          </cell>
          <cell r="P66">
            <v>0.77549999999999997</v>
          </cell>
          <cell r="Q66">
            <v>0.77549999999999997</v>
          </cell>
          <cell r="R66">
            <v>0.77549999999999997</v>
          </cell>
          <cell r="S66">
            <v>0.77549999999999997</v>
          </cell>
          <cell r="T66">
            <v>0.77549999999999997</v>
          </cell>
          <cell r="U66">
            <v>0.77549999999999997</v>
          </cell>
          <cell r="V66">
            <v>0.77549999999999997</v>
          </cell>
        </row>
        <row r="67">
          <cell r="A67">
            <v>66</v>
          </cell>
          <cell r="B67">
            <v>0.77090000000000003</v>
          </cell>
          <cell r="C67">
            <v>0.76759999999999995</v>
          </cell>
          <cell r="D67">
            <v>0.76759999999999995</v>
          </cell>
          <cell r="E67">
            <v>0.76770000000000005</v>
          </cell>
          <cell r="F67">
            <v>0.76800000000000002</v>
          </cell>
          <cell r="G67">
            <v>0.7681</v>
          </cell>
          <cell r="H67">
            <v>0.76859999999999995</v>
          </cell>
          <cell r="I67">
            <v>0.76839999999999997</v>
          </cell>
          <cell r="J67">
            <v>0.7681</v>
          </cell>
          <cell r="K67">
            <v>0.76800000000000002</v>
          </cell>
          <cell r="L67">
            <v>0.76780000000000004</v>
          </cell>
          <cell r="M67">
            <v>0.76780000000000004</v>
          </cell>
          <cell r="N67">
            <v>0.76780000000000004</v>
          </cell>
          <cell r="O67">
            <v>0.76780000000000004</v>
          </cell>
          <cell r="P67">
            <v>0.76780000000000004</v>
          </cell>
          <cell r="Q67">
            <v>0.76780000000000004</v>
          </cell>
          <cell r="R67">
            <v>0.76780000000000004</v>
          </cell>
          <cell r="S67">
            <v>0.76780000000000004</v>
          </cell>
          <cell r="T67">
            <v>0.76780000000000004</v>
          </cell>
          <cell r="U67">
            <v>0.76780000000000004</v>
          </cell>
          <cell r="V67">
            <v>0.76780000000000004</v>
          </cell>
        </row>
        <row r="68">
          <cell r="A68">
            <v>67</v>
          </cell>
          <cell r="B68">
            <v>0.76400000000000001</v>
          </cell>
          <cell r="C68">
            <v>0.76060000000000005</v>
          </cell>
          <cell r="D68">
            <v>0.76049999999999995</v>
          </cell>
          <cell r="E68">
            <v>0.76049999999999995</v>
          </cell>
          <cell r="F68">
            <v>0.76070000000000004</v>
          </cell>
          <cell r="G68">
            <v>0.76070000000000004</v>
          </cell>
          <cell r="H68">
            <v>0.7611</v>
          </cell>
          <cell r="I68">
            <v>0.76080000000000003</v>
          </cell>
          <cell r="J68">
            <v>0.76039999999999996</v>
          </cell>
          <cell r="K68">
            <v>0.76029999999999998</v>
          </cell>
          <cell r="L68">
            <v>0.76</v>
          </cell>
          <cell r="M68">
            <v>0.76</v>
          </cell>
          <cell r="N68">
            <v>0.76</v>
          </cell>
          <cell r="O68">
            <v>0.76</v>
          </cell>
          <cell r="P68">
            <v>0.76</v>
          </cell>
          <cell r="Q68">
            <v>0.76</v>
          </cell>
          <cell r="R68">
            <v>0.76</v>
          </cell>
          <cell r="S68">
            <v>0.76</v>
          </cell>
          <cell r="T68">
            <v>0.76</v>
          </cell>
          <cell r="U68">
            <v>0.76</v>
          </cell>
          <cell r="V68">
            <v>0.76</v>
          </cell>
        </row>
        <row r="69">
          <cell r="A69">
            <v>68</v>
          </cell>
          <cell r="B69">
            <v>0.75680000000000003</v>
          </cell>
          <cell r="C69">
            <v>0.75329999999999997</v>
          </cell>
          <cell r="D69">
            <v>0.75339999999999996</v>
          </cell>
          <cell r="E69">
            <v>0.75329999999999997</v>
          </cell>
          <cell r="F69">
            <v>0.75339999999999996</v>
          </cell>
          <cell r="G69">
            <v>0.75339999999999996</v>
          </cell>
          <cell r="H69">
            <v>0.75360000000000005</v>
          </cell>
          <cell r="I69">
            <v>0.75319999999999998</v>
          </cell>
          <cell r="J69">
            <v>0.75280000000000002</v>
          </cell>
          <cell r="K69">
            <v>0.75270000000000004</v>
          </cell>
          <cell r="L69">
            <v>0.75229999999999997</v>
          </cell>
          <cell r="M69">
            <v>0.75219999999999998</v>
          </cell>
          <cell r="N69">
            <v>0.75219999999999998</v>
          </cell>
          <cell r="O69">
            <v>0.75219999999999998</v>
          </cell>
          <cell r="P69">
            <v>0.75219999999999998</v>
          </cell>
          <cell r="Q69">
            <v>0.75219999999999998</v>
          </cell>
          <cell r="R69">
            <v>0.75219999999999998</v>
          </cell>
          <cell r="S69">
            <v>0.75219999999999998</v>
          </cell>
          <cell r="T69">
            <v>0.75219999999999998</v>
          </cell>
          <cell r="U69">
            <v>0.75219999999999998</v>
          </cell>
          <cell r="V69">
            <v>0.75219999999999998</v>
          </cell>
        </row>
        <row r="70">
          <cell r="A70">
            <v>69</v>
          </cell>
          <cell r="B70">
            <v>0.749</v>
          </cell>
          <cell r="C70">
            <v>0.74539999999999995</v>
          </cell>
          <cell r="D70">
            <v>0.74580000000000002</v>
          </cell>
          <cell r="E70">
            <v>0.74590000000000001</v>
          </cell>
          <cell r="F70">
            <v>0.746</v>
          </cell>
          <cell r="G70">
            <v>0.746</v>
          </cell>
          <cell r="H70">
            <v>0.74609999999999999</v>
          </cell>
          <cell r="I70">
            <v>0.74570000000000003</v>
          </cell>
          <cell r="J70">
            <v>0.74509999999999998</v>
          </cell>
          <cell r="K70">
            <v>0.745</v>
          </cell>
          <cell r="L70">
            <v>0.74450000000000005</v>
          </cell>
          <cell r="M70">
            <v>0.74439999999999995</v>
          </cell>
          <cell r="N70">
            <v>0.74439999999999995</v>
          </cell>
          <cell r="O70">
            <v>0.74439999999999995</v>
          </cell>
          <cell r="P70">
            <v>0.74439999999999995</v>
          </cell>
          <cell r="Q70">
            <v>0.74439999999999995</v>
          </cell>
          <cell r="R70">
            <v>0.74439999999999995</v>
          </cell>
          <cell r="S70">
            <v>0.74439999999999995</v>
          </cell>
          <cell r="T70">
            <v>0.74439999999999995</v>
          </cell>
          <cell r="U70">
            <v>0.74439999999999995</v>
          </cell>
          <cell r="V70">
            <v>0.74439999999999995</v>
          </cell>
        </row>
        <row r="71">
          <cell r="A71">
            <v>70</v>
          </cell>
          <cell r="B71">
            <v>0.74060000000000004</v>
          </cell>
          <cell r="C71">
            <v>0.7369</v>
          </cell>
          <cell r="D71">
            <v>0.73760000000000003</v>
          </cell>
          <cell r="E71">
            <v>0.73780000000000001</v>
          </cell>
          <cell r="F71">
            <v>0.73839999999999995</v>
          </cell>
          <cell r="G71">
            <v>0.73839999999999995</v>
          </cell>
          <cell r="H71">
            <v>0.73860000000000003</v>
          </cell>
          <cell r="I71">
            <v>0.73809999999999998</v>
          </cell>
          <cell r="J71">
            <v>0.73750000000000004</v>
          </cell>
          <cell r="K71">
            <v>0.73729999999999996</v>
          </cell>
          <cell r="L71">
            <v>0.73680000000000001</v>
          </cell>
          <cell r="M71">
            <v>0.73660000000000003</v>
          </cell>
          <cell r="N71">
            <v>0.73660000000000003</v>
          </cell>
          <cell r="O71">
            <v>0.73660000000000003</v>
          </cell>
          <cell r="P71">
            <v>0.73660000000000003</v>
          </cell>
          <cell r="Q71">
            <v>0.73660000000000003</v>
          </cell>
          <cell r="R71">
            <v>0.73660000000000003</v>
          </cell>
          <cell r="S71">
            <v>0.73660000000000003</v>
          </cell>
          <cell r="T71">
            <v>0.73660000000000003</v>
          </cell>
          <cell r="U71">
            <v>0.73660000000000003</v>
          </cell>
          <cell r="V71">
            <v>0.73660000000000003</v>
          </cell>
        </row>
        <row r="72">
          <cell r="A72">
            <v>71</v>
          </cell>
          <cell r="B72">
            <v>0.73150000000000004</v>
          </cell>
          <cell r="C72">
            <v>0.7278</v>
          </cell>
          <cell r="D72">
            <v>0.7288</v>
          </cell>
          <cell r="E72">
            <v>0.72919999999999996</v>
          </cell>
          <cell r="F72">
            <v>0.73009999999999997</v>
          </cell>
          <cell r="G72">
            <v>0.73009999999999997</v>
          </cell>
          <cell r="H72">
            <v>0.73080000000000001</v>
          </cell>
          <cell r="I72">
            <v>0.73019999999999996</v>
          </cell>
          <cell r="J72">
            <v>0.72950000000000004</v>
          </cell>
          <cell r="K72">
            <v>0.72929999999999995</v>
          </cell>
          <cell r="L72">
            <v>0.72870000000000001</v>
          </cell>
          <cell r="M72">
            <v>0.72850000000000004</v>
          </cell>
          <cell r="N72">
            <v>0.72850000000000004</v>
          </cell>
          <cell r="O72">
            <v>0.72850000000000004</v>
          </cell>
          <cell r="P72">
            <v>0.72860000000000003</v>
          </cell>
          <cell r="Q72">
            <v>0.72860000000000003</v>
          </cell>
          <cell r="R72">
            <v>0.72860000000000003</v>
          </cell>
          <cell r="S72">
            <v>0.72860000000000003</v>
          </cell>
          <cell r="T72">
            <v>0.72860000000000003</v>
          </cell>
          <cell r="U72">
            <v>0.72860000000000003</v>
          </cell>
          <cell r="V72">
            <v>0.72860000000000003</v>
          </cell>
        </row>
        <row r="73">
          <cell r="A73">
            <v>72</v>
          </cell>
          <cell r="B73">
            <v>0.72189999999999999</v>
          </cell>
          <cell r="C73">
            <v>0.71819999999999995</v>
          </cell>
          <cell r="D73">
            <v>0.71940000000000004</v>
          </cell>
          <cell r="E73">
            <v>0.71989999999999998</v>
          </cell>
          <cell r="F73">
            <v>0.72119999999999995</v>
          </cell>
          <cell r="G73">
            <v>0.72119999999999995</v>
          </cell>
          <cell r="H73">
            <v>0.72230000000000005</v>
          </cell>
          <cell r="I73">
            <v>0.72160000000000002</v>
          </cell>
          <cell r="J73">
            <v>0.7208</v>
          </cell>
          <cell r="K73">
            <v>0.72060000000000002</v>
          </cell>
          <cell r="L73">
            <v>0.71989999999999998</v>
          </cell>
          <cell r="M73">
            <v>0.71970000000000001</v>
          </cell>
          <cell r="N73">
            <v>0.71970000000000001</v>
          </cell>
          <cell r="O73">
            <v>0.71970000000000001</v>
          </cell>
          <cell r="P73">
            <v>0.7198</v>
          </cell>
          <cell r="Q73">
            <v>0.7198</v>
          </cell>
          <cell r="R73">
            <v>0.7198</v>
          </cell>
          <cell r="S73">
            <v>0.7198</v>
          </cell>
          <cell r="T73">
            <v>0.7198</v>
          </cell>
          <cell r="U73">
            <v>0.7198</v>
          </cell>
          <cell r="V73">
            <v>0.7198</v>
          </cell>
        </row>
        <row r="74">
          <cell r="A74">
            <v>73</v>
          </cell>
          <cell r="B74">
            <v>0.71160000000000001</v>
          </cell>
          <cell r="C74">
            <v>0.70789999999999997</v>
          </cell>
          <cell r="D74">
            <v>0.70940000000000003</v>
          </cell>
          <cell r="E74">
            <v>0.70989999999999998</v>
          </cell>
          <cell r="F74">
            <v>0.71160000000000001</v>
          </cell>
          <cell r="G74">
            <v>0.71160000000000001</v>
          </cell>
          <cell r="H74">
            <v>0.71309999999999996</v>
          </cell>
          <cell r="I74">
            <v>0.71240000000000003</v>
          </cell>
          <cell r="J74">
            <v>0.71150000000000002</v>
          </cell>
          <cell r="K74">
            <v>0.71120000000000005</v>
          </cell>
          <cell r="L74">
            <v>0.71040000000000003</v>
          </cell>
          <cell r="M74">
            <v>0.71020000000000005</v>
          </cell>
          <cell r="N74">
            <v>0.71020000000000005</v>
          </cell>
          <cell r="O74">
            <v>0.71020000000000005</v>
          </cell>
          <cell r="P74">
            <v>0.71040000000000003</v>
          </cell>
          <cell r="Q74">
            <v>0.71040000000000003</v>
          </cell>
          <cell r="R74">
            <v>0.71040000000000003</v>
          </cell>
          <cell r="S74">
            <v>0.71040000000000003</v>
          </cell>
          <cell r="T74">
            <v>0.71040000000000003</v>
          </cell>
          <cell r="U74">
            <v>0.71040000000000003</v>
          </cell>
          <cell r="V74">
            <v>0.71040000000000003</v>
          </cell>
        </row>
        <row r="75">
          <cell r="A75">
            <v>74</v>
          </cell>
          <cell r="B75">
            <v>0.70079999999999998</v>
          </cell>
          <cell r="C75">
            <v>0.69699999999999995</v>
          </cell>
          <cell r="D75">
            <v>0.69869999999999999</v>
          </cell>
          <cell r="E75">
            <v>0.69940000000000002</v>
          </cell>
          <cell r="F75">
            <v>0.70140000000000002</v>
          </cell>
          <cell r="G75">
            <v>0.70140000000000002</v>
          </cell>
          <cell r="H75">
            <v>0.70330000000000004</v>
          </cell>
          <cell r="I75">
            <v>0.70240000000000002</v>
          </cell>
          <cell r="J75">
            <v>0.70150000000000001</v>
          </cell>
          <cell r="K75">
            <v>0.70120000000000005</v>
          </cell>
          <cell r="L75">
            <v>0.70030000000000003</v>
          </cell>
          <cell r="M75">
            <v>0.70009999999999994</v>
          </cell>
          <cell r="N75">
            <v>0.69989999999999997</v>
          </cell>
          <cell r="O75">
            <v>0.69989999999999997</v>
          </cell>
          <cell r="P75">
            <v>0.70020000000000004</v>
          </cell>
          <cell r="Q75">
            <v>0.70020000000000004</v>
          </cell>
          <cell r="R75">
            <v>0.70020000000000004</v>
          </cell>
          <cell r="S75">
            <v>0.70020000000000004</v>
          </cell>
          <cell r="T75">
            <v>0.70020000000000004</v>
          </cell>
          <cell r="U75">
            <v>0.70020000000000004</v>
          </cell>
          <cell r="V75">
            <v>0.70020000000000004</v>
          </cell>
        </row>
        <row r="76">
          <cell r="A76">
            <v>75</v>
          </cell>
          <cell r="B76">
            <v>0.68930000000000002</v>
          </cell>
          <cell r="C76">
            <v>0.68559999999999999</v>
          </cell>
          <cell r="D76">
            <v>0.6875</v>
          </cell>
          <cell r="E76">
            <v>0.68820000000000003</v>
          </cell>
          <cell r="F76">
            <v>0.6905</v>
          </cell>
          <cell r="G76">
            <v>0.69059999999999999</v>
          </cell>
          <cell r="H76">
            <v>0.69279999999999997</v>
          </cell>
          <cell r="I76">
            <v>0.69179999999999997</v>
          </cell>
          <cell r="J76">
            <v>0.69079999999999997</v>
          </cell>
          <cell r="K76">
            <v>0.69040000000000001</v>
          </cell>
          <cell r="L76">
            <v>0.6895</v>
          </cell>
          <cell r="M76">
            <v>0.68920000000000003</v>
          </cell>
          <cell r="N76">
            <v>0.68899999999999995</v>
          </cell>
          <cell r="O76">
            <v>0.68899999999999995</v>
          </cell>
          <cell r="P76">
            <v>0.68930000000000002</v>
          </cell>
          <cell r="Q76">
            <v>0.68930000000000002</v>
          </cell>
          <cell r="R76">
            <v>0.68930000000000002</v>
          </cell>
          <cell r="S76">
            <v>0.68930000000000002</v>
          </cell>
          <cell r="T76">
            <v>0.68930000000000002</v>
          </cell>
          <cell r="U76">
            <v>0.68930000000000002</v>
          </cell>
          <cell r="V76">
            <v>0.68930000000000002</v>
          </cell>
        </row>
        <row r="77">
          <cell r="A77">
            <v>76</v>
          </cell>
          <cell r="B77">
            <v>0.67720000000000002</v>
          </cell>
          <cell r="C77">
            <v>0.67349999999999999</v>
          </cell>
          <cell r="D77">
            <v>0.67559999999999998</v>
          </cell>
          <cell r="E77">
            <v>0.6764</v>
          </cell>
          <cell r="F77">
            <v>0.67900000000000005</v>
          </cell>
          <cell r="G77">
            <v>0.67910000000000004</v>
          </cell>
          <cell r="H77">
            <v>0.68159999999999998</v>
          </cell>
          <cell r="I77">
            <v>0.68059999999999998</v>
          </cell>
          <cell r="J77">
            <v>0.6794</v>
          </cell>
          <cell r="K77">
            <v>0.67900000000000005</v>
          </cell>
          <cell r="L77">
            <v>0.67789999999999995</v>
          </cell>
          <cell r="M77">
            <v>0.67769999999999997</v>
          </cell>
          <cell r="N77">
            <v>0.6774</v>
          </cell>
          <cell r="O77">
            <v>0.6774</v>
          </cell>
          <cell r="P77">
            <v>0.67779999999999996</v>
          </cell>
          <cell r="Q77">
            <v>0.67779999999999996</v>
          </cell>
          <cell r="R77">
            <v>0.67779999999999996</v>
          </cell>
          <cell r="S77">
            <v>0.67779999999999996</v>
          </cell>
          <cell r="T77">
            <v>0.67779999999999996</v>
          </cell>
          <cell r="U77">
            <v>0.67779999999999996</v>
          </cell>
          <cell r="V77">
            <v>0.67779999999999996</v>
          </cell>
        </row>
        <row r="78">
          <cell r="A78">
            <v>77</v>
          </cell>
          <cell r="B78">
            <v>0.66449999999999998</v>
          </cell>
          <cell r="C78">
            <v>0.66090000000000004</v>
          </cell>
          <cell r="D78">
            <v>0.66310000000000002</v>
          </cell>
          <cell r="E78">
            <v>0.66400000000000003</v>
          </cell>
          <cell r="F78">
            <v>0.66679999999999995</v>
          </cell>
          <cell r="G78">
            <v>0.66690000000000005</v>
          </cell>
          <cell r="H78">
            <v>0.66969999999999996</v>
          </cell>
          <cell r="I78">
            <v>0.66859999999999997</v>
          </cell>
          <cell r="J78">
            <v>0.6673</v>
          </cell>
          <cell r="K78">
            <v>0.66690000000000005</v>
          </cell>
          <cell r="L78">
            <v>0.66579999999999995</v>
          </cell>
          <cell r="M78">
            <v>0.66549999999999998</v>
          </cell>
          <cell r="N78">
            <v>0.66500000000000004</v>
          </cell>
          <cell r="O78">
            <v>0.66500000000000004</v>
          </cell>
          <cell r="P78">
            <v>0.66549999999999998</v>
          </cell>
          <cell r="Q78">
            <v>0.66549999999999998</v>
          </cell>
          <cell r="R78">
            <v>0.66549999999999998</v>
          </cell>
          <cell r="S78">
            <v>0.66549999999999998</v>
          </cell>
          <cell r="T78">
            <v>0.66549999999999998</v>
          </cell>
          <cell r="U78">
            <v>0.66549999999999998</v>
          </cell>
          <cell r="V78">
            <v>0.66549999999999998</v>
          </cell>
        </row>
        <row r="79">
          <cell r="A79">
            <v>78</v>
          </cell>
          <cell r="B79">
            <v>0.6512</v>
          </cell>
          <cell r="C79">
            <v>0.64770000000000005</v>
          </cell>
          <cell r="D79">
            <v>0.65010000000000001</v>
          </cell>
          <cell r="E79">
            <v>0.65100000000000002</v>
          </cell>
          <cell r="F79">
            <v>0.65400000000000003</v>
          </cell>
          <cell r="G79">
            <v>0.65410000000000001</v>
          </cell>
          <cell r="H79">
            <v>0.65720000000000001</v>
          </cell>
          <cell r="I79">
            <v>0.65600000000000003</v>
          </cell>
          <cell r="J79">
            <v>0.65459999999999996</v>
          </cell>
          <cell r="K79">
            <v>0.6542</v>
          </cell>
          <cell r="L79">
            <v>0.65290000000000004</v>
          </cell>
          <cell r="M79">
            <v>0.65259999999999996</v>
          </cell>
          <cell r="N79">
            <v>0.65200000000000002</v>
          </cell>
          <cell r="O79">
            <v>0.65200000000000002</v>
          </cell>
          <cell r="P79">
            <v>0.65259999999999996</v>
          </cell>
          <cell r="Q79">
            <v>0.65259999999999996</v>
          </cell>
          <cell r="R79">
            <v>0.65259999999999996</v>
          </cell>
          <cell r="S79">
            <v>0.65259999999999996</v>
          </cell>
          <cell r="T79">
            <v>0.65259999999999996</v>
          </cell>
          <cell r="U79">
            <v>0.65259999999999996</v>
          </cell>
          <cell r="V79">
            <v>0.65259999999999996</v>
          </cell>
        </row>
        <row r="80">
          <cell r="A80">
            <v>79</v>
          </cell>
          <cell r="B80">
            <v>0.63729999999999998</v>
          </cell>
          <cell r="C80">
            <v>0.63380000000000003</v>
          </cell>
          <cell r="D80">
            <v>0.63629999999999998</v>
          </cell>
          <cell r="E80">
            <v>0.63739999999999997</v>
          </cell>
          <cell r="F80">
            <v>0.64059999999999995</v>
          </cell>
          <cell r="G80">
            <v>0.64070000000000005</v>
          </cell>
          <cell r="H80">
            <v>0.64400000000000002</v>
          </cell>
          <cell r="I80">
            <v>0.64270000000000005</v>
          </cell>
          <cell r="J80">
            <v>0.64119999999999999</v>
          </cell>
          <cell r="K80">
            <v>0.64070000000000005</v>
          </cell>
          <cell r="L80">
            <v>0.63929999999999998</v>
          </cell>
          <cell r="M80">
            <v>0.63900000000000001</v>
          </cell>
          <cell r="N80">
            <v>0.63829999999999998</v>
          </cell>
          <cell r="O80">
            <v>0.63829999999999998</v>
          </cell>
          <cell r="P80">
            <v>0.63890000000000002</v>
          </cell>
          <cell r="Q80">
            <v>0.63890000000000002</v>
          </cell>
          <cell r="R80">
            <v>0.63890000000000002</v>
          </cell>
          <cell r="S80">
            <v>0.63890000000000002</v>
          </cell>
          <cell r="T80">
            <v>0.63890000000000002</v>
          </cell>
          <cell r="U80">
            <v>0.63890000000000002</v>
          </cell>
          <cell r="V80">
            <v>0.63890000000000002</v>
          </cell>
        </row>
        <row r="81">
          <cell r="A81">
            <v>80</v>
          </cell>
          <cell r="B81">
            <v>0.62280000000000002</v>
          </cell>
          <cell r="C81">
            <v>0.61939999999999995</v>
          </cell>
          <cell r="D81">
            <v>0.622</v>
          </cell>
          <cell r="E81">
            <v>0.62309999999999999</v>
          </cell>
          <cell r="F81">
            <v>0.62649999999999995</v>
          </cell>
          <cell r="G81">
            <v>0.62660000000000005</v>
          </cell>
          <cell r="H81">
            <v>0.63009999999999999</v>
          </cell>
          <cell r="I81">
            <v>0.62880000000000003</v>
          </cell>
          <cell r="J81">
            <v>0.62709999999999999</v>
          </cell>
          <cell r="K81">
            <v>0.62660000000000005</v>
          </cell>
          <cell r="L81">
            <v>0.62509999999999999</v>
          </cell>
          <cell r="M81">
            <v>0.62470000000000003</v>
          </cell>
          <cell r="N81">
            <v>0.62380000000000002</v>
          </cell>
          <cell r="O81">
            <v>0.62380000000000002</v>
          </cell>
          <cell r="P81">
            <v>0.62450000000000006</v>
          </cell>
          <cell r="Q81">
            <v>0.62450000000000006</v>
          </cell>
          <cell r="R81">
            <v>0.62450000000000006</v>
          </cell>
          <cell r="S81">
            <v>0.62450000000000006</v>
          </cell>
          <cell r="T81">
            <v>0.62450000000000006</v>
          </cell>
          <cell r="U81">
            <v>0.62450000000000006</v>
          </cell>
          <cell r="V81">
            <v>0.62450000000000006</v>
          </cell>
        </row>
        <row r="82">
          <cell r="A82">
            <v>81</v>
          </cell>
          <cell r="B82">
            <v>0.60760000000000003</v>
          </cell>
          <cell r="C82">
            <v>0.60440000000000005</v>
          </cell>
          <cell r="D82">
            <v>0.60709999999999997</v>
          </cell>
          <cell r="E82">
            <v>0.60819999999999996</v>
          </cell>
          <cell r="F82">
            <v>0.61170000000000002</v>
          </cell>
          <cell r="G82">
            <v>0.61180000000000001</v>
          </cell>
          <cell r="H82">
            <v>0.61560000000000004</v>
          </cell>
          <cell r="I82">
            <v>0.61409999999999998</v>
          </cell>
          <cell r="J82">
            <v>0.61240000000000006</v>
          </cell>
          <cell r="K82">
            <v>0.61180000000000001</v>
          </cell>
          <cell r="L82">
            <v>0.61019999999999996</v>
          </cell>
          <cell r="M82">
            <v>0.60980000000000001</v>
          </cell>
          <cell r="N82">
            <v>0.60870000000000002</v>
          </cell>
          <cell r="O82">
            <v>0.60870000000000002</v>
          </cell>
          <cell r="P82">
            <v>0.60950000000000004</v>
          </cell>
          <cell r="Q82">
            <v>0.60950000000000004</v>
          </cell>
          <cell r="R82">
            <v>0.60950000000000004</v>
          </cell>
          <cell r="S82">
            <v>0.60950000000000004</v>
          </cell>
          <cell r="T82">
            <v>0.60950000000000004</v>
          </cell>
          <cell r="U82">
            <v>0.60950000000000004</v>
          </cell>
          <cell r="V82">
            <v>0.60950000000000004</v>
          </cell>
        </row>
        <row r="83">
          <cell r="A83">
            <v>82</v>
          </cell>
          <cell r="B83">
            <v>0.59189999999999998</v>
          </cell>
          <cell r="C83">
            <v>0.58879999999999999</v>
          </cell>
          <cell r="D83">
            <v>0.59150000000000003</v>
          </cell>
          <cell r="E83">
            <v>0.5927</v>
          </cell>
          <cell r="F83">
            <v>0.59640000000000004</v>
          </cell>
          <cell r="G83">
            <v>0.59650000000000003</v>
          </cell>
          <cell r="H83">
            <v>0.60040000000000004</v>
          </cell>
          <cell r="I83">
            <v>0.5988</v>
          </cell>
          <cell r="J83">
            <v>0.59689999999999999</v>
          </cell>
          <cell r="K83">
            <v>0.59640000000000004</v>
          </cell>
          <cell r="L83">
            <v>0.59460000000000002</v>
          </cell>
          <cell r="M83">
            <v>0.59419999999999995</v>
          </cell>
          <cell r="N83">
            <v>0.59289999999999998</v>
          </cell>
          <cell r="O83">
            <v>0.59289999999999998</v>
          </cell>
          <cell r="P83">
            <v>0.59370000000000001</v>
          </cell>
          <cell r="Q83">
            <v>0.59370000000000001</v>
          </cell>
          <cell r="R83">
            <v>0.59370000000000001</v>
          </cell>
          <cell r="S83">
            <v>0.59370000000000001</v>
          </cell>
          <cell r="T83">
            <v>0.59370000000000001</v>
          </cell>
          <cell r="U83">
            <v>0.59370000000000001</v>
          </cell>
          <cell r="V83">
            <v>0.59370000000000001</v>
          </cell>
        </row>
        <row r="84">
          <cell r="A84">
            <v>83</v>
          </cell>
          <cell r="B84">
            <v>0.57550000000000001</v>
          </cell>
          <cell r="C84">
            <v>0.5726</v>
          </cell>
          <cell r="D84">
            <v>0.57540000000000002</v>
          </cell>
          <cell r="E84">
            <v>0.57650000000000001</v>
          </cell>
          <cell r="F84">
            <v>0.58030000000000004</v>
          </cell>
          <cell r="G84">
            <v>0.58040000000000003</v>
          </cell>
          <cell r="H84">
            <v>0.58450000000000002</v>
          </cell>
          <cell r="I84">
            <v>0.58279999999999998</v>
          </cell>
          <cell r="J84">
            <v>0.58079999999999998</v>
          </cell>
          <cell r="K84">
            <v>0.58020000000000005</v>
          </cell>
          <cell r="L84">
            <v>0.57830000000000004</v>
          </cell>
          <cell r="M84">
            <v>0.57789999999999997</v>
          </cell>
          <cell r="N84">
            <v>0.57640000000000002</v>
          </cell>
          <cell r="O84">
            <v>0.57640000000000002</v>
          </cell>
          <cell r="P84">
            <v>0.57730000000000004</v>
          </cell>
          <cell r="Q84">
            <v>0.57730000000000004</v>
          </cell>
          <cell r="R84">
            <v>0.57730000000000004</v>
          </cell>
          <cell r="S84">
            <v>0.57730000000000004</v>
          </cell>
          <cell r="T84">
            <v>0.57730000000000004</v>
          </cell>
          <cell r="U84">
            <v>0.57730000000000004</v>
          </cell>
          <cell r="V84">
            <v>0.57730000000000004</v>
          </cell>
        </row>
        <row r="85">
          <cell r="A85">
            <v>84</v>
          </cell>
          <cell r="B85">
            <v>0.55859999999999999</v>
          </cell>
          <cell r="C85">
            <v>0.55579999999999996</v>
          </cell>
          <cell r="D85">
            <v>0.55859999999999999</v>
          </cell>
          <cell r="E85">
            <v>0.55979999999999996</v>
          </cell>
          <cell r="F85">
            <v>0.56359999999999999</v>
          </cell>
          <cell r="G85">
            <v>0.56379999999999997</v>
          </cell>
          <cell r="H85">
            <v>0.56799999999999995</v>
          </cell>
          <cell r="I85">
            <v>0.56620000000000004</v>
          </cell>
          <cell r="J85">
            <v>0.56410000000000005</v>
          </cell>
          <cell r="K85">
            <v>0.56340000000000001</v>
          </cell>
          <cell r="L85">
            <v>0.56140000000000001</v>
          </cell>
          <cell r="M85">
            <v>0.56089999999999995</v>
          </cell>
          <cell r="N85">
            <v>0.55910000000000004</v>
          </cell>
          <cell r="O85">
            <v>0.55910000000000004</v>
          </cell>
          <cell r="P85">
            <v>0.56010000000000004</v>
          </cell>
          <cell r="Q85">
            <v>0.56010000000000004</v>
          </cell>
          <cell r="R85">
            <v>0.56010000000000004</v>
          </cell>
          <cell r="S85">
            <v>0.56010000000000004</v>
          </cell>
          <cell r="T85">
            <v>0.56010000000000004</v>
          </cell>
          <cell r="U85">
            <v>0.56010000000000004</v>
          </cell>
          <cell r="V85">
            <v>0.56010000000000004</v>
          </cell>
        </row>
        <row r="86">
          <cell r="A86">
            <v>85</v>
          </cell>
          <cell r="B86">
            <v>0.54100000000000004</v>
          </cell>
          <cell r="C86">
            <v>0.53839999999999999</v>
          </cell>
          <cell r="D86">
            <v>0.54120000000000001</v>
          </cell>
          <cell r="E86">
            <v>0.54239999999999999</v>
          </cell>
          <cell r="F86">
            <v>0.54630000000000001</v>
          </cell>
          <cell r="G86">
            <v>0.5464</v>
          </cell>
          <cell r="H86">
            <v>0.55079999999999996</v>
          </cell>
          <cell r="I86">
            <v>0.54890000000000005</v>
          </cell>
          <cell r="J86">
            <v>0.54659999999999997</v>
          </cell>
          <cell r="K86">
            <v>0.54590000000000005</v>
          </cell>
          <cell r="L86">
            <v>0.54369999999999996</v>
          </cell>
          <cell r="M86">
            <v>0.54320000000000002</v>
          </cell>
          <cell r="N86">
            <v>0.54120000000000001</v>
          </cell>
          <cell r="O86">
            <v>0.54120000000000001</v>
          </cell>
          <cell r="P86">
            <v>0.54220000000000002</v>
          </cell>
          <cell r="Q86">
            <v>0.54220000000000002</v>
          </cell>
          <cell r="R86">
            <v>0.54220000000000002</v>
          </cell>
          <cell r="S86">
            <v>0.54220000000000002</v>
          </cell>
          <cell r="T86">
            <v>0.54220000000000002</v>
          </cell>
          <cell r="U86">
            <v>0.54220000000000002</v>
          </cell>
          <cell r="V86">
            <v>0.54220000000000002</v>
          </cell>
        </row>
        <row r="87">
          <cell r="A87">
            <v>86</v>
          </cell>
          <cell r="B87">
            <v>0.52280000000000004</v>
          </cell>
          <cell r="C87">
            <v>0.52039999999999997</v>
          </cell>
          <cell r="D87">
            <v>0.5232</v>
          </cell>
          <cell r="E87">
            <v>0.52439999999999998</v>
          </cell>
          <cell r="F87">
            <v>0.52839999999999998</v>
          </cell>
          <cell r="G87">
            <v>0.52849999999999997</v>
          </cell>
          <cell r="H87">
            <v>0.53290000000000004</v>
          </cell>
          <cell r="I87">
            <v>0.53090000000000004</v>
          </cell>
          <cell r="J87">
            <v>0.52849999999999997</v>
          </cell>
          <cell r="K87">
            <v>0.52769999999999995</v>
          </cell>
          <cell r="L87">
            <v>0.52539999999999998</v>
          </cell>
          <cell r="M87">
            <v>0.52490000000000003</v>
          </cell>
          <cell r="N87">
            <v>0.52259999999999995</v>
          </cell>
          <cell r="O87">
            <v>0.52259999999999995</v>
          </cell>
          <cell r="P87">
            <v>0.52370000000000005</v>
          </cell>
          <cell r="Q87">
            <v>0.52370000000000005</v>
          </cell>
          <cell r="R87">
            <v>0.52370000000000005</v>
          </cell>
          <cell r="S87">
            <v>0.52370000000000005</v>
          </cell>
          <cell r="T87">
            <v>0.52370000000000005</v>
          </cell>
          <cell r="U87">
            <v>0.52370000000000005</v>
          </cell>
          <cell r="V87">
            <v>0.52370000000000005</v>
          </cell>
        </row>
        <row r="88">
          <cell r="A88">
            <v>87</v>
          </cell>
          <cell r="B88">
            <v>0.504</v>
          </cell>
          <cell r="C88">
            <v>0.50180000000000002</v>
          </cell>
          <cell r="D88">
            <v>0.50460000000000005</v>
          </cell>
          <cell r="E88">
            <v>0.50580000000000003</v>
          </cell>
          <cell r="F88">
            <v>0.50970000000000004</v>
          </cell>
          <cell r="G88">
            <v>0.50990000000000002</v>
          </cell>
          <cell r="H88">
            <v>0.51429999999999998</v>
          </cell>
          <cell r="I88">
            <v>0.51219999999999999</v>
          </cell>
          <cell r="J88">
            <v>0.50960000000000005</v>
          </cell>
          <cell r="K88">
            <v>0.50880000000000003</v>
          </cell>
          <cell r="L88">
            <v>0.50639999999999996</v>
          </cell>
          <cell r="M88">
            <v>0.50580000000000003</v>
          </cell>
          <cell r="N88">
            <v>0.50319999999999998</v>
          </cell>
          <cell r="O88">
            <v>0.50319999999999998</v>
          </cell>
          <cell r="P88">
            <v>0.50439999999999996</v>
          </cell>
          <cell r="Q88">
            <v>0.50439999999999996</v>
          </cell>
          <cell r="R88">
            <v>0.50439999999999996</v>
          </cell>
          <cell r="S88">
            <v>0.50439999999999996</v>
          </cell>
          <cell r="T88">
            <v>0.50439999999999996</v>
          </cell>
          <cell r="U88">
            <v>0.50439999999999996</v>
          </cell>
          <cell r="V88">
            <v>0.50439999999999996</v>
          </cell>
        </row>
        <row r="89">
          <cell r="A89">
            <v>88</v>
          </cell>
          <cell r="B89">
            <v>0.48459999999999998</v>
          </cell>
          <cell r="C89">
            <v>0.48259999999999997</v>
          </cell>
          <cell r="D89">
            <v>0.48530000000000001</v>
          </cell>
          <cell r="E89">
            <v>0.48649999999999999</v>
          </cell>
          <cell r="F89">
            <v>0.49049999999999999</v>
          </cell>
          <cell r="G89">
            <v>0.49059999999999998</v>
          </cell>
          <cell r="H89">
            <v>0.49509999999999998</v>
          </cell>
          <cell r="I89">
            <v>0.49280000000000002</v>
          </cell>
          <cell r="J89">
            <v>0.49009999999999998</v>
          </cell>
          <cell r="K89">
            <v>0.48930000000000001</v>
          </cell>
          <cell r="L89">
            <v>0.48670000000000002</v>
          </cell>
          <cell r="M89">
            <v>0.48609999999999998</v>
          </cell>
          <cell r="N89">
            <v>0.48320000000000002</v>
          </cell>
          <cell r="O89">
            <v>0.48320000000000002</v>
          </cell>
          <cell r="P89">
            <v>0.48449999999999999</v>
          </cell>
          <cell r="Q89">
            <v>0.48449999999999999</v>
          </cell>
          <cell r="R89">
            <v>0.48449999999999999</v>
          </cell>
          <cell r="S89">
            <v>0.48449999999999999</v>
          </cell>
          <cell r="T89">
            <v>0.48449999999999999</v>
          </cell>
          <cell r="U89">
            <v>0.48449999999999999</v>
          </cell>
          <cell r="V89">
            <v>0.48449999999999999</v>
          </cell>
        </row>
        <row r="90">
          <cell r="A90">
            <v>89</v>
          </cell>
          <cell r="B90">
            <v>0.46460000000000001</v>
          </cell>
          <cell r="C90">
            <v>0.46289999999999998</v>
          </cell>
          <cell r="D90">
            <v>0.46550000000000002</v>
          </cell>
          <cell r="E90">
            <v>0.46660000000000001</v>
          </cell>
          <cell r="F90">
            <v>0.47060000000000002</v>
          </cell>
          <cell r="G90">
            <v>0.47070000000000001</v>
          </cell>
          <cell r="H90">
            <v>0.47520000000000001</v>
          </cell>
          <cell r="I90">
            <v>0.4728</v>
          </cell>
          <cell r="J90">
            <v>0.47</v>
          </cell>
          <cell r="K90">
            <v>0.46910000000000002</v>
          </cell>
          <cell r="L90">
            <v>0.46639999999999998</v>
          </cell>
          <cell r="M90">
            <v>0.4657</v>
          </cell>
          <cell r="N90">
            <v>0.46250000000000002</v>
          </cell>
          <cell r="O90">
            <v>0.46250000000000002</v>
          </cell>
          <cell r="P90">
            <v>0.46379999999999999</v>
          </cell>
          <cell r="Q90">
            <v>0.46379999999999999</v>
          </cell>
          <cell r="R90">
            <v>0.46379999999999999</v>
          </cell>
          <cell r="S90">
            <v>0.46379999999999999</v>
          </cell>
          <cell r="T90">
            <v>0.46379999999999999</v>
          </cell>
          <cell r="U90">
            <v>0.46379999999999999</v>
          </cell>
          <cell r="V90">
            <v>0.46379999999999999</v>
          </cell>
        </row>
        <row r="91">
          <cell r="A91">
            <v>90</v>
          </cell>
          <cell r="B91">
            <v>0.44400000000000001</v>
          </cell>
          <cell r="C91">
            <v>0.4425</v>
          </cell>
          <cell r="D91">
            <v>0.44500000000000001</v>
          </cell>
          <cell r="E91">
            <v>0.44619999999999999</v>
          </cell>
          <cell r="F91">
            <v>0.45</v>
          </cell>
          <cell r="G91">
            <v>0.4501</v>
          </cell>
          <cell r="H91">
            <v>0.4546</v>
          </cell>
          <cell r="I91">
            <v>0.4521</v>
          </cell>
          <cell r="J91">
            <v>0.4491</v>
          </cell>
          <cell r="K91">
            <v>0.44819999999999999</v>
          </cell>
          <cell r="L91">
            <v>0.44529999999999997</v>
          </cell>
          <cell r="M91">
            <v>0.4446</v>
          </cell>
          <cell r="N91">
            <v>0.441</v>
          </cell>
          <cell r="O91">
            <v>0.441</v>
          </cell>
          <cell r="P91">
            <v>0.44240000000000002</v>
          </cell>
          <cell r="Q91">
            <v>0.44240000000000002</v>
          </cell>
          <cell r="R91">
            <v>0.44240000000000002</v>
          </cell>
          <cell r="S91">
            <v>0.44240000000000002</v>
          </cell>
          <cell r="T91">
            <v>0.44240000000000002</v>
          </cell>
          <cell r="U91">
            <v>0.44240000000000002</v>
          </cell>
          <cell r="V91">
            <v>0.44240000000000002</v>
          </cell>
        </row>
        <row r="92">
          <cell r="A92">
            <v>91</v>
          </cell>
          <cell r="B92">
            <v>0.42270000000000002</v>
          </cell>
          <cell r="C92">
            <v>0.42149999999999999</v>
          </cell>
          <cell r="D92">
            <v>0.42399999999999999</v>
          </cell>
          <cell r="E92">
            <v>0.42499999999999999</v>
          </cell>
          <cell r="F92">
            <v>0.42880000000000001</v>
          </cell>
          <cell r="G92">
            <v>0.4289</v>
          </cell>
          <cell r="H92">
            <v>0.43340000000000001</v>
          </cell>
          <cell r="I92">
            <v>0.43080000000000002</v>
          </cell>
          <cell r="J92">
            <v>0.42759999999999998</v>
          </cell>
          <cell r="K92">
            <v>0.42659999999999998</v>
          </cell>
          <cell r="L92">
            <v>0.42359999999999998</v>
          </cell>
          <cell r="M92">
            <v>0.4229</v>
          </cell>
          <cell r="N92">
            <v>0.41889999999999999</v>
          </cell>
          <cell r="O92">
            <v>0.41889999999999999</v>
          </cell>
          <cell r="P92">
            <v>0.4204</v>
          </cell>
          <cell r="Q92">
            <v>0.4204</v>
          </cell>
          <cell r="R92">
            <v>0.4204</v>
          </cell>
          <cell r="S92">
            <v>0.4204</v>
          </cell>
          <cell r="T92">
            <v>0.4204</v>
          </cell>
          <cell r="U92">
            <v>0.4204</v>
          </cell>
          <cell r="V92">
            <v>0.4204</v>
          </cell>
        </row>
        <row r="93">
          <cell r="A93">
            <v>92</v>
          </cell>
          <cell r="B93">
            <v>0.40089999999999998</v>
          </cell>
          <cell r="C93">
            <v>0.4</v>
          </cell>
          <cell r="D93">
            <v>0.40229999999999999</v>
          </cell>
          <cell r="E93">
            <v>0.40329999999999999</v>
          </cell>
          <cell r="F93">
            <v>0.40699999999999997</v>
          </cell>
          <cell r="G93">
            <v>0.40710000000000002</v>
          </cell>
          <cell r="H93">
            <v>0.41149999999999998</v>
          </cell>
          <cell r="I93">
            <v>0.40870000000000001</v>
          </cell>
          <cell r="J93">
            <v>0.40539999999999998</v>
          </cell>
          <cell r="K93">
            <v>0.40439999999999998</v>
          </cell>
          <cell r="L93">
            <v>0.4012</v>
          </cell>
          <cell r="M93">
            <v>0.40039999999999998</v>
          </cell>
          <cell r="N93">
            <v>0.39610000000000001</v>
          </cell>
          <cell r="O93">
            <v>0.39610000000000001</v>
          </cell>
          <cell r="P93">
            <v>0.39760000000000001</v>
          </cell>
          <cell r="Q93">
            <v>0.39760000000000001</v>
          </cell>
          <cell r="R93">
            <v>0.39760000000000001</v>
          </cell>
          <cell r="S93">
            <v>0.39760000000000001</v>
          </cell>
          <cell r="T93">
            <v>0.39760000000000001</v>
          </cell>
          <cell r="U93">
            <v>0.39760000000000001</v>
          </cell>
          <cell r="V93">
            <v>0.39760000000000001</v>
          </cell>
        </row>
        <row r="94">
          <cell r="A94">
            <v>93</v>
          </cell>
          <cell r="B94">
            <v>0.37840000000000001</v>
          </cell>
          <cell r="C94">
            <v>0.37780000000000002</v>
          </cell>
          <cell r="D94">
            <v>0.38</v>
          </cell>
          <cell r="E94">
            <v>0.38090000000000002</v>
          </cell>
          <cell r="F94">
            <v>0.38450000000000001</v>
          </cell>
          <cell r="G94">
            <v>0.3846</v>
          </cell>
          <cell r="H94">
            <v>0.38890000000000002</v>
          </cell>
          <cell r="I94">
            <v>0.38600000000000001</v>
          </cell>
          <cell r="J94">
            <v>0.38250000000000001</v>
          </cell>
          <cell r="K94">
            <v>0.38150000000000001</v>
          </cell>
          <cell r="L94">
            <v>0.37809999999999999</v>
          </cell>
          <cell r="M94">
            <v>0.37730000000000002</v>
          </cell>
          <cell r="N94">
            <v>0.37259999999999999</v>
          </cell>
          <cell r="O94">
            <v>0.37259999999999999</v>
          </cell>
          <cell r="P94">
            <v>0.37419999999999998</v>
          </cell>
          <cell r="Q94">
            <v>0.37419999999999998</v>
          </cell>
          <cell r="R94">
            <v>0.37419999999999998</v>
          </cell>
          <cell r="S94">
            <v>0.37419999999999998</v>
          </cell>
          <cell r="T94">
            <v>0.37419999999999998</v>
          </cell>
          <cell r="U94">
            <v>0.37419999999999998</v>
          </cell>
          <cell r="V94">
            <v>0.37419999999999998</v>
          </cell>
        </row>
        <row r="95">
          <cell r="A95">
            <v>94</v>
          </cell>
          <cell r="B95">
            <v>0.35539999999999999</v>
          </cell>
          <cell r="C95">
            <v>0.35510000000000003</v>
          </cell>
          <cell r="D95">
            <v>0.35709999999999997</v>
          </cell>
          <cell r="E95">
            <v>0.35799999999999998</v>
          </cell>
          <cell r="F95">
            <v>0.3614</v>
          </cell>
          <cell r="G95">
            <v>0.36149999999999999</v>
          </cell>
          <cell r="H95">
            <v>0.36570000000000003</v>
          </cell>
          <cell r="I95">
            <v>0.36259999999999998</v>
          </cell>
          <cell r="J95">
            <v>0.35899999999999999</v>
          </cell>
          <cell r="K95">
            <v>0.3579</v>
          </cell>
          <cell r="L95">
            <v>0.35439999999999999</v>
          </cell>
          <cell r="M95">
            <v>0.35349999999999998</v>
          </cell>
          <cell r="N95">
            <v>0.3483</v>
          </cell>
          <cell r="O95">
            <v>0.3483</v>
          </cell>
          <cell r="P95">
            <v>0.35</v>
          </cell>
          <cell r="Q95">
            <v>0.35</v>
          </cell>
          <cell r="R95">
            <v>0.35</v>
          </cell>
          <cell r="S95">
            <v>0.35</v>
          </cell>
          <cell r="T95">
            <v>0.35</v>
          </cell>
          <cell r="U95">
            <v>0.35</v>
          </cell>
          <cell r="V95">
            <v>0.35</v>
          </cell>
        </row>
        <row r="96">
          <cell r="A96">
            <v>95</v>
          </cell>
          <cell r="B96">
            <v>0.33169999999999999</v>
          </cell>
          <cell r="C96">
            <v>0.33179999999999998</v>
          </cell>
          <cell r="D96">
            <v>0.33350000000000002</v>
          </cell>
          <cell r="E96">
            <v>0.33439999999999998</v>
          </cell>
          <cell r="F96">
            <v>0.33760000000000001</v>
          </cell>
          <cell r="G96">
            <v>0.3377</v>
          </cell>
          <cell r="H96">
            <v>0.34179999999999999</v>
          </cell>
          <cell r="I96">
            <v>0.33860000000000001</v>
          </cell>
          <cell r="J96">
            <v>0.33479999999999999</v>
          </cell>
          <cell r="K96">
            <v>0.33360000000000001</v>
          </cell>
          <cell r="L96">
            <v>0.32990000000000003</v>
          </cell>
          <cell r="M96">
            <v>0.32900000000000001</v>
          </cell>
          <cell r="N96">
            <v>0.32340000000000002</v>
          </cell>
          <cell r="O96">
            <v>0.32340000000000002</v>
          </cell>
          <cell r="P96">
            <v>0.3251</v>
          </cell>
          <cell r="Q96">
            <v>0.3251</v>
          </cell>
          <cell r="R96">
            <v>0.3251</v>
          </cell>
          <cell r="S96">
            <v>0.3251</v>
          </cell>
          <cell r="T96">
            <v>0.3251</v>
          </cell>
          <cell r="U96">
            <v>0.3251</v>
          </cell>
          <cell r="V96">
            <v>0.3251</v>
          </cell>
        </row>
        <row r="97">
          <cell r="A97">
            <v>96</v>
          </cell>
          <cell r="B97">
            <v>0.30740000000000001</v>
          </cell>
          <cell r="C97">
            <v>0.30780000000000002</v>
          </cell>
          <cell r="D97">
            <v>0.30940000000000001</v>
          </cell>
          <cell r="E97">
            <v>0.31019999999999998</v>
          </cell>
          <cell r="F97">
            <v>0.31319999999999998</v>
          </cell>
          <cell r="G97">
            <v>0.31330000000000002</v>
          </cell>
          <cell r="H97">
            <v>0.31719999999999998</v>
          </cell>
          <cell r="I97">
            <v>0.31390000000000001</v>
          </cell>
          <cell r="J97">
            <v>0.30990000000000001</v>
          </cell>
          <cell r="K97">
            <v>0.30859999999999999</v>
          </cell>
          <cell r="L97">
            <v>0.30480000000000002</v>
          </cell>
          <cell r="M97">
            <v>0.3039</v>
          </cell>
          <cell r="N97">
            <v>0.29780000000000001</v>
          </cell>
          <cell r="O97">
            <v>0.29780000000000001</v>
          </cell>
          <cell r="P97">
            <v>0.29959999999999998</v>
          </cell>
          <cell r="Q97">
            <v>0.29959999999999998</v>
          </cell>
          <cell r="R97">
            <v>0.29959999999999998</v>
          </cell>
          <cell r="S97">
            <v>0.29959999999999998</v>
          </cell>
          <cell r="T97">
            <v>0.29959999999999998</v>
          </cell>
          <cell r="U97">
            <v>0.29959999999999998</v>
          </cell>
          <cell r="V97">
            <v>0.29959999999999998</v>
          </cell>
        </row>
        <row r="98">
          <cell r="A98">
            <v>97</v>
          </cell>
          <cell r="B98">
            <v>0.28249999999999997</v>
          </cell>
          <cell r="C98">
            <v>0.2833</v>
          </cell>
          <cell r="D98">
            <v>0.28460000000000002</v>
          </cell>
          <cell r="E98">
            <v>0.2853</v>
          </cell>
          <cell r="F98">
            <v>0.28810000000000002</v>
          </cell>
          <cell r="G98">
            <v>0.28820000000000001</v>
          </cell>
          <cell r="H98">
            <v>0.29189999999999999</v>
          </cell>
          <cell r="I98">
            <v>0.28849999999999998</v>
          </cell>
          <cell r="J98">
            <v>0.2843</v>
          </cell>
          <cell r="K98">
            <v>0.28299999999999997</v>
          </cell>
          <cell r="L98">
            <v>0.27900000000000003</v>
          </cell>
          <cell r="M98">
            <v>0.27800000000000002</v>
          </cell>
          <cell r="N98">
            <v>0.27139999999999997</v>
          </cell>
          <cell r="O98">
            <v>0.27139999999999997</v>
          </cell>
          <cell r="P98">
            <v>0.27329999999999999</v>
          </cell>
          <cell r="Q98">
            <v>0.27329999999999999</v>
          </cell>
          <cell r="R98">
            <v>0.27329999999999999</v>
          </cell>
          <cell r="S98">
            <v>0.27329999999999999</v>
          </cell>
          <cell r="T98">
            <v>0.27329999999999999</v>
          </cell>
          <cell r="U98">
            <v>0.27329999999999999</v>
          </cell>
          <cell r="V98">
            <v>0.27329999999999999</v>
          </cell>
        </row>
        <row r="99">
          <cell r="A99">
            <v>98</v>
          </cell>
          <cell r="B99">
            <v>0.25700000000000001</v>
          </cell>
          <cell r="C99">
            <v>0.25819999999999999</v>
          </cell>
          <cell r="D99">
            <v>0.25919999999999999</v>
          </cell>
          <cell r="E99">
            <v>0.25979999999999998</v>
          </cell>
          <cell r="F99">
            <v>0.26240000000000002</v>
          </cell>
          <cell r="G99">
            <v>0.26250000000000001</v>
          </cell>
          <cell r="H99">
            <v>0.26600000000000001</v>
          </cell>
          <cell r="I99">
            <v>0.26240000000000002</v>
          </cell>
          <cell r="J99">
            <v>0.25800000000000001</v>
          </cell>
          <cell r="K99">
            <v>0.25669999999999998</v>
          </cell>
          <cell r="L99">
            <v>0.2525</v>
          </cell>
          <cell r="M99">
            <v>0.2515</v>
          </cell>
          <cell r="N99">
            <v>0.24440000000000001</v>
          </cell>
          <cell r="O99">
            <v>0.24440000000000001</v>
          </cell>
          <cell r="P99">
            <v>0.24640000000000001</v>
          </cell>
          <cell r="Q99">
            <v>0.24640000000000001</v>
          </cell>
          <cell r="R99">
            <v>0.24640000000000001</v>
          </cell>
          <cell r="S99">
            <v>0.24640000000000001</v>
          </cell>
          <cell r="T99">
            <v>0.24640000000000001</v>
          </cell>
          <cell r="U99">
            <v>0.24640000000000001</v>
          </cell>
          <cell r="V99">
            <v>0.24640000000000001</v>
          </cell>
        </row>
        <row r="100">
          <cell r="A100">
            <v>99</v>
          </cell>
          <cell r="B100">
            <v>0.23089999999999999</v>
          </cell>
          <cell r="C100">
            <v>0.23250000000000001</v>
          </cell>
          <cell r="D100">
            <v>0.23330000000000001</v>
          </cell>
          <cell r="E100">
            <v>0.23380000000000001</v>
          </cell>
          <cell r="F100">
            <v>0.23599999999999999</v>
          </cell>
          <cell r="G100">
            <v>0.2361</v>
          </cell>
          <cell r="H100">
            <v>0.2394</v>
          </cell>
          <cell r="I100">
            <v>0.2356</v>
          </cell>
          <cell r="J100">
            <v>0.2311</v>
          </cell>
          <cell r="K100">
            <v>0.22969999999999999</v>
          </cell>
          <cell r="L100">
            <v>0.2253</v>
          </cell>
          <cell r="M100">
            <v>0.22420000000000001</v>
          </cell>
          <cell r="N100">
            <v>0.2167</v>
          </cell>
          <cell r="O100">
            <v>0.2167</v>
          </cell>
          <cell r="P100">
            <v>0.21870000000000001</v>
          </cell>
          <cell r="Q100">
            <v>0.21870000000000001</v>
          </cell>
          <cell r="R100">
            <v>0.21870000000000001</v>
          </cell>
          <cell r="S100">
            <v>0.21870000000000001</v>
          </cell>
          <cell r="T100">
            <v>0.21870000000000001</v>
          </cell>
          <cell r="U100">
            <v>0.21870000000000001</v>
          </cell>
          <cell r="V100">
            <v>0.21870000000000001</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StdFactors"/>
      <sheetName val="AgeStdSec"/>
      <sheetName val="AgeStdHMS"/>
    </sheetNames>
    <sheetDataSet>
      <sheetData sheetId="0">
        <row r="2">
          <cell r="A2" t="str">
            <v>Age</v>
          </cell>
          <cell r="B2" t="str">
            <v>1 Mile</v>
          </cell>
          <cell r="C2" t="str">
            <v>5 km</v>
          </cell>
          <cell r="D2" t="str">
            <v>6 km</v>
          </cell>
          <cell r="E2" t="str">
            <v>4 Mile</v>
          </cell>
          <cell r="F2" t="str">
            <v>8 km</v>
          </cell>
          <cell r="G2" t="str">
            <v>5 MIle</v>
          </cell>
          <cell r="H2" t="str">
            <v>10 km</v>
          </cell>
          <cell r="I2" t="str">
            <v>12 km</v>
          </cell>
          <cell r="J2" t="str">
            <v>15 km</v>
          </cell>
          <cell r="K2" t="str">
            <v>10 Mile</v>
          </cell>
          <cell r="L2" t="str">
            <v>20 km</v>
          </cell>
          <cell r="M2" t="str">
            <v>H. Mar</v>
          </cell>
          <cell r="N2" t="str">
            <v>25 km</v>
          </cell>
          <cell r="O2" t="str">
            <v>30 km</v>
          </cell>
          <cell r="P2" t="str">
            <v>Marathon</v>
          </cell>
          <cell r="Q2" t="str">
            <v>50 km</v>
          </cell>
          <cell r="R2" t="str">
            <v>50 Mile</v>
          </cell>
          <cell r="S2" t="str">
            <v>100 km</v>
          </cell>
          <cell r="T2" t="str">
            <v>150 km</v>
          </cell>
          <cell r="U2" t="str">
            <v>100 Mile</v>
          </cell>
          <cell r="V2" t="str">
            <v>200 km</v>
          </cell>
        </row>
        <row r="3">
          <cell r="A3" t="str">
            <v>Distance</v>
          </cell>
          <cell r="B3">
            <v>1.6093440000000001</v>
          </cell>
          <cell r="C3">
            <v>5</v>
          </cell>
          <cell r="D3">
            <v>6</v>
          </cell>
          <cell r="E3">
            <v>6.4373760000000004</v>
          </cell>
          <cell r="F3">
            <v>8</v>
          </cell>
          <cell r="G3">
            <v>8.0467200000000005</v>
          </cell>
          <cell r="H3">
            <v>10</v>
          </cell>
          <cell r="I3">
            <v>12</v>
          </cell>
          <cell r="J3">
            <v>15</v>
          </cell>
          <cell r="K3">
            <v>16.093440000000001</v>
          </cell>
          <cell r="L3">
            <v>20</v>
          </cell>
          <cell r="M3">
            <v>21.0975</v>
          </cell>
          <cell r="N3">
            <v>25</v>
          </cell>
          <cell r="O3">
            <v>30</v>
          </cell>
          <cell r="P3">
            <v>42.195</v>
          </cell>
          <cell r="Q3">
            <v>50</v>
          </cell>
          <cell r="R3">
            <v>80.467200000000005</v>
          </cell>
          <cell r="S3">
            <v>100</v>
          </cell>
          <cell r="T3">
            <v>150</v>
          </cell>
          <cell r="U3">
            <v>160.93440000000001</v>
          </cell>
          <cell r="V3">
            <v>200</v>
          </cell>
        </row>
        <row r="4">
          <cell r="A4" t="str">
            <v>OC sec</v>
          </cell>
          <cell r="B4">
            <v>253</v>
          </cell>
          <cell r="C4">
            <v>884</v>
          </cell>
          <cell r="D4">
            <v>1062</v>
          </cell>
          <cell r="E4">
            <v>1140</v>
          </cell>
          <cell r="F4">
            <v>1421.9999999999998</v>
          </cell>
          <cell r="G4">
            <v>1429.9999999999998</v>
          </cell>
          <cell r="H4">
            <v>1783</v>
          </cell>
          <cell r="I4">
            <v>2160</v>
          </cell>
          <cell r="J4">
            <v>2735.0000000000005</v>
          </cell>
          <cell r="K4">
            <v>2939.9999999999995</v>
          </cell>
          <cell r="L4">
            <v>3689.9999999999995</v>
          </cell>
          <cell r="M4">
            <v>3871</v>
          </cell>
          <cell r="N4">
            <v>4639.9999999999991</v>
          </cell>
          <cell r="O4">
            <v>5625</v>
          </cell>
          <cell r="P4">
            <v>8043.9999999999991</v>
          </cell>
          <cell r="Q4">
            <v>9780</v>
          </cell>
          <cell r="R4">
            <v>17760</v>
          </cell>
          <cell r="S4">
            <v>23590.999999999996</v>
          </cell>
          <cell r="T4">
            <v>39700</v>
          </cell>
          <cell r="U4">
            <v>43500</v>
          </cell>
          <cell r="V4">
            <v>57600</v>
          </cell>
        </row>
        <row r="5">
          <cell r="A5" t="str">
            <v>OC</v>
          </cell>
          <cell r="B5">
            <v>2.9282407407407412E-3</v>
          </cell>
          <cell r="C5">
            <v>1.0231481481481482E-2</v>
          </cell>
          <cell r="D5">
            <v>1.2291666666666666E-2</v>
          </cell>
          <cell r="E5">
            <v>1.32E-2</v>
          </cell>
          <cell r="F5">
            <v>1.6458333333333332E-2</v>
          </cell>
          <cell r="G5">
            <v>1.6550925925925924E-2</v>
          </cell>
          <cell r="H5">
            <v>2.0636574074074075E-2</v>
          </cell>
          <cell r="I5">
            <v>2.5000000000000001E-2</v>
          </cell>
          <cell r="J5">
            <v>3.1655092592592596E-2</v>
          </cell>
          <cell r="K5">
            <v>3.4027777777777775E-2</v>
          </cell>
          <cell r="L5">
            <v>4.2708333333333327E-2</v>
          </cell>
          <cell r="M5">
            <v>4.4803240740740741E-2</v>
          </cell>
          <cell r="N5">
            <v>5.3703703703703691E-2</v>
          </cell>
          <cell r="O5">
            <v>6.5104166666666671E-2</v>
          </cell>
          <cell r="P5">
            <v>9.3101851851851838E-2</v>
          </cell>
          <cell r="Q5">
            <v>0.11319444444444444</v>
          </cell>
          <cell r="R5">
            <v>0.20555555555555555</v>
          </cell>
          <cell r="S5">
            <v>0.27304398148148146</v>
          </cell>
          <cell r="T5">
            <v>0.45949074074074076</v>
          </cell>
          <cell r="U5">
            <v>0.50347222222222221</v>
          </cell>
          <cell r="V5">
            <v>0.66666666666666663</v>
          </cell>
        </row>
        <row r="6">
          <cell r="A6">
            <v>5</v>
          </cell>
          <cell r="B6">
            <v>0.72199999999999998</v>
          </cell>
          <cell r="C6">
            <v>0.72199999999999998</v>
          </cell>
          <cell r="D6">
            <v>0.70699999999999996</v>
          </cell>
          <cell r="E6">
            <v>0.70099999999999996</v>
          </cell>
          <cell r="F6">
            <v>0.68500000000000005</v>
          </cell>
          <cell r="G6">
            <v>0.68500000000000005</v>
          </cell>
          <cell r="H6">
            <v>0.68500000000000005</v>
          </cell>
          <cell r="I6">
            <v>0.68130000000000002</v>
          </cell>
          <cell r="J6">
            <v>0.67269999999999996</v>
          </cell>
          <cell r="K6">
            <v>0.6673</v>
          </cell>
          <cell r="L6">
            <v>0.64170000000000005</v>
          </cell>
          <cell r="M6">
            <v>0.63349999999999995</v>
          </cell>
          <cell r="N6">
            <v>0.63349999999999995</v>
          </cell>
          <cell r="O6">
            <v>0.65400000000000003</v>
          </cell>
          <cell r="P6">
            <v>0.67700000000000005</v>
          </cell>
          <cell r="Q6">
            <v>0.67700000000000005</v>
          </cell>
          <cell r="R6">
            <v>0.67700000000000005</v>
          </cell>
          <cell r="S6">
            <v>0.67700000000000005</v>
          </cell>
          <cell r="T6">
            <v>0.67700000000000005</v>
          </cell>
          <cell r="U6">
            <v>0.67700000000000005</v>
          </cell>
          <cell r="V6">
            <v>0.67700000000000005</v>
          </cell>
        </row>
        <row r="7">
          <cell r="A7">
            <v>6</v>
          </cell>
          <cell r="B7">
            <v>0.75129999999999997</v>
          </cell>
          <cell r="C7">
            <v>0.75129999999999997</v>
          </cell>
          <cell r="D7">
            <v>0.73919999999999997</v>
          </cell>
          <cell r="E7">
            <v>0.73429999999999995</v>
          </cell>
          <cell r="F7">
            <v>0.7198</v>
          </cell>
          <cell r="G7">
            <v>0.7198</v>
          </cell>
          <cell r="H7">
            <v>0.71830000000000005</v>
          </cell>
          <cell r="I7">
            <v>0.71509999999999996</v>
          </cell>
          <cell r="J7">
            <v>0.70699999999999996</v>
          </cell>
          <cell r="K7">
            <v>0.70179999999999998</v>
          </cell>
          <cell r="L7">
            <v>0.67749999999999999</v>
          </cell>
          <cell r="M7">
            <v>0.66979999999999995</v>
          </cell>
          <cell r="N7">
            <v>0.66979999999999995</v>
          </cell>
          <cell r="O7">
            <v>0.68820000000000003</v>
          </cell>
          <cell r="P7">
            <v>0.71030000000000004</v>
          </cell>
          <cell r="Q7">
            <v>0.71030000000000004</v>
          </cell>
          <cell r="R7">
            <v>0.71030000000000004</v>
          </cell>
          <cell r="S7">
            <v>0.71030000000000004</v>
          </cell>
          <cell r="T7">
            <v>0.71030000000000004</v>
          </cell>
          <cell r="U7">
            <v>0.71030000000000004</v>
          </cell>
          <cell r="V7">
            <v>0.71030000000000004</v>
          </cell>
        </row>
        <row r="8">
          <cell r="A8">
            <v>7</v>
          </cell>
          <cell r="B8">
            <v>0.7792</v>
          </cell>
          <cell r="C8">
            <v>0.7792</v>
          </cell>
          <cell r="D8">
            <v>0.76959999999999995</v>
          </cell>
          <cell r="E8">
            <v>0.76580000000000004</v>
          </cell>
          <cell r="F8">
            <v>0.75260000000000005</v>
          </cell>
          <cell r="G8">
            <v>0.75260000000000005</v>
          </cell>
          <cell r="H8">
            <v>0.74980000000000002</v>
          </cell>
          <cell r="I8">
            <v>0.74709999999999999</v>
          </cell>
          <cell r="J8">
            <v>0.73950000000000005</v>
          </cell>
          <cell r="K8">
            <v>0.73450000000000004</v>
          </cell>
          <cell r="L8">
            <v>0.71140000000000003</v>
          </cell>
          <cell r="M8">
            <v>0.70430000000000004</v>
          </cell>
          <cell r="N8">
            <v>0.70430000000000004</v>
          </cell>
          <cell r="O8">
            <v>0.72060000000000002</v>
          </cell>
          <cell r="P8">
            <v>0.74180000000000001</v>
          </cell>
          <cell r="Q8">
            <v>0.74180000000000001</v>
          </cell>
          <cell r="R8">
            <v>0.74180000000000001</v>
          </cell>
          <cell r="S8">
            <v>0.74180000000000001</v>
          </cell>
          <cell r="T8">
            <v>0.74180000000000001</v>
          </cell>
          <cell r="U8">
            <v>0.74180000000000001</v>
          </cell>
          <cell r="V8">
            <v>0.74180000000000001</v>
          </cell>
        </row>
        <row r="9">
          <cell r="A9">
            <v>8</v>
          </cell>
          <cell r="B9">
            <v>0.80569999999999997</v>
          </cell>
          <cell r="C9">
            <v>0.80569999999999997</v>
          </cell>
          <cell r="D9">
            <v>0.7984</v>
          </cell>
          <cell r="E9">
            <v>0.7954</v>
          </cell>
          <cell r="F9">
            <v>0.78349999999999997</v>
          </cell>
          <cell r="G9">
            <v>0.78349999999999997</v>
          </cell>
          <cell r="H9">
            <v>0.77939999999999998</v>
          </cell>
          <cell r="I9">
            <v>0.7772</v>
          </cell>
          <cell r="J9">
            <v>0.77010000000000001</v>
          </cell>
          <cell r="K9">
            <v>0.76539999999999997</v>
          </cell>
          <cell r="L9">
            <v>0.74360000000000004</v>
          </cell>
          <cell r="M9">
            <v>0.7369</v>
          </cell>
          <cell r="N9">
            <v>0.7369</v>
          </cell>
          <cell r="O9">
            <v>0.75139999999999996</v>
          </cell>
          <cell r="P9">
            <v>0.77139999999999997</v>
          </cell>
          <cell r="Q9">
            <v>0.77139999999999997</v>
          </cell>
          <cell r="R9">
            <v>0.77139999999999997</v>
          </cell>
          <cell r="S9">
            <v>0.77139999999999997</v>
          </cell>
          <cell r="T9">
            <v>0.77139999999999997</v>
          </cell>
          <cell r="U9">
            <v>0.77139999999999997</v>
          </cell>
          <cell r="V9">
            <v>0.77139999999999997</v>
          </cell>
        </row>
        <row r="10">
          <cell r="A10">
            <v>9</v>
          </cell>
          <cell r="B10">
            <v>0.83079999999999998</v>
          </cell>
          <cell r="C10">
            <v>0.83079999999999998</v>
          </cell>
          <cell r="D10">
            <v>0.82540000000000002</v>
          </cell>
          <cell r="E10">
            <v>0.82320000000000004</v>
          </cell>
          <cell r="F10">
            <v>0.81240000000000001</v>
          </cell>
          <cell r="G10">
            <v>0.81240000000000001</v>
          </cell>
          <cell r="H10">
            <v>0.80720000000000003</v>
          </cell>
          <cell r="I10">
            <v>0.80549999999999999</v>
          </cell>
          <cell r="J10">
            <v>0.79890000000000005</v>
          </cell>
          <cell r="K10">
            <v>0.7944</v>
          </cell>
          <cell r="L10">
            <v>0.77390000000000003</v>
          </cell>
          <cell r="M10">
            <v>0.76770000000000005</v>
          </cell>
          <cell r="N10">
            <v>0.76770000000000005</v>
          </cell>
          <cell r="O10">
            <v>0.78039999999999998</v>
          </cell>
          <cell r="P10">
            <v>0.79920000000000002</v>
          </cell>
          <cell r="Q10">
            <v>0.79920000000000002</v>
          </cell>
          <cell r="R10">
            <v>0.79920000000000002</v>
          </cell>
          <cell r="S10">
            <v>0.79920000000000002</v>
          </cell>
          <cell r="T10">
            <v>0.79920000000000002</v>
          </cell>
          <cell r="U10">
            <v>0.79920000000000002</v>
          </cell>
          <cell r="V10">
            <v>0.79920000000000002</v>
          </cell>
        </row>
        <row r="11">
          <cell r="A11">
            <v>10</v>
          </cell>
          <cell r="B11">
            <v>0.85450000000000004</v>
          </cell>
          <cell r="C11">
            <v>0.85450000000000004</v>
          </cell>
          <cell r="D11">
            <v>0.8508</v>
          </cell>
          <cell r="E11">
            <v>0.84930000000000005</v>
          </cell>
          <cell r="F11">
            <v>0.83930000000000005</v>
          </cell>
          <cell r="G11">
            <v>0.83930000000000005</v>
          </cell>
          <cell r="H11">
            <v>0.83330000000000004</v>
          </cell>
          <cell r="I11">
            <v>0.83209999999999995</v>
          </cell>
          <cell r="J11">
            <v>0.82599999999999996</v>
          </cell>
          <cell r="K11">
            <v>0.8216</v>
          </cell>
          <cell r="L11">
            <v>0.8024</v>
          </cell>
          <cell r="M11">
            <v>0.79679999999999995</v>
          </cell>
          <cell r="N11">
            <v>0.79679999999999995</v>
          </cell>
          <cell r="O11">
            <v>0.80779999999999996</v>
          </cell>
          <cell r="P11">
            <v>0.82530000000000003</v>
          </cell>
          <cell r="Q11">
            <v>0.82530000000000003</v>
          </cell>
          <cell r="R11">
            <v>0.82530000000000003</v>
          </cell>
          <cell r="S11">
            <v>0.82530000000000003</v>
          </cell>
          <cell r="T11">
            <v>0.82530000000000003</v>
          </cell>
          <cell r="U11">
            <v>0.82530000000000003</v>
          </cell>
          <cell r="V11">
            <v>0.82530000000000003</v>
          </cell>
        </row>
        <row r="12">
          <cell r="A12">
            <v>11</v>
          </cell>
          <cell r="B12">
            <v>0.87680000000000002</v>
          </cell>
          <cell r="C12">
            <v>0.87680000000000002</v>
          </cell>
          <cell r="D12">
            <v>0.87439999999999996</v>
          </cell>
          <cell r="E12">
            <v>0.87339999999999995</v>
          </cell>
          <cell r="F12">
            <v>0.86419999999999997</v>
          </cell>
          <cell r="G12">
            <v>0.86419999999999997</v>
          </cell>
          <cell r="H12">
            <v>0.85740000000000005</v>
          </cell>
          <cell r="I12">
            <v>0.85670000000000002</v>
          </cell>
          <cell r="J12">
            <v>0.85109999999999997</v>
          </cell>
          <cell r="K12">
            <v>0.84699999999999998</v>
          </cell>
          <cell r="L12">
            <v>0.82909999999999995</v>
          </cell>
          <cell r="M12">
            <v>0.82389999999999997</v>
          </cell>
          <cell r="N12">
            <v>0.82389999999999997</v>
          </cell>
          <cell r="O12">
            <v>0.83340000000000003</v>
          </cell>
          <cell r="P12">
            <v>0.84940000000000004</v>
          </cell>
          <cell r="Q12">
            <v>0.84940000000000004</v>
          </cell>
          <cell r="R12">
            <v>0.84940000000000004</v>
          </cell>
          <cell r="S12">
            <v>0.84940000000000004</v>
          </cell>
          <cell r="T12">
            <v>0.84940000000000004</v>
          </cell>
          <cell r="U12">
            <v>0.84940000000000004</v>
          </cell>
          <cell r="V12">
            <v>0.84940000000000004</v>
          </cell>
        </row>
        <row r="13">
          <cell r="A13">
            <v>12</v>
          </cell>
          <cell r="B13">
            <v>0.89770000000000005</v>
          </cell>
          <cell r="C13">
            <v>0.89770000000000005</v>
          </cell>
          <cell r="D13">
            <v>0.89639999999999997</v>
          </cell>
          <cell r="E13">
            <v>0.89580000000000004</v>
          </cell>
          <cell r="F13">
            <v>0.8871</v>
          </cell>
          <cell r="G13">
            <v>0.8871</v>
          </cell>
          <cell r="H13">
            <v>0.87980000000000003</v>
          </cell>
          <cell r="I13">
            <v>0.87960000000000005</v>
          </cell>
          <cell r="J13">
            <v>0.87450000000000006</v>
          </cell>
          <cell r="K13">
            <v>0.87060000000000004</v>
          </cell>
          <cell r="L13">
            <v>0.85399999999999998</v>
          </cell>
          <cell r="M13">
            <v>0.84930000000000005</v>
          </cell>
          <cell r="N13">
            <v>0.84930000000000005</v>
          </cell>
          <cell r="O13">
            <v>0.85740000000000005</v>
          </cell>
          <cell r="P13">
            <v>0.87180000000000002</v>
          </cell>
          <cell r="Q13">
            <v>0.87180000000000002</v>
          </cell>
          <cell r="R13">
            <v>0.87180000000000002</v>
          </cell>
          <cell r="S13">
            <v>0.87180000000000002</v>
          </cell>
          <cell r="T13">
            <v>0.87180000000000002</v>
          </cell>
          <cell r="U13">
            <v>0.87180000000000002</v>
          </cell>
          <cell r="V13">
            <v>0.87180000000000002</v>
          </cell>
        </row>
        <row r="14">
          <cell r="A14">
            <v>13</v>
          </cell>
          <cell r="B14">
            <v>0.91720000000000002</v>
          </cell>
          <cell r="C14">
            <v>0.91720000000000002</v>
          </cell>
          <cell r="D14">
            <v>0.91659999999999997</v>
          </cell>
          <cell r="E14">
            <v>0.91639999999999999</v>
          </cell>
          <cell r="F14">
            <v>0.90800000000000003</v>
          </cell>
          <cell r="G14">
            <v>0.90800000000000003</v>
          </cell>
          <cell r="H14">
            <v>0.90039999999999998</v>
          </cell>
          <cell r="I14">
            <v>0.90069999999999995</v>
          </cell>
          <cell r="J14">
            <v>0.89610000000000001</v>
          </cell>
          <cell r="K14">
            <v>0.89229999999999998</v>
          </cell>
          <cell r="L14">
            <v>0.877</v>
          </cell>
          <cell r="M14">
            <v>0.87290000000000001</v>
          </cell>
          <cell r="N14">
            <v>0.87290000000000001</v>
          </cell>
          <cell r="O14">
            <v>0.87960000000000005</v>
          </cell>
          <cell r="P14">
            <v>0.89239999999999997</v>
          </cell>
          <cell r="Q14">
            <v>0.89239999999999997</v>
          </cell>
          <cell r="R14">
            <v>0.89239999999999997</v>
          </cell>
          <cell r="S14">
            <v>0.89239999999999997</v>
          </cell>
          <cell r="T14">
            <v>0.89239999999999997</v>
          </cell>
          <cell r="U14">
            <v>0.89239999999999997</v>
          </cell>
          <cell r="V14">
            <v>0.89239999999999997</v>
          </cell>
        </row>
        <row r="15">
          <cell r="A15">
            <v>14</v>
          </cell>
          <cell r="B15">
            <v>0.93530000000000002</v>
          </cell>
          <cell r="C15">
            <v>0.93530000000000002</v>
          </cell>
          <cell r="D15">
            <v>0.93520000000000003</v>
          </cell>
          <cell r="E15">
            <v>0.93510000000000004</v>
          </cell>
          <cell r="F15">
            <v>0.92700000000000005</v>
          </cell>
          <cell r="G15">
            <v>0.92700000000000005</v>
          </cell>
          <cell r="H15">
            <v>0.91910000000000003</v>
          </cell>
          <cell r="I15">
            <v>0.91990000000000005</v>
          </cell>
          <cell r="J15">
            <v>0.91579999999999995</v>
          </cell>
          <cell r="K15">
            <v>0.91220000000000001</v>
          </cell>
          <cell r="L15">
            <v>0.89829999999999999</v>
          </cell>
          <cell r="M15">
            <v>0.89459999999999995</v>
          </cell>
          <cell r="N15">
            <v>0.89459999999999995</v>
          </cell>
          <cell r="O15">
            <v>0.9002</v>
          </cell>
          <cell r="P15">
            <v>0.91110000000000002</v>
          </cell>
          <cell r="Q15">
            <v>0.91110000000000002</v>
          </cell>
          <cell r="R15">
            <v>0.91110000000000002</v>
          </cell>
          <cell r="S15">
            <v>0.91110000000000002</v>
          </cell>
          <cell r="T15">
            <v>0.91110000000000002</v>
          </cell>
          <cell r="U15">
            <v>0.91110000000000002</v>
          </cell>
          <cell r="V15">
            <v>0.91110000000000002</v>
          </cell>
        </row>
        <row r="16">
          <cell r="A16">
            <v>15</v>
          </cell>
          <cell r="B16">
            <v>0.95199999999999996</v>
          </cell>
          <cell r="C16">
            <v>0.95199999999999996</v>
          </cell>
          <cell r="D16">
            <v>0.95199999999999996</v>
          </cell>
          <cell r="E16">
            <v>0.95199999999999996</v>
          </cell>
          <cell r="F16">
            <v>0.94399999999999995</v>
          </cell>
          <cell r="G16">
            <v>0.94399999999999995</v>
          </cell>
          <cell r="H16">
            <v>0.93600000000000005</v>
          </cell>
          <cell r="I16">
            <v>0.93730000000000002</v>
          </cell>
          <cell r="J16">
            <v>0.93369999999999997</v>
          </cell>
          <cell r="K16">
            <v>0.93030000000000002</v>
          </cell>
          <cell r="L16">
            <v>0.91769999999999996</v>
          </cell>
          <cell r="M16">
            <v>0.91449999999999998</v>
          </cell>
          <cell r="N16">
            <v>0.91449999999999998</v>
          </cell>
          <cell r="O16">
            <v>0.91900000000000004</v>
          </cell>
          <cell r="P16">
            <v>0.92800000000000005</v>
          </cell>
          <cell r="Q16">
            <v>0.92800000000000005</v>
          </cell>
          <cell r="R16">
            <v>0.92800000000000005</v>
          </cell>
          <cell r="S16">
            <v>0.92800000000000005</v>
          </cell>
          <cell r="T16">
            <v>0.92800000000000005</v>
          </cell>
          <cell r="U16">
            <v>0.92800000000000005</v>
          </cell>
          <cell r="V16">
            <v>0.92800000000000005</v>
          </cell>
        </row>
        <row r="17">
          <cell r="A17">
            <v>16</v>
          </cell>
          <cell r="B17">
            <v>0.96799999999999997</v>
          </cell>
          <cell r="C17">
            <v>0.96799999999999997</v>
          </cell>
          <cell r="D17">
            <v>0.96799999999999997</v>
          </cell>
          <cell r="E17">
            <v>0.96799999999999997</v>
          </cell>
          <cell r="F17">
            <v>0.96</v>
          </cell>
          <cell r="G17">
            <v>0.96</v>
          </cell>
          <cell r="H17">
            <v>0.95199999999999996</v>
          </cell>
          <cell r="I17">
            <v>0.95379999999999998</v>
          </cell>
          <cell r="J17">
            <v>0.95069999999999999</v>
          </cell>
          <cell r="K17">
            <v>0.94750000000000001</v>
          </cell>
          <cell r="L17">
            <v>0.93620000000000003</v>
          </cell>
          <cell r="M17">
            <v>0.9335</v>
          </cell>
          <cell r="N17">
            <v>0.9335</v>
          </cell>
          <cell r="O17">
            <v>0.93700000000000006</v>
          </cell>
          <cell r="P17">
            <v>0.94399999999999995</v>
          </cell>
          <cell r="Q17">
            <v>0.94399999999999995</v>
          </cell>
          <cell r="R17">
            <v>0.94399999999999995</v>
          </cell>
          <cell r="S17">
            <v>0.94399999999999995</v>
          </cell>
          <cell r="T17">
            <v>0.94399999999999995</v>
          </cell>
          <cell r="U17">
            <v>0.94399999999999995</v>
          </cell>
          <cell r="V17">
            <v>0.94399999999999995</v>
          </cell>
        </row>
        <row r="18">
          <cell r="A18">
            <v>17</v>
          </cell>
          <cell r="B18">
            <v>0.98399999999999999</v>
          </cell>
          <cell r="C18">
            <v>0.98399999999999999</v>
          </cell>
          <cell r="D18">
            <v>0.98399999999999999</v>
          </cell>
          <cell r="E18">
            <v>0.98399999999999999</v>
          </cell>
          <cell r="F18">
            <v>0.97599999999999998</v>
          </cell>
          <cell r="G18">
            <v>0.97599999999999998</v>
          </cell>
          <cell r="H18">
            <v>0.96799999999999997</v>
          </cell>
          <cell r="I18">
            <v>0.97030000000000005</v>
          </cell>
          <cell r="J18">
            <v>0.9677</v>
          </cell>
          <cell r="K18">
            <v>0.9647</v>
          </cell>
          <cell r="L18">
            <v>0.95469999999999999</v>
          </cell>
          <cell r="M18">
            <v>0.95250000000000001</v>
          </cell>
          <cell r="N18">
            <v>0.95250000000000001</v>
          </cell>
          <cell r="O18">
            <v>0.95499999999999996</v>
          </cell>
          <cell r="P18">
            <v>0.96</v>
          </cell>
          <cell r="Q18">
            <v>0.96</v>
          </cell>
          <cell r="R18">
            <v>0.96</v>
          </cell>
          <cell r="S18">
            <v>0.96</v>
          </cell>
          <cell r="T18">
            <v>0.96</v>
          </cell>
          <cell r="U18">
            <v>0.96</v>
          </cell>
          <cell r="V18">
            <v>0.96</v>
          </cell>
        </row>
        <row r="19">
          <cell r="A19">
            <v>18</v>
          </cell>
          <cell r="B19">
            <v>0.996</v>
          </cell>
          <cell r="C19">
            <v>0.996</v>
          </cell>
          <cell r="D19">
            <v>0.996</v>
          </cell>
          <cell r="E19">
            <v>0.996</v>
          </cell>
          <cell r="F19">
            <v>0.98929999999999996</v>
          </cell>
          <cell r="G19">
            <v>0.98929999999999996</v>
          </cell>
          <cell r="H19">
            <v>0.98199999999999998</v>
          </cell>
          <cell r="I19">
            <v>0.98450000000000004</v>
          </cell>
          <cell r="J19">
            <v>0.98250000000000004</v>
          </cell>
          <cell r="K19">
            <v>0.9798</v>
          </cell>
          <cell r="L19">
            <v>0.97130000000000005</v>
          </cell>
          <cell r="M19">
            <v>0.96960000000000002</v>
          </cell>
          <cell r="N19">
            <v>0.96960000000000002</v>
          </cell>
          <cell r="O19">
            <v>0.97119999999999995</v>
          </cell>
          <cell r="P19">
            <v>0.97440000000000004</v>
          </cell>
          <cell r="Q19">
            <v>0.97440000000000004</v>
          </cell>
          <cell r="R19">
            <v>0.97440000000000004</v>
          </cell>
          <cell r="S19">
            <v>0.97440000000000004</v>
          </cell>
          <cell r="T19">
            <v>0.97440000000000004</v>
          </cell>
          <cell r="U19">
            <v>0.97440000000000004</v>
          </cell>
          <cell r="V19">
            <v>0.97440000000000004</v>
          </cell>
        </row>
        <row r="20">
          <cell r="A20">
            <v>19</v>
          </cell>
          <cell r="B20">
            <v>1</v>
          </cell>
          <cell r="C20">
            <v>1</v>
          </cell>
          <cell r="D20">
            <v>1</v>
          </cell>
          <cell r="E20">
            <v>1</v>
          </cell>
          <cell r="F20">
            <v>0.99729999999999996</v>
          </cell>
          <cell r="G20">
            <v>0.99729999999999996</v>
          </cell>
          <cell r="H20">
            <v>0.99199999999999999</v>
          </cell>
          <cell r="I20">
            <v>0.99409999999999998</v>
          </cell>
          <cell r="J20">
            <v>0.99280000000000002</v>
          </cell>
          <cell r="K20">
            <v>0.99070000000000003</v>
          </cell>
          <cell r="L20">
            <v>0.98409999999999997</v>
          </cell>
          <cell r="M20">
            <v>0.9829</v>
          </cell>
          <cell r="N20">
            <v>0.9829</v>
          </cell>
          <cell r="O20">
            <v>0.98380000000000001</v>
          </cell>
          <cell r="P20">
            <v>0.98560000000000003</v>
          </cell>
          <cell r="Q20">
            <v>0.98560000000000003</v>
          </cell>
          <cell r="R20">
            <v>0.98560000000000003</v>
          </cell>
          <cell r="S20">
            <v>0.98560000000000003</v>
          </cell>
          <cell r="T20">
            <v>0.98560000000000003</v>
          </cell>
          <cell r="U20">
            <v>0.98560000000000003</v>
          </cell>
          <cell r="V20">
            <v>0.98560000000000003</v>
          </cell>
        </row>
        <row r="21">
          <cell r="A21">
            <v>20</v>
          </cell>
          <cell r="B21">
            <v>1</v>
          </cell>
          <cell r="C21">
            <v>1</v>
          </cell>
          <cell r="D21">
            <v>1</v>
          </cell>
          <cell r="E21">
            <v>1</v>
          </cell>
          <cell r="F21">
            <v>1</v>
          </cell>
          <cell r="G21">
            <v>1</v>
          </cell>
          <cell r="H21">
            <v>0.998</v>
          </cell>
          <cell r="I21">
            <v>0.99919999999999998</v>
          </cell>
          <cell r="J21">
            <v>0.99860000000000004</v>
          </cell>
          <cell r="K21">
            <v>0.99750000000000005</v>
          </cell>
          <cell r="L21">
            <v>0.99319999999999997</v>
          </cell>
          <cell r="M21">
            <v>0.99239999999999995</v>
          </cell>
          <cell r="N21">
            <v>0.99239999999999995</v>
          </cell>
          <cell r="O21">
            <v>0.99280000000000002</v>
          </cell>
          <cell r="P21">
            <v>0.99360000000000004</v>
          </cell>
          <cell r="Q21">
            <v>0.99360000000000004</v>
          </cell>
          <cell r="R21">
            <v>0.99360000000000004</v>
          </cell>
          <cell r="S21">
            <v>0.99360000000000004</v>
          </cell>
          <cell r="T21">
            <v>0.99360000000000004</v>
          </cell>
          <cell r="U21">
            <v>0.99360000000000004</v>
          </cell>
          <cell r="V21">
            <v>0.99360000000000004</v>
          </cell>
        </row>
        <row r="22">
          <cell r="A22">
            <v>21</v>
          </cell>
          <cell r="B22">
            <v>1</v>
          </cell>
          <cell r="C22">
            <v>1</v>
          </cell>
          <cell r="D22">
            <v>1</v>
          </cell>
          <cell r="E22">
            <v>1</v>
          </cell>
          <cell r="F22">
            <v>1</v>
          </cell>
          <cell r="G22">
            <v>1</v>
          </cell>
          <cell r="H22">
            <v>1</v>
          </cell>
          <cell r="I22">
            <v>1</v>
          </cell>
          <cell r="J22">
            <v>1</v>
          </cell>
          <cell r="K22">
            <v>1</v>
          </cell>
          <cell r="L22">
            <v>0.99850000000000005</v>
          </cell>
          <cell r="M22">
            <v>0.99809999999999999</v>
          </cell>
          <cell r="N22">
            <v>0.99809999999999999</v>
          </cell>
          <cell r="O22">
            <v>0.99819999999999998</v>
          </cell>
          <cell r="P22">
            <v>0.99839999999999995</v>
          </cell>
          <cell r="Q22">
            <v>0.99839999999999995</v>
          </cell>
          <cell r="R22">
            <v>0.99839999999999995</v>
          </cell>
          <cell r="S22">
            <v>0.99839999999999995</v>
          </cell>
          <cell r="T22">
            <v>0.99839999999999995</v>
          </cell>
          <cell r="U22">
            <v>0.99839999999999995</v>
          </cell>
          <cell r="V22">
            <v>0.99839999999999995</v>
          </cell>
        </row>
        <row r="23">
          <cell r="A23">
            <v>22</v>
          </cell>
          <cell r="B23">
            <v>1</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row>
        <row r="24">
          <cell r="A24">
            <v>23</v>
          </cell>
          <cell r="B24">
            <v>1</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row>
        <row r="25">
          <cell r="A25">
            <v>24</v>
          </cell>
          <cell r="B25">
            <v>1</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row>
        <row r="26">
          <cell r="A26">
            <v>25</v>
          </cell>
          <cell r="B26">
            <v>1</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row>
        <row r="27">
          <cell r="A27">
            <v>26</v>
          </cell>
          <cell r="B27">
            <v>1</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row>
        <row r="28">
          <cell r="A28">
            <v>27</v>
          </cell>
          <cell r="B28">
            <v>1</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row>
        <row r="29">
          <cell r="A29">
            <v>28</v>
          </cell>
          <cell r="B29">
            <v>1</v>
          </cell>
          <cell r="C29">
            <v>1</v>
          </cell>
          <cell r="D29">
            <v>1</v>
          </cell>
          <cell r="E29">
            <v>1</v>
          </cell>
          <cell r="F29">
            <v>1</v>
          </cell>
          <cell r="G29">
            <v>1</v>
          </cell>
          <cell r="H29">
            <v>0.99980000000000002</v>
          </cell>
          <cell r="I29">
            <v>0.99990000000000001</v>
          </cell>
          <cell r="J29">
            <v>1</v>
          </cell>
          <cell r="K29">
            <v>1</v>
          </cell>
          <cell r="L29">
            <v>1</v>
          </cell>
          <cell r="M29">
            <v>1</v>
          </cell>
          <cell r="N29">
            <v>1</v>
          </cell>
          <cell r="O29">
            <v>1</v>
          </cell>
          <cell r="P29">
            <v>1</v>
          </cell>
          <cell r="Q29">
            <v>1</v>
          </cell>
          <cell r="R29">
            <v>1</v>
          </cell>
          <cell r="S29">
            <v>1</v>
          </cell>
          <cell r="T29">
            <v>1</v>
          </cell>
          <cell r="U29">
            <v>1</v>
          </cell>
          <cell r="V29">
            <v>1</v>
          </cell>
        </row>
        <row r="30">
          <cell r="A30">
            <v>29</v>
          </cell>
          <cell r="B30">
            <v>1</v>
          </cell>
          <cell r="C30">
            <v>1</v>
          </cell>
          <cell r="D30">
            <v>1</v>
          </cell>
          <cell r="E30">
            <v>1</v>
          </cell>
          <cell r="F30">
            <v>0.99980000000000002</v>
          </cell>
          <cell r="G30">
            <v>0.99980000000000002</v>
          </cell>
          <cell r="H30">
            <v>0.99909999999999999</v>
          </cell>
          <cell r="I30">
            <v>0.99950000000000006</v>
          </cell>
          <cell r="J30">
            <v>0.99980000000000002</v>
          </cell>
          <cell r="K30">
            <v>0.99990000000000001</v>
          </cell>
          <cell r="L30">
            <v>1</v>
          </cell>
          <cell r="M30">
            <v>1</v>
          </cell>
          <cell r="N30">
            <v>1</v>
          </cell>
          <cell r="O30">
            <v>1</v>
          </cell>
          <cell r="P30">
            <v>1</v>
          </cell>
          <cell r="Q30">
            <v>1</v>
          </cell>
          <cell r="R30">
            <v>1</v>
          </cell>
          <cell r="S30">
            <v>1</v>
          </cell>
          <cell r="T30">
            <v>1</v>
          </cell>
          <cell r="U30">
            <v>1</v>
          </cell>
          <cell r="V30">
            <v>1</v>
          </cell>
        </row>
        <row r="31">
          <cell r="A31">
            <v>30</v>
          </cell>
          <cell r="B31">
            <v>1</v>
          </cell>
          <cell r="C31">
            <v>1</v>
          </cell>
          <cell r="D31">
            <v>0.99990000000000001</v>
          </cell>
          <cell r="E31">
            <v>0.99970000000000003</v>
          </cell>
          <cell r="F31">
            <v>0.99909999999999999</v>
          </cell>
          <cell r="G31">
            <v>0.999</v>
          </cell>
          <cell r="H31">
            <v>0.998</v>
          </cell>
          <cell r="I31">
            <v>0.99850000000000005</v>
          </cell>
          <cell r="J31">
            <v>0.99909999999999999</v>
          </cell>
          <cell r="K31">
            <v>0.99929999999999997</v>
          </cell>
          <cell r="L31">
            <v>0.99970000000000003</v>
          </cell>
          <cell r="M31">
            <v>0.99970000000000003</v>
          </cell>
          <cell r="N31">
            <v>1</v>
          </cell>
          <cell r="O31">
            <v>1</v>
          </cell>
          <cell r="P31">
            <v>1</v>
          </cell>
          <cell r="Q31">
            <v>1</v>
          </cell>
          <cell r="R31">
            <v>1</v>
          </cell>
          <cell r="S31">
            <v>1</v>
          </cell>
          <cell r="T31">
            <v>1</v>
          </cell>
          <cell r="U31">
            <v>1</v>
          </cell>
          <cell r="V31">
            <v>1</v>
          </cell>
        </row>
        <row r="32">
          <cell r="A32">
            <v>31</v>
          </cell>
          <cell r="B32">
            <v>0.99980000000000002</v>
          </cell>
          <cell r="C32">
            <v>0.99980000000000002</v>
          </cell>
          <cell r="D32">
            <v>0.99919999999999998</v>
          </cell>
          <cell r="E32">
            <v>0.999</v>
          </cell>
          <cell r="F32">
            <v>0.99790000000000001</v>
          </cell>
          <cell r="G32">
            <v>0.99780000000000002</v>
          </cell>
          <cell r="H32">
            <v>0.99639999999999995</v>
          </cell>
          <cell r="I32">
            <v>0.99709999999999999</v>
          </cell>
          <cell r="J32">
            <v>0.99790000000000001</v>
          </cell>
          <cell r="K32">
            <v>0.99819999999999998</v>
          </cell>
          <cell r="L32">
            <v>0.99880000000000002</v>
          </cell>
          <cell r="M32">
            <v>0.99890000000000001</v>
          </cell>
          <cell r="N32">
            <v>0.99950000000000006</v>
          </cell>
          <cell r="O32">
            <v>0.99990000000000001</v>
          </cell>
          <cell r="P32">
            <v>1</v>
          </cell>
          <cell r="Q32">
            <v>1</v>
          </cell>
          <cell r="R32">
            <v>1</v>
          </cell>
          <cell r="S32">
            <v>1</v>
          </cell>
          <cell r="T32">
            <v>1</v>
          </cell>
          <cell r="U32">
            <v>1</v>
          </cell>
          <cell r="V32">
            <v>1</v>
          </cell>
        </row>
        <row r="33">
          <cell r="A33">
            <v>32</v>
          </cell>
          <cell r="B33">
            <v>0.999</v>
          </cell>
          <cell r="C33">
            <v>0.999</v>
          </cell>
          <cell r="D33">
            <v>0.99809999999999999</v>
          </cell>
          <cell r="E33">
            <v>0.99770000000000003</v>
          </cell>
          <cell r="F33">
            <v>0.99619999999999997</v>
          </cell>
          <cell r="G33">
            <v>0.99619999999999997</v>
          </cell>
          <cell r="H33">
            <v>0.99439999999999995</v>
          </cell>
          <cell r="I33">
            <v>0.99529999999999996</v>
          </cell>
          <cell r="J33">
            <v>0.99629999999999996</v>
          </cell>
          <cell r="K33">
            <v>0.99650000000000005</v>
          </cell>
          <cell r="L33">
            <v>0.99739999999999995</v>
          </cell>
          <cell r="M33">
            <v>0.99760000000000004</v>
          </cell>
          <cell r="N33">
            <v>0.99839999999999995</v>
          </cell>
          <cell r="O33">
            <v>0.99919999999999998</v>
          </cell>
          <cell r="P33">
            <v>0.99990000000000001</v>
          </cell>
          <cell r="Q33">
            <v>0.99990000000000001</v>
          </cell>
          <cell r="R33">
            <v>0.99990000000000001</v>
          </cell>
          <cell r="S33">
            <v>0.99990000000000001</v>
          </cell>
          <cell r="T33">
            <v>0.99990000000000001</v>
          </cell>
          <cell r="U33">
            <v>0.99990000000000001</v>
          </cell>
          <cell r="V33">
            <v>0.99990000000000001</v>
          </cell>
        </row>
        <row r="34">
          <cell r="A34">
            <v>33</v>
          </cell>
          <cell r="B34">
            <v>0.99770000000000003</v>
          </cell>
          <cell r="C34">
            <v>0.99770000000000003</v>
          </cell>
          <cell r="D34">
            <v>0.99650000000000005</v>
          </cell>
          <cell r="E34">
            <v>0.99590000000000001</v>
          </cell>
          <cell r="F34">
            <v>0.99409999999999998</v>
          </cell>
          <cell r="G34">
            <v>0.99399999999999999</v>
          </cell>
          <cell r="H34">
            <v>0.99199999999999999</v>
          </cell>
          <cell r="I34">
            <v>0.9929</v>
          </cell>
          <cell r="J34">
            <v>0.99409999999999998</v>
          </cell>
          <cell r="K34">
            <v>0.99439999999999995</v>
          </cell>
          <cell r="L34">
            <v>0.99550000000000005</v>
          </cell>
          <cell r="M34">
            <v>0.99580000000000002</v>
          </cell>
          <cell r="N34">
            <v>0.99680000000000002</v>
          </cell>
          <cell r="O34">
            <v>0.99790000000000001</v>
          </cell>
          <cell r="P34">
            <v>0.99929999999999997</v>
          </cell>
          <cell r="Q34">
            <v>0.99929999999999997</v>
          </cell>
          <cell r="R34">
            <v>0.99929999999999997</v>
          </cell>
          <cell r="S34">
            <v>0.99929999999999997</v>
          </cell>
          <cell r="T34">
            <v>0.99929999999999997</v>
          </cell>
          <cell r="U34">
            <v>0.99929999999999997</v>
          </cell>
          <cell r="V34">
            <v>0.99929999999999997</v>
          </cell>
        </row>
        <row r="35">
          <cell r="A35">
            <v>34</v>
          </cell>
          <cell r="B35">
            <v>0.99590000000000001</v>
          </cell>
          <cell r="C35">
            <v>0.99590000000000001</v>
          </cell>
          <cell r="D35">
            <v>0.99429999999999996</v>
          </cell>
          <cell r="E35">
            <v>0.99360000000000004</v>
          </cell>
          <cell r="F35">
            <v>0.99150000000000005</v>
          </cell>
          <cell r="G35">
            <v>0.99139999999999995</v>
          </cell>
          <cell r="H35">
            <v>0.98909999999999998</v>
          </cell>
          <cell r="I35">
            <v>0.99019999999999997</v>
          </cell>
          <cell r="J35">
            <v>0.99139999999999995</v>
          </cell>
          <cell r="K35">
            <v>0.9919</v>
          </cell>
          <cell r="L35">
            <v>0.99309999999999998</v>
          </cell>
          <cell r="M35">
            <v>0.99339999999999995</v>
          </cell>
          <cell r="N35">
            <v>0.99470000000000003</v>
          </cell>
          <cell r="O35">
            <v>0.996</v>
          </cell>
          <cell r="P35">
            <v>0.99809999999999999</v>
          </cell>
          <cell r="Q35">
            <v>0.99809999999999999</v>
          </cell>
          <cell r="R35">
            <v>0.99809999999999999</v>
          </cell>
          <cell r="S35">
            <v>0.99809999999999999</v>
          </cell>
          <cell r="T35">
            <v>0.99809999999999999</v>
          </cell>
          <cell r="U35">
            <v>0.99809999999999999</v>
          </cell>
          <cell r="V35">
            <v>0.99809999999999999</v>
          </cell>
        </row>
        <row r="36">
          <cell r="A36">
            <v>35</v>
          </cell>
          <cell r="B36">
            <v>0.99350000000000005</v>
          </cell>
          <cell r="C36">
            <v>0.99350000000000005</v>
          </cell>
          <cell r="D36">
            <v>0.99160000000000004</v>
          </cell>
          <cell r="E36">
            <v>0.9909</v>
          </cell>
          <cell r="F36">
            <v>0.98839999999999995</v>
          </cell>
          <cell r="G36">
            <v>0.98839999999999995</v>
          </cell>
          <cell r="H36">
            <v>0.98570000000000002</v>
          </cell>
          <cell r="I36">
            <v>0.9869</v>
          </cell>
          <cell r="J36">
            <v>0.98829999999999996</v>
          </cell>
          <cell r="K36">
            <v>0.98880000000000001</v>
          </cell>
          <cell r="L36">
            <v>0.99009999999999998</v>
          </cell>
          <cell r="M36">
            <v>0.99039999999999995</v>
          </cell>
          <cell r="N36">
            <v>0.9919</v>
          </cell>
          <cell r="O36">
            <v>0.99350000000000005</v>
          </cell>
          <cell r="P36">
            <v>0.99609999999999999</v>
          </cell>
          <cell r="Q36">
            <v>0.99609999999999999</v>
          </cell>
          <cell r="R36">
            <v>0.99609999999999999</v>
          </cell>
          <cell r="S36">
            <v>0.99609999999999999</v>
          </cell>
          <cell r="T36">
            <v>0.99609999999999999</v>
          </cell>
          <cell r="U36">
            <v>0.99609999999999999</v>
          </cell>
          <cell r="V36">
            <v>0.99609999999999999</v>
          </cell>
        </row>
        <row r="37">
          <cell r="A37">
            <v>36</v>
          </cell>
          <cell r="B37">
            <v>0.99060000000000004</v>
          </cell>
          <cell r="C37">
            <v>0.99060000000000004</v>
          </cell>
          <cell r="D37">
            <v>0.98839999999999995</v>
          </cell>
          <cell r="E37">
            <v>0.98760000000000003</v>
          </cell>
          <cell r="F37">
            <v>0.9849</v>
          </cell>
          <cell r="G37">
            <v>0.98480000000000001</v>
          </cell>
          <cell r="H37">
            <v>0.9819</v>
          </cell>
          <cell r="I37">
            <v>0.98319999999999996</v>
          </cell>
          <cell r="J37">
            <v>0.98470000000000002</v>
          </cell>
          <cell r="K37">
            <v>0.98519999999999996</v>
          </cell>
          <cell r="L37">
            <v>0.98660000000000003</v>
          </cell>
          <cell r="M37">
            <v>0.98699999999999999</v>
          </cell>
          <cell r="N37">
            <v>0.98860000000000003</v>
          </cell>
          <cell r="O37">
            <v>0.99039999999999995</v>
          </cell>
          <cell r="P37">
            <v>0.99350000000000005</v>
          </cell>
          <cell r="Q37">
            <v>0.99350000000000005</v>
          </cell>
          <cell r="R37">
            <v>0.99350000000000005</v>
          </cell>
          <cell r="S37">
            <v>0.99350000000000005</v>
          </cell>
          <cell r="T37">
            <v>0.99350000000000005</v>
          </cell>
          <cell r="U37">
            <v>0.99350000000000005</v>
          </cell>
          <cell r="V37">
            <v>0.99350000000000005</v>
          </cell>
        </row>
        <row r="38">
          <cell r="A38">
            <v>37</v>
          </cell>
          <cell r="B38">
            <v>0.98709999999999998</v>
          </cell>
          <cell r="C38">
            <v>0.98709999999999998</v>
          </cell>
          <cell r="D38">
            <v>0.98470000000000002</v>
          </cell>
          <cell r="E38">
            <v>0.98380000000000001</v>
          </cell>
          <cell r="F38">
            <v>0.98089999999999999</v>
          </cell>
          <cell r="G38">
            <v>0.98080000000000001</v>
          </cell>
          <cell r="H38">
            <v>0.97770000000000001</v>
          </cell>
          <cell r="I38">
            <v>0.97899999999999998</v>
          </cell>
          <cell r="J38">
            <v>0.98060000000000003</v>
          </cell>
          <cell r="K38">
            <v>0.98109999999999997</v>
          </cell>
          <cell r="L38">
            <v>0.98260000000000003</v>
          </cell>
          <cell r="M38">
            <v>0.98299999999999998</v>
          </cell>
          <cell r="N38">
            <v>0.98480000000000001</v>
          </cell>
          <cell r="O38">
            <v>0.98670000000000002</v>
          </cell>
          <cell r="P38">
            <v>0.99019999999999997</v>
          </cell>
          <cell r="Q38">
            <v>0.99019999999999997</v>
          </cell>
          <cell r="R38">
            <v>0.99019999999999997</v>
          </cell>
          <cell r="S38">
            <v>0.99019999999999997</v>
          </cell>
          <cell r="T38">
            <v>0.99019999999999997</v>
          </cell>
          <cell r="U38">
            <v>0.99019999999999997</v>
          </cell>
          <cell r="V38">
            <v>0.99019999999999997</v>
          </cell>
        </row>
        <row r="39">
          <cell r="A39">
            <v>38</v>
          </cell>
          <cell r="B39">
            <v>0.98309999999999997</v>
          </cell>
          <cell r="C39">
            <v>0.98309999999999997</v>
          </cell>
          <cell r="D39">
            <v>0.98050000000000004</v>
          </cell>
          <cell r="E39">
            <v>0.97950000000000004</v>
          </cell>
          <cell r="F39">
            <v>0.97640000000000005</v>
          </cell>
          <cell r="G39">
            <v>0.97629999999999995</v>
          </cell>
          <cell r="H39">
            <v>0.97299999999999998</v>
          </cell>
          <cell r="I39">
            <v>0.97430000000000005</v>
          </cell>
          <cell r="J39">
            <v>0.97599999999999998</v>
          </cell>
          <cell r="K39">
            <v>0.97650000000000003</v>
          </cell>
          <cell r="L39">
            <v>0.97809999999999997</v>
          </cell>
          <cell r="M39">
            <v>0.97850000000000004</v>
          </cell>
          <cell r="N39">
            <v>0.98040000000000005</v>
          </cell>
          <cell r="O39">
            <v>0.98240000000000005</v>
          </cell>
          <cell r="P39">
            <v>0.98619999999999997</v>
          </cell>
          <cell r="Q39">
            <v>0.98619999999999997</v>
          </cell>
          <cell r="R39">
            <v>0.98619999999999997</v>
          </cell>
          <cell r="S39">
            <v>0.98619999999999997</v>
          </cell>
          <cell r="T39">
            <v>0.98619999999999997</v>
          </cell>
          <cell r="U39">
            <v>0.98619999999999997</v>
          </cell>
          <cell r="V39">
            <v>0.98619999999999997</v>
          </cell>
        </row>
        <row r="40">
          <cell r="A40">
            <v>39</v>
          </cell>
          <cell r="B40">
            <v>0.97850000000000004</v>
          </cell>
          <cell r="C40">
            <v>0.97850000000000004</v>
          </cell>
          <cell r="D40">
            <v>0.9758</v>
          </cell>
          <cell r="E40">
            <v>0.97470000000000001</v>
          </cell>
          <cell r="F40">
            <v>0.97140000000000004</v>
          </cell>
          <cell r="G40">
            <v>0.97130000000000005</v>
          </cell>
          <cell r="H40">
            <v>0.96789999999999998</v>
          </cell>
          <cell r="I40">
            <v>0.96919999999999995</v>
          </cell>
          <cell r="J40">
            <v>0.97089999999999999</v>
          </cell>
          <cell r="K40">
            <v>0.97140000000000004</v>
          </cell>
          <cell r="L40">
            <v>0.97309999999999997</v>
          </cell>
          <cell r="M40">
            <v>0.97350000000000003</v>
          </cell>
          <cell r="N40">
            <v>0.97540000000000004</v>
          </cell>
          <cell r="O40">
            <v>0.97750000000000004</v>
          </cell>
          <cell r="P40">
            <v>0.98150000000000004</v>
          </cell>
          <cell r="Q40">
            <v>0.98150000000000004</v>
          </cell>
          <cell r="R40">
            <v>0.98150000000000004</v>
          </cell>
          <cell r="S40">
            <v>0.98150000000000004</v>
          </cell>
          <cell r="T40">
            <v>0.98150000000000004</v>
          </cell>
          <cell r="U40">
            <v>0.98150000000000004</v>
          </cell>
          <cell r="V40">
            <v>0.98150000000000004</v>
          </cell>
        </row>
        <row r="41">
          <cell r="A41">
            <v>40</v>
          </cell>
          <cell r="B41">
            <v>0.97340000000000004</v>
          </cell>
          <cell r="C41">
            <v>0.97340000000000004</v>
          </cell>
          <cell r="D41">
            <v>0.97060000000000002</v>
          </cell>
          <cell r="E41">
            <v>0.96950000000000003</v>
          </cell>
          <cell r="F41">
            <v>0.96599999999999997</v>
          </cell>
          <cell r="G41">
            <v>0.96589999999999998</v>
          </cell>
          <cell r="H41">
            <v>0.96230000000000004</v>
          </cell>
          <cell r="I41">
            <v>0.96360000000000001</v>
          </cell>
          <cell r="J41">
            <v>0.96530000000000005</v>
          </cell>
          <cell r="K41">
            <v>0.96579999999999999</v>
          </cell>
          <cell r="L41">
            <v>0.96750000000000003</v>
          </cell>
          <cell r="M41">
            <v>0.96789999999999998</v>
          </cell>
          <cell r="N41">
            <v>0.96989999999999998</v>
          </cell>
          <cell r="O41">
            <v>0.97199999999999998</v>
          </cell>
          <cell r="P41">
            <v>0.97619999999999996</v>
          </cell>
          <cell r="Q41">
            <v>0.97619999999999996</v>
          </cell>
          <cell r="R41">
            <v>0.97619999999999996</v>
          </cell>
          <cell r="S41">
            <v>0.97619999999999996</v>
          </cell>
          <cell r="T41">
            <v>0.97619999999999996</v>
          </cell>
          <cell r="U41">
            <v>0.97619999999999996</v>
          </cell>
          <cell r="V41">
            <v>0.97619999999999996</v>
          </cell>
        </row>
        <row r="42">
          <cell r="A42">
            <v>41</v>
          </cell>
          <cell r="B42">
            <v>0.96779999999999999</v>
          </cell>
          <cell r="C42">
            <v>0.96779999999999999</v>
          </cell>
          <cell r="D42">
            <v>0.96479999999999999</v>
          </cell>
          <cell r="E42">
            <v>0.9637</v>
          </cell>
          <cell r="F42">
            <v>0.96009999999999995</v>
          </cell>
          <cell r="G42">
            <v>0.96</v>
          </cell>
          <cell r="H42">
            <v>0.95630000000000004</v>
          </cell>
          <cell r="I42">
            <v>0.95760000000000001</v>
          </cell>
          <cell r="J42">
            <v>0.95920000000000005</v>
          </cell>
          <cell r="K42">
            <v>0.9597</v>
          </cell>
          <cell r="L42">
            <v>0.96140000000000003</v>
          </cell>
          <cell r="M42">
            <v>0.96179999999999999</v>
          </cell>
          <cell r="N42">
            <v>0.96379999999999999</v>
          </cell>
          <cell r="O42">
            <v>0.96589999999999998</v>
          </cell>
          <cell r="P42">
            <v>0.97019999999999995</v>
          </cell>
          <cell r="Q42">
            <v>0.97019999999999995</v>
          </cell>
          <cell r="R42">
            <v>0.97019999999999995</v>
          </cell>
          <cell r="S42">
            <v>0.97019999999999995</v>
          </cell>
          <cell r="T42">
            <v>0.97019999999999995</v>
          </cell>
          <cell r="U42">
            <v>0.97019999999999995</v>
          </cell>
          <cell r="V42">
            <v>0.97019999999999995</v>
          </cell>
        </row>
        <row r="43">
          <cell r="A43">
            <v>42</v>
          </cell>
          <cell r="B43">
            <v>0.96160000000000001</v>
          </cell>
          <cell r="C43">
            <v>0.96160000000000001</v>
          </cell>
          <cell r="D43">
            <v>0.95860000000000001</v>
          </cell>
          <cell r="E43">
            <v>0.95740000000000003</v>
          </cell>
          <cell r="F43">
            <v>0.95369999999999999</v>
          </cell>
          <cell r="G43">
            <v>0.9536</v>
          </cell>
          <cell r="H43">
            <v>0.94989999999999997</v>
          </cell>
          <cell r="I43">
            <v>0.95109999999999995</v>
          </cell>
          <cell r="J43">
            <v>0.95269999999999999</v>
          </cell>
          <cell r="K43">
            <v>0.95320000000000005</v>
          </cell>
          <cell r="L43">
            <v>0.95479999999999998</v>
          </cell>
          <cell r="M43">
            <v>0.95520000000000005</v>
          </cell>
          <cell r="N43">
            <v>0.95709999999999995</v>
          </cell>
          <cell r="O43">
            <v>0.95930000000000004</v>
          </cell>
          <cell r="P43">
            <v>0.96350000000000002</v>
          </cell>
          <cell r="Q43">
            <v>0.96350000000000002</v>
          </cell>
          <cell r="R43">
            <v>0.96350000000000002</v>
          </cell>
          <cell r="S43">
            <v>0.96350000000000002</v>
          </cell>
          <cell r="T43">
            <v>0.96350000000000002</v>
          </cell>
          <cell r="U43">
            <v>0.96350000000000002</v>
          </cell>
          <cell r="V43">
            <v>0.96350000000000002</v>
          </cell>
        </row>
        <row r="44">
          <cell r="A44">
            <v>43</v>
          </cell>
          <cell r="B44">
            <v>0.95489999999999997</v>
          </cell>
          <cell r="C44">
            <v>0.95489999999999997</v>
          </cell>
          <cell r="D44">
            <v>0.95179999999999998</v>
          </cell>
          <cell r="E44">
            <v>0.9506</v>
          </cell>
          <cell r="F44">
            <v>0.94679999999999997</v>
          </cell>
          <cell r="G44">
            <v>0.94669999999999999</v>
          </cell>
          <cell r="H44">
            <v>0.94289999999999996</v>
          </cell>
          <cell r="I44">
            <v>0.94410000000000005</v>
          </cell>
          <cell r="J44">
            <v>0.9456</v>
          </cell>
          <cell r="K44">
            <v>0.94610000000000005</v>
          </cell>
          <cell r="L44">
            <v>0.9476</v>
          </cell>
          <cell r="M44">
            <v>0.94799999999999995</v>
          </cell>
          <cell r="N44">
            <v>0.94989999999999997</v>
          </cell>
          <cell r="O44">
            <v>0.95199999999999996</v>
          </cell>
          <cell r="P44">
            <v>0.95620000000000005</v>
          </cell>
          <cell r="Q44">
            <v>0.95620000000000005</v>
          </cell>
          <cell r="R44">
            <v>0.95620000000000005</v>
          </cell>
          <cell r="S44">
            <v>0.95620000000000005</v>
          </cell>
          <cell r="T44">
            <v>0.95620000000000005</v>
          </cell>
          <cell r="U44">
            <v>0.95620000000000005</v>
          </cell>
          <cell r="V44">
            <v>0.95620000000000005</v>
          </cell>
        </row>
        <row r="45">
          <cell r="A45">
            <v>44</v>
          </cell>
          <cell r="B45">
            <v>0.9476</v>
          </cell>
          <cell r="C45">
            <v>0.9476</v>
          </cell>
          <cell r="D45">
            <v>0.94450000000000001</v>
          </cell>
          <cell r="E45">
            <v>0.94330000000000003</v>
          </cell>
          <cell r="F45">
            <v>0.9395</v>
          </cell>
          <cell r="G45">
            <v>0.93940000000000001</v>
          </cell>
          <cell r="H45">
            <v>0.93559999999999999</v>
          </cell>
          <cell r="I45">
            <v>0.93669999999999998</v>
          </cell>
          <cell r="J45">
            <v>0.93810000000000004</v>
          </cell>
          <cell r="K45">
            <v>0.9385</v>
          </cell>
          <cell r="L45">
            <v>0.93989999999999996</v>
          </cell>
          <cell r="M45">
            <v>0.94030000000000002</v>
          </cell>
          <cell r="N45">
            <v>0.94210000000000005</v>
          </cell>
          <cell r="O45">
            <v>0.94410000000000005</v>
          </cell>
          <cell r="P45">
            <v>0.94820000000000004</v>
          </cell>
          <cell r="Q45">
            <v>0.94820000000000004</v>
          </cell>
          <cell r="R45">
            <v>0.94820000000000004</v>
          </cell>
          <cell r="S45">
            <v>0.94820000000000004</v>
          </cell>
          <cell r="T45">
            <v>0.94820000000000004</v>
          </cell>
          <cell r="U45">
            <v>0.94820000000000004</v>
          </cell>
          <cell r="V45">
            <v>0.94820000000000004</v>
          </cell>
        </row>
        <row r="46">
          <cell r="A46">
            <v>45</v>
          </cell>
          <cell r="B46">
            <v>0.93979999999999997</v>
          </cell>
          <cell r="C46">
            <v>0.93979999999999997</v>
          </cell>
          <cell r="D46">
            <v>0.93669999999999998</v>
          </cell>
          <cell r="E46">
            <v>0.9355</v>
          </cell>
          <cell r="F46">
            <v>0.93169999999999997</v>
          </cell>
          <cell r="G46">
            <v>0.93159999999999998</v>
          </cell>
          <cell r="H46">
            <v>0.92779999999999996</v>
          </cell>
          <cell r="I46">
            <v>0.92879999999999996</v>
          </cell>
          <cell r="J46">
            <v>0.93</v>
          </cell>
          <cell r="K46">
            <v>0.9304</v>
          </cell>
          <cell r="L46">
            <v>0.93179999999999996</v>
          </cell>
          <cell r="M46">
            <v>0.93210000000000004</v>
          </cell>
          <cell r="N46">
            <v>0.93379999999999996</v>
          </cell>
          <cell r="O46">
            <v>0.93569999999999998</v>
          </cell>
          <cell r="P46">
            <v>0.9395</v>
          </cell>
          <cell r="Q46">
            <v>0.9395</v>
          </cell>
          <cell r="R46">
            <v>0.9395</v>
          </cell>
          <cell r="S46">
            <v>0.9395</v>
          </cell>
          <cell r="T46">
            <v>0.9395</v>
          </cell>
          <cell r="U46">
            <v>0.9395</v>
          </cell>
          <cell r="V46">
            <v>0.9395</v>
          </cell>
        </row>
        <row r="47">
          <cell r="A47">
            <v>46</v>
          </cell>
          <cell r="B47">
            <v>0.93140000000000001</v>
          </cell>
          <cell r="C47">
            <v>0.93140000000000001</v>
          </cell>
          <cell r="D47">
            <v>0.9284</v>
          </cell>
          <cell r="E47">
            <v>0.92720000000000002</v>
          </cell>
          <cell r="F47">
            <v>0.9234</v>
          </cell>
          <cell r="G47">
            <v>0.92330000000000001</v>
          </cell>
          <cell r="H47">
            <v>0.91949999999999998</v>
          </cell>
          <cell r="I47">
            <v>0.9204</v>
          </cell>
          <cell r="J47">
            <v>0.92149999999999999</v>
          </cell>
          <cell r="K47">
            <v>0.92190000000000005</v>
          </cell>
          <cell r="L47">
            <v>0.92300000000000004</v>
          </cell>
          <cell r="M47">
            <v>0.92330000000000001</v>
          </cell>
          <cell r="N47">
            <v>0.92490000000000006</v>
          </cell>
          <cell r="O47">
            <v>0.92659999999999998</v>
          </cell>
          <cell r="P47">
            <v>0.93010000000000004</v>
          </cell>
          <cell r="Q47">
            <v>0.93010000000000004</v>
          </cell>
          <cell r="R47">
            <v>0.93010000000000004</v>
          </cell>
          <cell r="S47">
            <v>0.93010000000000004</v>
          </cell>
          <cell r="T47">
            <v>0.93010000000000004</v>
          </cell>
          <cell r="U47">
            <v>0.93010000000000004</v>
          </cell>
          <cell r="V47">
            <v>0.93010000000000004</v>
          </cell>
        </row>
        <row r="48">
          <cell r="A48">
            <v>47</v>
          </cell>
          <cell r="B48">
            <v>0.92249999999999999</v>
          </cell>
          <cell r="C48">
            <v>0.92249999999999999</v>
          </cell>
          <cell r="D48">
            <v>0.91949999999999998</v>
          </cell>
          <cell r="E48">
            <v>0.91839999999999999</v>
          </cell>
          <cell r="F48">
            <v>0.91469999999999996</v>
          </cell>
          <cell r="G48">
            <v>0.91459999999999997</v>
          </cell>
          <cell r="H48">
            <v>0.91090000000000004</v>
          </cell>
          <cell r="I48">
            <v>0.91159999999999997</v>
          </cell>
          <cell r="J48">
            <v>0.91249999999999998</v>
          </cell>
          <cell r="K48">
            <v>0.91279999999999994</v>
          </cell>
          <cell r="L48">
            <v>0.91379999999999995</v>
          </cell>
          <cell r="M48">
            <v>0.91400000000000003</v>
          </cell>
          <cell r="N48">
            <v>0.91539999999999999</v>
          </cell>
          <cell r="O48">
            <v>0.91690000000000005</v>
          </cell>
          <cell r="P48">
            <v>0.92</v>
          </cell>
          <cell r="Q48">
            <v>0.92</v>
          </cell>
          <cell r="R48">
            <v>0.92</v>
          </cell>
          <cell r="S48">
            <v>0.92</v>
          </cell>
          <cell r="T48">
            <v>0.92</v>
          </cell>
          <cell r="U48">
            <v>0.92</v>
          </cell>
          <cell r="V48">
            <v>0.92</v>
          </cell>
        </row>
        <row r="49">
          <cell r="A49">
            <v>48</v>
          </cell>
          <cell r="B49">
            <v>0.91310000000000002</v>
          </cell>
          <cell r="C49">
            <v>0.91310000000000002</v>
          </cell>
          <cell r="D49">
            <v>0.91020000000000001</v>
          </cell>
          <cell r="E49">
            <v>0.90910000000000002</v>
          </cell>
          <cell r="F49">
            <v>0.90549999999999997</v>
          </cell>
          <cell r="G49">
            <v>0.90539999999999998</v>
          </cell>
          <cell r="H49">
            <v>0.90169999999999995</v>
          </cell>
          <cell r="I49">
            <v>0.90229999999999999</v>
          </cell>
          <cell r="J49">
            <v>0.90300000000000002</v>
          </cell>
          <cell r="K49">
            <v>0.90329999999999999</v>
          </cell>
          <cell r="L49">
            <v>0.90400000000000003</v>
          </cell>
          <cell r="M49">
            <v>0.9042</v>
          </cell>
          <cell r="N49">
            <v>0.90539999999999998</v>
          </cell>
          <cell r="O49">
            <v>0.90669999999999995</v>
          </cell>
          <cell r="P49">
            <v>0.9093</v>
          </cell>
          <cell r="Q49">
            <v>0.9093</v>
          </cell>
          <cell r="R49">
            <v>0.9093</v>
          </cell>
          <cell r="S49">
            <v>0.9093</v>
          </cell>
          <cell r="T49">
            <v>0.9093</v>
          </cell>
          <cell r="U49">
            <v>0.9093</v>
          </cell>
          <cell r="V49">
            <v>0.9093</v>
          </cell>
        </row>
        <row r="50">
          <cell r="A50">
            <v>49</v>
          </cell>
          <cell r="B50">
            <v>0.90339999999999998</v>
          </cell>
          <cell r="C50">
            <v>0.90339999999999998</v>
          </cell>
          <cell r="D50">
            <v>0.90049999999999997</v>
          </cell>
          <cell r="E50">
            <v>0.89929999999999999</v>
          </cell>
          <cell r="F50">
            <v>0.89580000000000004</v>
          </cell>
          <cell r="G50">
            <v>0.89570000000000005</v>
          </cell>
          <cell r="H50">
            <v>0.8921</v>
          </cell>
          <cell r="I50">
            <v>0.89249999999999996</v>
          </cell>
          <cell r="J50">
            <v>0.89300000000000002</v>
          </cell>
          <cell r="K50">
            <v>0.89319999999999999</v>
          </cell>
          <cell r="L50">
            <v>0.89380000000000004</v>
          </cell>
          <cell r="M50">
            <v>0.89390000000000003</v>
          </cell>
          <cell r="N50">
            <v>0.89490000000000003</v>
          </cell>
          <cell r="O50">
            <v>0.89600000000000002</v>
          </cell>
          <cell r="P50">
            <v>0.8982</v>
          </cell>
          <cell r="Q50">
            <v>0.8982</v>
          </cell>
          <cell r="R50">
            <v>0.8982</v>
          </cell>
          <cell r="S50">
            <v>0.8982</v>
          </cell>
          <cell r="T50">
            <v>0.8982</v>
          </cell>
          <cell r="U50">
            <v>0.8982</v>
          </cell>
          <cell r="V50">
            <v>0.8982</v>
          </cell>
        </row>
        <row r="51">
          <cell r="A51">
            <v>50</v>
          </cell>
          <cell r="B51">
            <v>0.89370000000000005</v>
          </cell>
          <cell r="C51">
            <v>0.89370000000000005</v>
          </cell>
          <cell r="D51">
            <v>0.89070000000000005</v>
          </cell>
          <cell r="E51">
            <v>0.88949999999999996</v>
          </cell>
          <cell r="F51">
            <v>0.88590000000000002</v>
          </cell>
          <cell r="G51">
            <v>0.88580000000000003</v>
          </cell>
          <cell r="H51">
            <v>0.88219999999999998</v>
          </cell>
          <cell r="I51">
            <v>0.88249999999999995</v>
          </cell>
          <cell r="J51">
            <v>0.88280000000000003</v>
          </cell>
          <cell r="K51">
            <v>0.88300000000000001</v>
          </cell>
          <cell r="L51">
            <v>0.88339999999999996</v>
          </cell>
          <cell r="M51">
            <v>0.88349999999999995</v>
          </cell>
          <cell r="N51">
            <v>0.88429999999999997</v>
          </cell>
          <cell r="O51">
            <v>0.88519999999999999</v>
          </cell>
          <cell r="P51">
            <v>0.88719999999999999</v>
          </cell>
          <cell r="Q51">
            <v>0.88719999999999999</v>
          </cell>
          <cell r="R51">
            <v>0.88719999999999999</v>
          </cell>
          <cell r="S51">
            <v>0.88719999999999999</v>
          </cell>
          <cell r="T51">
            <v>0.88719999999999999</v>
          </cell>
          <cell r="U51">
            <v>0.88719999999999999</v>
          </cell>
          <cell r="V51">
            <v>0.88719999999999999</v>
          </cell>
        </row>
        <row r="52">
          <cell r="A52">
            <v>51</v>
          </cell>
          <cell r="B52">
            <v>0.88400000000000001</v>
          </cell>
          <cell r="C52">
            <v>0.88400000000000001</v>
          </cell>
          <cell r="D52">
            <v>0.88090000000000002</v>
          </cell>
          <cell r="E52">
            <v>0.87980000000000003</v>
          </cell>
          <cell r="F52">
            <v>0.87609999999999999</v>
          </cell>
          <cell r="G52">
            <v>0.876</v>
          </cell>
          <cell r="H52">
            <v>0.87229999999999996</v>
          </cell>
          <cell r="I52">
            <v>0.87239999999999995</v>
          </cell>
          <cell r="J52">
            <v>0.87270000000000003</v>
          </cell>
          <cell r="K52">
            <v>0.87270000000000003</v>
          </cell>
          <cell r="L52">
            <v>0.873</v>
          </cell>
          <cell r="M52">
            <v>0.87309999999999999</v>
          </cell>
          <cell r="N52">
            <v>0.87370000000000003</v>
          </cell>
          <cell r="O52">
            <v>0.87450000000000006</v>
          </cell>
          <cell r="P52">
            <v>0.87609999999999999</v>
          </cell>
          <cell r="Q52">
            <v>0.87609999999999999</v>
          </cell>
          <cell r="R52">
            <v>0.87609999999999999</v>
          </cell>
          <cell r="S52">
            <v>0.87609999999999999</v>
          </cell>
          <cell r="T52">
            <v>0.87609999999999999</v>
          </cell>
          <cell r="U52">
            <v>0.87609999999999999</v>
          </cell>
          <cell r="V52">
            <v>0.87609999999999999</v>
          </cell>
        </row>
        <row r="53">
          <cell r="A53">
            <v>52</v>
          </cell>
          <cell r="B53">
            <v>0.87429999999999997</v>
          </cell>
          <cell r="C53">
            <v>0.87429999999999997</v>
          </cell>
          <cell r="D53">
            <v>0.87119999999999997</v>
          </cell>
          <cell r="E53">
            <v>0.87</v>
          </cell>
          <cell r="F53">
            <v>0.86619999999999997</v>
          </cell>
          <cell r="G53">
            <v>0.86609999999999998</v>
          </cell>
          <cell r="H53">
            <v>0.86229999999999996</v>
          </cell>
          <cell r="I53">
            <v>0.86240000000000006</v>
          </cell>
          <cell r="J53">
            <v>0.86250000000000004</v>
          </cell>
          <cell r="K53">
            <v>0.86250000000000004</v>
          </cell>
          <cell r="L53">
            <v>0.86270000000000002</v>
          </cell>
          <cell r="M53">
            <v>0.86270000000000002</v>
          </cell>
          <cell r="N53">
            <v>0.86319999999999997</v>
          </cell>
          <cell r="O53">
            <v>0.86370000000000002</v>
          </cell>
          <cell r="P53">
            <v>0.86509999999999998</v>
          </cell>
          <cell r="Q53">
            <v>0.86509999999999998</v>
          </cell>
          <cell r="R53">
            <v>0.86509999999999998</v>
          </cell>
          <cell r="S53">
            <v>0.86509999999999998</v>
          </cell>
          <cell r="T53">
            <v>0.86509999999999998</v>
          </cell>
          <cell r="U53">
            <v>0.86509999999999998</v>
          </cell>
          <cell r="V53">
            <v>0.86509999999999998</v>
          </cell>
        </row>
        <row r="54">
          <cell r="A54">
            <v>53</v>
          </cell>
          <cell r="B54">
            <v>0.86450000000000005</v>
          </cell>
          <cell r="C54">
            <v>0.86450000000000005</v>
          </cell>
          <cell r="D54">
            <v>0.86140000000000005</v>
          </cell>
          <cell r="E54">
            <v>0.86019999999999996</v>
          </cell>
          <cell r="F54">
            <v>0.85629999999999995</v>
          </cell>
          <cell r="G54">
            <v>0.85619999999999996</v>
          </cell>
          <cell r="H54">
            <v>0.85240000000000005</v>
          </cell>
          <cell r="I54">
            <v>0.85229999999999995</v>
          </cell>
          <cell r="J54">
            <v>0.85229999999999995</v>
          </cell>
          <cell r="K54">
            <v>0.85229999999999995</v>
          </cell>
          <cell r="L54">
            <v>0.85229999999999995</v>
          </cell>
          <cell r="M54">
            <v>0.85229999999999995</v>
          </cell>
          <cell r="N54">
            <v>0.85260000000000002</v>
          </cell>
          <cell r="O54">
            <v>0.85299999999999998</v>
          </cell>
          <cell r="P54">
            <v>0.85399999999999998</v>
          </cell>
          <cell r="Q54">
            <v>0.85399999999999998</v>
          </cell>
          <cell r="R54">
            <v>0.85399999999999998</v>
          </cell>
          <cell r="S54">
            <v>0.85399999999999998</v>
          </cell>
          <cell r="T54">
            <v>0.85399999999999998</v>
          </cell>
          <cell r="U54">
            <v>0.85399999999999998</v>
          </cell>
          <cell r="V54">
            <v>0.85399999999999998</v>
          </cell>
        </row>
        <row r="55">
          <cell r="A55">
            <v>54</v>
          </cell>
          <cell r="B55">
            <v>0.8548</v>
          </cell>
          <cell r="C55">
            <v>0.8548</v>
          </cell>
          <cell r="D55">
            <v>0.85160000000000002</v>
          </cell>
          <cell r="E55">
            <v>0.85040000000000004</v>
          </cell>
          <cell r="F55">
            <v>0.84650000000000003</v>
          </cell>
          <cell r="G55">
            <v>0.84640000000000004</v>
          </cell>
          <cell r="H55">
            <v>0.84250000000000003</v>
          </cell>
          <cell r="I55">
            <v>0.84230000000000005</v>
          </cell>
          <cell r="J55">
            <v>0.84209999999999996</v>
          </cell>
          <cell r="K55">
            <v>0.84199999999999997</v>
          </cell>
          <cell r="L55">
            <v>0.84189999999999998</v>
          </cell>
          <cell r="M55">
            <v>0.84189999999999998</v>
          </cell>
          <cell r="N55">
            <v>0.84199999999999997</v>
          </cell>
          <cell r="O55">
            <v>0.84230000000000005</v>
          </cell>
          <cell r="P55">
            <v>0.84289999999999998</v>
          </cell>
          <cell r="Q55">
            <v>0.84289999999999998</v>
          </cell>
          <cell r="R55">
            <v>0.84289999999999998</v>
          </cell>
          <cell r="S55">
            <v>0.84289999999999998</v>
          </cell>
          <cell r="T55">
            <v>0.84289999999999998</v>
          </cell>
          <cell r="U55">
            <v>0.84289999999999998</v>
          </cell>
          <cell r="V55">
            <v>0.84289999999999998</v>
          </cell>
        </row>
        <row r="56">
          <cell r="A56">
            <v>55</v>
          </cell>
          <cell r="B56">
            <v>0.84509999999999996</v>
          </cell>
          <cell r="C56">
            <v>0.84509999999999996</v>
          </cell>
          <cell r="D56">
            <v>0.84179999999999999</v>
          </cell>
          <cell r="E56">
            <v>0.84060000000000001</v>
          </cell>
          <cell r="F56">
            <v>0.83660000000000001</v>
          </cell>
          <cell r="G56">
            <v>0.83650000000000002</v>
          </cell>
          <cell r="H56">
            <v>0.83250000000000002</v>
          </cell>
          <cell r="I56">
            <v>0.83220000000000005</v>
          </cell>
          <cell r="J56">
            <v>0.83189999999999997</v>
          </cell>
          <cell r="K56">
            <v>0.83179999999999998</v>
          </cell>
          <cell r="L56">
            <v>0.83160000000000001</v>
          </cell>
          <cell r="M56">
            <v>0.83150000000000002</v>
          </cell>
          <cell r="N56">
            <v>0.83150000000000002</v>
          </cell>
          <cell r="O56">
            <v>0.83150000000000002</v>
          </cell>
          <cell r="P56">
            <v>0.83189999999999997</v>
          </cell>
          <cell r="Q56">
            <v>0.83189999999999997</v>
          </cell>
          <cell r="R56">
            <v>0.83189999999999997</v>
          </cell>
          <cell r="S56">
            <v>0.83189999999999997</v>
          </cell>
          <cell r="T56">
            <v>0.83189999999999997</v>
          </cell>
          <cell r="U56">
            <v>0.83189999999999997</v>
          </cell>
          <cell r="V56">
            <v>0.83189999999999997</v>
          </cell>
        </row>
        <row r="57">
          <cell r="A57">
            <v>56</v>
          </cell>
          <cell r="B57">
            <v>0.83540000000000003</v>
          </cell>
          <cell r="C57">
            <v>0.83540000000000003</v>
          </cell>
          <cell r="D57">
            <v>0.83209999999999995</v>
          </cell>
          <cell r="E57">
            <v>0.83079999999999998</v>
          </cell>
          <cell r="F57">
            <v>0.82679999999999998</v>
          </cell>
          <cell r="G57">
            <v>0.8266</v>
          </cell>
          <cell r="H57">
            <v>0.8226</v>
          </cell>
          <cell r="I57">
            <v>0.82220000000000004</v>
          </cell>
          <cell r="J57">
            <v>0.82169999999999999</v>
          </cell>
          <cell r="K57">
            <v>0.8216</v>
          </cell>
          <cell r="L57">
            <v>0.82120000000000004</v>
          </cell>
          <cell r="M57">
            <v>0.82110000000000005</v>
          </cell>
          <cell r="N57">
            <v>0.82089999999999996</v>
          </cell>
          <cell r="O57">
            <v>0.82079999999999997</v>
          </cell>
          <cell r="P57">
            <v>0.82079999999999997</v>
          </cell>
          <cell r="Q57">
            <v>0.82079999999999997</v>
          </cell>
          <cell r="R57">
            <v>0.82079999999999997</v>
          </cell>
          <cell r="S57">
            <v>0.82079999999999997</v>
          </cell>
          <cell r="T57">
            <v>0.82079999999999997</v>
          </cell>
          <cell r="U57">
            <v>0.82079999999999997</v>
          </cell>
          <cell r="V57">
            <v>0.82079999999999997</v>
          </cell>
        </row>
        <row r="58">
          <cell r="A58">
            <v>57</v>
          </cell>
          <cell r="B58">
            <v>0.82569999999999999</v>
          </cell>
          <cell r="C58">
            <v>0.82569999999999999</v>
          </cell>
          <cell r="D58">
            <v>0.82230000000000003</v>
          </cell>
          <cell r="E58">
            <v>0.82099999999999995</v>
          </cell>
          <cell r="F58">
            <v>0.81689999999999996</v>
          </cell>
          <cell r="G58">
            <v>0.81679999999999997</v>
          </cell>
          <cell r="H58">
            <v>0.81259999999999999</v>
          </cell>
          <cell r="I58">
            <v>0.81210000000000004</v>
          </cell>
          <cell r="J58">
            <v>0.8115</v>
          </cell>
          <cell r="K58">
            <v>0.81130000000000002</v>
          </cell>
          <cell r="L58">
            <v>0.81079999999999997</v>
          </cell>
          <cell r="M58">
            <v>0.81069999999999998</v>
          </cell>
          <cell r="N58">
            <v>0.81040000000000001</v>
          </cell>
          <cell r="O58">
            <v>0.81010000000000004</v>
          </cell>
          <cell r="P58">
            <v>0.80979999999999996</v>
          </cell>
          <cell r="Q58">
            <v>0.80979999999999996</v>
          </cell>
          <cell r="R58">
            <v>0.80979999999999996</v>
          </cell>
          <cell r="S58">
            <v>0.80979999999999996</v>
          </cell>
          <cell r="T58">
            <v>0.80979999999999996</v>
          </cell>
          <cell r="U58">
            <v>0.80979999999999996</v>
          </cell>
          <cell r="V58">
            <v>0.80979999999999996</v>
          </cell>
        </row>
        <row r="59">
          <cell r="A59">
            <v>58</v>
          </cell>
          <cell r="B59">
            <v>0.81599999999999995</v>
          </cell>
          <cell r="C59">
            <v>0.81599999999999995</v>
          </cell>
          <cell r="D59">
            <v>0.8125</v>
          </cell>
          <cell r="E59">
            <v>0.81120000000000003</v>
          </cell>
          <cell r="F59">
            <v>0.80700000000000005</v>
          </cell>
          <cell r="G59">
            <v>0.80689999999999995</v>
          </cell>
          <cell r="H59">
            <v>0.80269999999999997</v>
          </cell>
          <cell r="I59">
            <v>0.80210000000000004</v>
          </cell>
          <cell r="J59">
            <v>0.80130000000000001</v>
          </cell>
          <cell r="K59">
            <v>0.80110000000000003</v>
          </cell>
          <cell r="L59">
            <v>0.80049999999999999</v>
          </cell>
          <cell r="M59">
            <v>0.80030000000000001</v>
          </cell>
          <cell r="N59">
            <v>0.79979999999999996</v>
          </cell>
          <cell r="O59">
            <v>0.79930000000000001</v>
          </cell>
          <cell r="P59">
            <v>0.79869999999999997</v>
          </cell>
          <cell r="Q59">
            <v>0.79869999999999997</v>
          </cell>
          <cell r="R59">
            <v>0.79869999999999997</v>
          </cell>
          <cell r="S59">
            <v>0.79869999999999997</v>
          </cell>
          <cell r="T59">
            <v>0.79869999999999997</v>
          </cell>
          <cell r="U59">
            <v>0.79869999999999997</v>
          </cell>
          <cell r="V59">
            <v>0.79869999999999997</v>
          </cell>
        </row>
        <row r="60">
          <cell r="A60">
            <v>59</v>
          </cell>
          <cell r="B60">
            <v>0.80630000000000002</v>
          </cell>
          <cell r="C60">
            <v>0.80630000000000002</v>
          </cell>
          <cell r="D60">
            <v>0.80279999999999996</v>
          </cell>
          <cell r="E60">
            <v>0.8014</v>
          </cell>
          <cell r="F60">
            <v>0.79720000000000002</v>
          </cell>
          <cell r="G60">
            <v>0.79700000000000004</v>
          </cell>
          <cell r="H60">
            <v>0.79279999999999995</v>
          </cell>
          <cell r="I60">
            <v>0.79200000000000004</v>
          </cell>
          <cell r="J60">
            <v>0.79110000000000003</v>
          </cell>
          <cell r="K60">
            <v>0.79090000000000005</v>
          </cell>
          <cell r="L60">
            <v>0.79010000000000002</v>
          </cell>
          <cell r="M60">
            <v>0.78990000000000005</v>
          </cell>
          <cell r="N60">
            <v>0.78920000000000001</v>
          </cell>
          <cell r="O60">
            <v>0.78859999999999997</v>
          </cell>
          <cell r="P60">
            <v>0.78759999999999997</v>
          </cell>
          <cell r="Q60">
            <v>0.78759999999999997</v>
          </cell>
          <cell r="R60">
            <v>0.78759999999999997</v>
          </cell>
          <cell r="S60">
            <v>0.78759999999999997</v>
          </cell>
          <cell r="T60">
            <v>0.78759999999999997</v>
          </cell>
          <cell r="U60">
            <v>0.78759999999999997</v>
          </cell>
          <cell r="V60">
            <v>0.78759999999999997</v>
          </cell>
        </row>
        <row r="61">
          <cell r="A61">
            <v>60</v>
          </cell>
          <cell r="B61">
            <v>0.79659999999999997</v>
          </cell>
          <cell r="C61">
            <v>0.79659999999999997</v>
          </cell>
          <cell r="D61">
            <v>0.79300000000000004</v>
          </cell>
          <cell r="E61">
            <v>0.79159999999999997</v>
          </cell>
          <cell r="F61">
            <v>0.7873</v>
          </cell>
          <cell r="G61">
            <v>0.78720000000000001</v>
          </cell>
          <cell r="H61">
            <v>0.78280000000000005</v>
          </cell>
          <cell r="I61">
            <v>0.78200000000000003</v>
          </cell>
          <cell r="J61">
            <v>0.78090000000000004</v>
          </cell>
          <cell r="K61">
            <v>0.78059999999999996</v>
          </cell>
          <cell r="L61">
            <v>0.77969999999999995</v>
          </cell>
          <cell r="M61">
            <v>0.77949999999999997</v>
          </cell>
          <cell r="N61">
            <v>0.77869999999999995</v>
          </cell>
          <cell r="O61">
            <v>0.77790000000000004</v>
          </cell>
          <cell r="P61">
            <v>0.77659999999999996</v>
          </cell>
          <cell r="Q61">
            <v>0.77659999999999996</v>
          </cell>
          <cell r="R61">
            <v>0.77659999999999996</v>
          </cell>
          <cell r="S61">
            <v>0.77659999999999996</v>
          </cell>
          <cell r="T61">
            <v>0.77659999999999996</v>
          </cell>
          <cell r="U61">
            <v>0.77659999999999996</v>
          </cell>
          <cell r="V61">
            <v>0.77659999999999996</v>
          </cell>
        </row>
        <row r="62">
          <cell r="A62">
            <v>61</v>
          </cell>
          <cell r="B62">
            <v>0.78690000000000004</v>
          </cell>
          <cell r="C62">
            <v>0.78690000000000004</v>
          </cell>
          <cell r="D62">
            <v>0.78320000000000001</v>
          </cell>
          <cell r="E62">
            <v>0.78180000000000005</v>
          </cell>
          <cell r="F62">
            <v>0.77739999999999998</v>
          </cell>
          <cell r="G62">
            <v>0.77729999999999999</v>
          </cell>
          <cell r="H62">
            <v>0.77290000000000003</v>
          </cell>
          <cell r="I62">
            <v>0.77190000000000003</v>
          </cell>
          <cell r="J62">
            <v>0.77080000000000004</v>
          </cell>
          <cell r="K62">
            <v>0.77039999999999997</v>
          </cell>
          <cell r="L62">
            <v>0.76939999999999997</v>
          </cell>
          <cell r="M62">
            <v>0.76910000000000001</v>
          </cell>
          <cell r="N62">
            <v>0.7681</v>
          </cell>
          <cell r="O62">
            <v>0.7671</v>
          </cell>
          <cell r="P62">
            <v>0.76549999999999996</v>
          </cell>
          <cell r="Q62">
            <v>0.76549999999999996</v>
          </cell>
          <cell r="R62">
            <v>0.76549999999999996</v>
          </cell>
          <cell r="S62">
            <v>0.76549999999999996</v>
          </cell>
          <cell r="T62">
            <v>0.76549999999999996</v>
          </cell>
          <cell r="U62">
            <v>0.76549999999999996</v>
          </cell>
          <cell r="V62">
            <v>0.76549999999999996</v>
          </cell>
        </row>
        <row r="63">
          <cell r="A63">
            <v>62</v>
          </cell>
          <cell r="B63">
            <v>0.7772</v>
          </cell>
          <cell r="C63">
            <v>0.7772</v>
          </cell>
          <cell r="D63">
            <v>0.77349999999999997</v>
          </cell>
          <cell r="E63">
            <v>0.77200000000000002</v>
          </cell>
          <cell r="F63">
            <v>0.76759999999999995</v>
          </cell>
          <cell r="G63">
            <v>0.76739999999999997</v>
          </cell>
          <cell r="H63">
            <v>0.76290000000000002</v>
          </cell>
          <cell r="I63">
            <v>0.76180000000000003</v>
          </cell>
          <cell r="J63">
            <v>0.76060000000000005</v>
          </cell>
          <cell r="K63">
            <v>0.76019999999999999</v>
          </cell>
          <cell r="L63">
            <v>0.75900000000000001</v>
          </cell>
          <cell r="M63">
            <v>0.75870000000000004</v>
          </cell>
          <cell r="N63">
            <v>0.75760000000000005</v>
          </cell>
          <cell r="O63">
            <v>0.75639999999999996</v>
          </cell>
          <cell r="P63">
            <v>0.75449999999999995</v>
          </cell>
          <cell r="Q63">
            <v>0.75449999999999995</v>
          </cell>
          <cell r="R63">
            <v>0.75449999999999995</v>
          </cell>
          <cell r="S63">
            <v>0.75449999999999995</v>
          </cell>
          <cell r="T63">
            <v>0.75449999999999995</v>
          </cell>
          <cell r="U63">
            <v>0.75449999999999995</v>
          </cell>
          <cell r="V63">
            <v>0.75449999999999995</v>
          </cell>
        </row>
        <row r="64">
          <cell r="A64">
            <v>63</v>
          </cell>
          <cell r="B64">
            <v>0.76739999999999997</v>
          </cell>
          <cell r="C64">
            <v>0.76739999999999997</v>
          </cell>
          <cell r="D64">
            <v>0.76370000000000005</v>
          </cell>
          <cell r="E64">
            <v>0.76219999999999999</v>
          </cell>
          <cell r="F64">
            <v>0.75770000000000004</v>
          </cell>
          <cell r="G64">
            <v>0.75760000000000005</v>
          </cell>
          <cell r="H64">
            <v>0.753</v>
          </cell>
          <cell r="I64">
            <v>0.75180000000000002</v>
          </cell>
          <cell r="J64">
            <v>0.75039999999999996</v>
          </cell>
          <cell r="K64">
            <v>0.74990000000000001</v>
          </cell>
          <cell r="L64">
            <v>0.74860000000000004</v>
          </cell>
          <cell r="M64">
            <v>0.74829999999999997</v>
          </cell>
          <cell r="N64">
            <v>0.747</v>
          </cell>
          <cell r="O64">
            <v>0.74570000000000003</v>
          </cell>
          <cell r="P64">
            <v>0.74339999999999995</v>
          </cell>
          <cell r="Q64">
            <v>0.74339999999999995</v>
          </cell>
          <cell r="R64">
            <v>0.74339999999999995</v>
          </cell>
          <cell r="S64">
            <v>0.74339999999999995</v>
          </cell>
          <cell r="T64">
            <v>0.74339999999999995</v>
          </cell>
          <cell r="U64">
            <v>0.74339999999999995</v>
          </cell>
          <cell r="V64">
            <v>0.74339999999999995</v>
          </cell>
        </row>
        <row r="65">
          <cell r="A65">
            <v>64</v>
          </cell>
          <cell r="B65">
            <v>0.75770000000000004</v>
          </cell>
          <cell r="C65">
            <v>0.75770000000000004</v>
          </cell>
          <cell r="D65">
            <v>0.75390000000000001</v>
          </cell>
          <cell r="E65">
            <v>0.75239999999999996</v>
          </cell>
          <cell r="F65">
            <v>0.74780000000000002</v>
          </cell>
          <cell r="G65">
            <v>0.74770000000000003</v>
          </cell>
          <cell r="H65">
            <v>0.74309999999999998</v>
          </cell>
          <cell r="I65">
            <v>0.74170000000000003</v>
          </cell>
          <cell r="J65">
            <v>0.74019999999999997</v>
          </cell>
          <cell r="K65">
            <v>0.73970000000000002</v>
          </cell>
          <cell r="L65">
            <v>0.73829999999999996</v>
          </cell>
          <cell r="M65">
            <v>0.7379</v>
          </cell>
          <cell r="N65">
            <v>0.73640000000000005</v>
          </cell>
          <cell r="O65">
            <v>0.7349</v>
          </cell>
          <cell r="P65">
            <v>0.73229999999999995</v>
          </cell>
          <cell r="Q65">
            <v>0.73229999999999995</v>
          </cell>
          <cell r="R65">
            <v>0.73229999999999995</v>
          </cell>
          <cell r="S65">
            <v>0.73229999999999995</v>
          </cell>
          <cell r="T65">
            <v>0.73229999999999995</v>
          </cell>
          <cell r="U65">
            <v>0.73229999999999995</v>
          </cell>
          <cell r="V65">
            <v>0.73229999999999995</v>
          </cell>
        </row>
        <row r="66">
          <cell r="A66">
            <v>65</v>
          </cell>
          <cell r="B66">
            <v>0.748</v>
          </cell>
          <cell r="C66">
            <v>0.748</v>
          </cell>
          <cell r="D66">
            <v>0.74409999999999998</v>
          </cell>
          <cell r="E66">
            <v>0.74260000000000004</v>
          </cell>
          <cell r="F66">
            <v>0.73799999999999999</v>
          </cell>
          <cell r="G66">
            <v>0.73780000000000001</v>
          </cell>
          <cell r="H66">
            <v>0.73309999999999997</v>
          </cell>
          <cell r="I66">
            <v>0.73170000000000002</v>
          </cell>
          <cell r="J66">
            <v>0.73</v>
          </cell>
          <cell r="K66">
            <v>0.72950000000000004</v>
          </cell>
          <cell r="L66">
            <v>0.72789999999999999</v>
          </cell>
          <cell r="M66">
            <v>0.72750000000000004</v>
          </cell>
          <cell r="N66">
            <v>0.72589999999999999</v>
          </cell>
          <cell r="O66">
            <v>0.72419999999999995</v>
          </cell>
          <cell r="P66">
            <v>0.72130000000000005</v>
          </cell>
          <cell r="Q66">
            <v>0.72130000000000005</v>
          </cell>
          <cell r="R66">
            <v>0.72130000000000005</v>
          </cell>
          <cell r="S66">
            <v>0.72130000000000005</v>
          </cell>
          <cell r="T66">
            <v>0.72130000000000005</v>
          </cell>
          <cell r="U66">
            <v>0.72130000000000005</v>
          </cell>
          <cell r="V66">
            <v>0.72130000000000005</v>
          </cell>
        </row>
        <row r="67">
          <cell r="A67">
            <v>66</v>
          </cell>
          <cell r="B67">
            <v>0.73829999999999996</v>
          </cell>
          <cell r="C67">
            <v>0.73829999999999996</v>
          </cell>
          <cell r="D67">
            <v>0.73440000000000005</v>
          </cell>
          <cell r="E67">
            <v>0.73280000000000001</v>
          </cell>
          <cell r="F67">
            <v>0.72809999999999997</v>
          </cell>
          <cell r="G67">
            <v>0.72799999999999998</v>
          </cell>
          <cell r="H67">
            <v>0.72319999999999995</v>
          </cell>
          <cell r="I67">
            <v>0.72160000000000002</v>
          </cell>
          <cell r="J67">
            <v>0.7198</v>
          </cell>
          <cell r="K67">
            <v>0.71919999999999995</v>
          </cell>
          <cell r="L67">
            <v>0.71750000000000003</v>
          </cell>
          <cell r="M67">
            <v>0.71709999999999996</v>
          </cell>
          <cell r="N67">
            <v>0.71530000000000005</v>
          </cell>
          <cell r="O67">
            <v>0.71350000000000002</v>
          </cell>
          <cell r="P67">
            <v>0.71020000000000005</v>
          </cell>
          <cell r="Q67">
            <v>0.71020000000000005</v>
          </cell>
          <cell r="R67">
            <v>0.71020000000000005</v>
          </cell>
          <cell r="S67">
            <v>0.71020000000000005</v>
          </cell>
          <cell r="T67">
            <v>0.71020000000000005</v>
          </cell>
          <cell r="U67">
            <v>0.71020000000000005</v>
          </cell>
          <cell r="V67">
            <v>0.71020000000000005</v>
          </cell>
        </row>
        <row r="68">
          <cell r="A68">
            <v>67</v>
          </cell>
          <cell r="B68">
            <v>0.72860000000000003</v>
          </cell>
          <cell r="C68">
            <v>0.72860000000000003</v>
          </cell>
          <cell r="D68">
            <v>0.72460000000000002</v>
          </cell>
          <cell r="E68">
            <v>0.72299999999999998</v>
          </cell>
          <cell r="F68">
            <v>0.71819999999999995</v>
          </cell>
          <cell r="G68">
            <v>0.71809999999999996</v>
          </cell>
          <cell r="H68">
            <v>0.71319999999999995</v>
          </cell>
          <cell r="I68">
            <v>0.71160000000000001</v>
          </cell>
          <cell r="J68">
            <v>0.70960000000000001</v>
          </cell>
          <cell r="K68">
            <v>0.70899999999999996</v>
          </cell>
          <cell r="L68">
            <v>0.70720000000000005</v>
          </cell>
          <cell r="M68">
            <v>0.70669999999999999</v>
          </cell>
          <cell r="N68">
            <v>0.70469999999999999</v>
          </cell>
          <cell r="O68">
            <v>0.70269999999999999</v>
          </cell>
          <cell r="P68">
            <v>0.69920000000000004</v>
          </cell>
          <cell r="Q68">
            <v>0.69920000000000004</v>
          </cell>
          <cell r="R68">
            <v>0.69920000000000004</v>
          </cell>
          <cell r="S68">
            <v>0.69920000000000004</v>
          </cell>
          <cell r="T68">
            <v>0.69920000000000004</v>
          </cell>
          <cell r="U68">
            <v>0.69920000000000004</v>
          </cell>
          <cell r="V68">
            <v>0.69920000000000004</v>
          </cell>
        </row>
        <row r="69">
          <cell r="A69">
            <v>68</v>
          </cell>
          <cell r="B69">
            <v>0.71889999999999998</v>
          </cell>
          <cell r="C69">
            <v>0.71889999999999998</v>
          </cell>
          <cell r="D69">
            <v>0.71479999999999999</v>
          </cell>
          <cell r="E69">
            <v>0.71330000000000005</v>
          </cell>
          <cell r="F69">
            <v>0.70840000000000003</v>
          </cell>
          <cell r="G69">
            <v>0.70820000000000005</v>
          </cell>
          <cell r="H69">
            <v>0.70330000000000004</v>
          </cell>
          <cell r="I69">
            <v>0.70150000000000001</v>
          </cell>
          <cell r="J69">
            <v>0.69940000000000002</v>
          </cell>
          <cell r="K69">
            <v>0.69879999999999998</v>
          </cell>
          <cell r="L69">
            <v>0.69679999999999997</v>
          </cell>
          <cell r="M69">
            <v>0.69630000000000003</v>
          </cell>
          <cell r="N69">
            <v>0.69420000000000004</v>
          </cell>
          <cell r="O69">
            <v>0.69199999999999995</v>
          </cell>
          <cell r="P69">
            <v>0.68810000000000004</v>
          </cell>
          <cell r="Q69">
            <v>0.68810000000000004</v>
          </cell>
          <cell r="R69">
            <v>0.68810000000000004</v>
          </cell>
          <cell r="S69">
            <v>0.68810000000000004</v>
          </cell>
          <cell r="T69">
            <v>0.68810000000000004</v>
          </cell>
          <cell r="U69">
            <v>0.68810000000000004</v>
          </cell>
          <cell r="V69">
            <v>0.68810000000000004</v>
          </cell>
        </row>
        <row r="70">
          <cell r="A70">
            <v>69</v>
          </cell>
          <cell r="B70">
            <v>0.70920000000000005</v>
          </cell>
          <cell r="C70">
            <v>0.70920000000000005</v>
          </cell>
          <cell r="D70">
            <v>0.70509999999999995</v>
          </cell>
          <cell r="E70">
            <v>0.70350000000000001</v>
          </cell>
          <cell r="F70">
            <v>0.69850000000000001</v>
          </cell>
          <cell r="G70">
            <v>0.69840000000000002</v>
          </cell>
          <cell r="H70">
            <v>0.69340000000000002</v>
          </cell>
          <cell r="I70">
            <v>0.6915</v>
          </cell>
          <cell r="J70">
            <v>0.68920000000000003</v>
          </cell>
          <cell r="K70">
            <v>0.6885</v>
          </cell>
          <cell r="L70">
            <v>0.68640000000000001</v>
          </cell>
          <cell r="M70">
            <v>0.68589999999999995</v>
          </cell>
          <cell r="N70">
            <v>0.68359999999999999</v>
          </cell>
          <cell r="O70">
            <v>0.68120000000000003</v>
          </cell>
          <cell r="P70">
            <v>0.67700000000000005</v>
          </cell>
          <cell r="Q70">
            <v>0.67700000000000005</v>
          </cell>
          <cell r="R70">
            <v>0.67700000000000005</v>
          </cell>
          <cell r="S70">
            <v>0.67700000000000005</v>
          </cell>
          <cell r="T70">
            <v>0.67700000000000005</v>
          </cell>
          <cell r="U70">
            <v>0.67700000000000005</v>
          </cell>
          <cell r="V70">
            <v>0.67700000000000005</v>
          </cell>
        </row>
        <row r="71">
          <cell r="A71">
            <v>70</v>
          </cell>
          <cell r="B71">
            <v>0.69950000000000001</v>
          </cell>
          <cell r="C71">
            <v>0.69950000000000001</v>
          </cell>
          <cell r="D71">
            <v>0.69530000000000003</v>
          </cell>
          <cell r="E71">
            <v>0.69369999999999998</v>
          </cell>
          <cell r="F71">
            <v>0.68859999999999999</v>
          </cell>
          <cell r="G71">
            <v>0.6885</v>
          </cell>
          <cell r="H71">
            <v>0.68340000000000001</v>
          </cell>
          <cell r="I71">
            <v>0.68140000000000001</v>
          </cell>
          <cell r="J71">
            <v>0.67910000000000004</v>
          </cell>
          <cell r="K71">
            <v>0.67830000000000001</v>
          </cell>
          <cell r="L71">
            <v>0.67610000000000003</v>
          </cell>
          <cell r="M71">
            <v>0.67549999999999999</v>
          </cell>
          <cell r="N71">
            <v>0.67310000000000003</v>
          </cell>
          <cell r="O71">
            <v>0.67049999999999998</v>
          </cell>
          <cell r="P71">
            <v>0.66600000000000004</v>
          </cell>
          <cell r="Q71">
            <v>0.66600000000000004</v>
          </cell>
          <cell r="R71">
            <v>0.66600000000000004</v>
          </cell>
          <cell r="S71">
            <v>0.66600000000000004</v>
          </cell>
          <cell r="T71">
            <v>0.66600000000000004</v>
          </cell>
          <cell r="U71">
            <v>0.66600000000000004</v>
          </cell>
          <cell r="V71">
            <v>0.66600000000000004</v>
          </cell>
        </row>
        <row r="72">
          <cell r="A72">
            <v>71</v>
          </cell>
          <cell r="B72">
            <v>0.68979999999999997</v>
          </cell>
          <cell r="C72">
            <v>0.68979999999999997</v>
          </cell>
          <cell r="D72">
            <v>0.6855</v>
          </cell>
          <cell r="E72">
            <v>0.68389999999999995</v>
          </cell>
          <cell r="F72">
            <v>0.67879999999999996</v>
          </cell>
          <cell r="G72">
            <v>0.67859999999999998</v>
          </cell>
          <cell r="H72">
            <v>0.67349999999999999</v>
          </cell>
          <cell r="I72">
            <v>0.6714</v>
          </cell>
          <cell r="J72">
            <v>0.66890000000000005</v>
          </cell>
          <cell r="K72">
            <v>0.66810000000000003</v>
          </cell>
          <cell r="L72">
            <v>0.66569999999999996</v>
          </cell>
          <cell r="M72">
            <v>0.66510000000000002</v>
          </cell>
          <cell r="N72">
            <v>0.66249999999999998</v>
          </cell>
          <cell r="O72">
            <v>0.65980000000000005</v>
          </cell>
          <cell r="P72">
            <v>0.65490000000000004</v>
          </cell>
          <cell r="Q72">
            <v>0.65490000000000004</v>
          </cell>
          <cell r="R72">
            <v>0.65490000000000004</v>
          </cell>
          <cell r="S72">
            <v>0.65490000000000004</v>
          </cell>
          <cell r="T72">
            <v>0.65490000000000004</v>
          </cell>
          <cell r="U72">
            <v>0.65490000000000004</v>
          </cell>
          <cell r="V72">
            <v>0.65490000000000004</v>
          </cell>
        </row>
        <row r="73">
          <cell r="A73">
            <v>72</v>
          </cell>
          <cell r="B73">
            <v>0.68010000000000004</v>
          </cell>
          <cell r="C73">
            <v>0.68010000000000004</v>
          </cell>
          <cell r="D73">
            <v>0.67569999999999997</v>
          </cell>
          <cell r="E73">
            <v>0.67410000000000003</v>
          </cell>
          <cell r="F73">
            <v>0.66890000000000005</v>
          </cell>
          <cell r="G73">
            <v>0.66879999999999995</v>
          </cell>
          <cell r="H73">
            <v>0.66349999999999998</v>
          </cell>
          <cell r="I73">
            <v>0.6613</v>
          </cell>
          <cell r="J73">
            <v>0.65869999999999995</v>
          </cell>
          <cell r="K73">
            <v>0.65780000000000005</v>
          </cell>
          <cell r="L73">
            <v>0.65529999999999999</v>
          </cell>
          <cell r="M73">
            <v>0.65469999999999995</v>
          </cell>
          <cell r="N73">
            <v>0.65190000000000003</v>
          </cell>
          <cell r="O73">
            <v>0.64900000000000002</v>
          </cell>
          <cell r="P73">
            <v>0.64390000000000003</v>
          </cell>
          <cell r="Q73">
            <v>0.64390000000000003</v>
          </cell>
          <cell r="R73">
            <v>0.64390000000000003</v>
          </cell>
          <cell r="S73">
            <v>0.64390000000000003</v>
          </cell>
          <cell r="T73">
            <v>0.64390000000000003</v>
          </cell>
          <cell r="U73">
            <v>0.64390000000000003</v>
          </cell>
          <cell r="V73">
            <v>0.64390000000000003</v>
          </cell>
        </row>
        <row r="74">
          <cell r="A74">
            <v>73</v>
          </cell>
          <cell r="B74">
            <v>0.67030000000000001</v>
          </cell>
          <cell r="C74">
            <v>0.67030000000000001</v>
          </cell>
          <cell r="D74">
            <v>0.66600000000000004</v>
          </cell>
          <cell r="E74">
            <v>0.6643</v>
          </cell>
          <cell r="F74">
            <v>0.65900000000000003</v>
          </cell>
          <cell r="G74">
            <v>0.65890000000000004</v>
          </cell>
          <cell r="H74">
            <v>0.65359999999999996</v>
          </cell>
          <cell r="I74">
            <v>0.65129999999999999</v>
          </cell>
          <cell r="J74">
            <v>0.64849999999999997</v>
          </cell>
          <cell r="K74">
            <v>0.64759999999999995</v>
          </cell>
          <cell r="L74">
            <v>0.64500000000000002</v>
          </cell>
          <cell r="M74">
            <v>0.64429999999999998</v>
          </cell>
          <cell r="N74">
            <v>0.64139999999999997</v>
          </cell>
          <cell r="O74">
            <v>0.63829999999999998</v>
          </cell>
          <cell r="P74">
            <v>0.63280000000000003</v>
          </cell>
          <cell r="Q74">
            <v>0.63280000000000003</v>
          </cell>
          <cell r="R74">
            <v>0.63280000000000003</v>
          </cell>
          <cell r="S74">
            <v>0.63280000000000003</v>
          </cell>
          <cell r="T74">
            <v>0.63280000000000003</v>
          </cell>
          <cell r="U74">
            <v>0.63280000000000003</v>
          </cell>
          <cell r="V74">
            <v>0.63280000000000003</v>
          </cell>
        </row>
        <row r="75">
          <cell r="A75">
            <v>74</v>
          </cell>
          <cell r="B75">
            <v>0.66059999999999997</v>
          </cell>
          <cell r="C75">
            <v>0.66059999999999997</v>
          </cell>
          <cell r="D75">
            <v>0.65620000000000001</v>
          </cell>
          <cell r="E75">
            <v>0.65449999999999997</v>
          </cell>
          <cell r="F75">
            <v>0.6492</v>
          </cell>
          <cell r="G75">
            <v>0.64900000000000002</v>
          </cell>
          <cell r="H75">
            <v>0.64370000000000005</v>
          </cell>
          <cell r="I75">
            <v>0.64119999999999999</v>
          </cell>
          <cell r="J75">
            <v>0.63829999999999998</v>
          </cell>
          <cell r="K75">
            <v>0.63739999999999997</v>
          </cell>
          <cell r="L75">
            <v>0.63460000000000005</v>
          </cell>
          <cell r="M75">
            <v>0.63390000000000002</v>
          </cell>
          <cell r="N75">
            <v>0.63080000000000003</v>
          </cell>
          <cell r="O75">
            <v>0.62760000000000005</v>
          </cell>
          <cell r="P75">
            <v>0.62170000000000003</v>
          </cell>
          <cell r="Q75">
            <v>0.62170000000000003</v>
          </cell>
          <cell r="R75">
            <v>0.62170000000000003</v>
          </cell>
          <cell r="S75">
            <v>0.62170000000000003</v>
          </cell>
          <cell r="T75">
            <v>0.62170000000000003</v>
          </cell>
          <cell r="U75">
            <v>0.62170000000000003</v>
          </cell>
          <cell r="V75">
            <v>0.62170000000000003</v>
          </cell>
        </row>
        <row r="76">
          <cell r="A76">
            <v>75</v>
          </cell>
          <cell r="B76">
            <v>0.65090000000000003</v>
          </cell>
          <cell r="C76">
            <v>0.65090000000000003</v>
          </cell>
          <cell r="D76">
            <v>0.64639999999999997</v>
          </cell>
          <cell r="E76">
            <v>0.64470000000000005</v>
          </cell>
          <cell r="F76">
            <v>0.63929999999999998</v>
          </cell>
          <cell r="G76">
            <v>0.63919999999999999</v>
          </cell>
          <cell r="H76">
            <v>0.63370000000000004</v>
          </cell>
          <cell r="I76">
            <v>0.63119999999999998</v>
          </cell>
          <cell r="J76">
            <v>0.62809999999999999</v>
          </cell>
          <cell r="K76">
            <v>0.62709999999999999</v>
          </cell>
          <cell r="L76">
            <v>0.62419999999999998</v>
          </cell>
          <cell r="M76">
            <v>0.62350000000000005</v>
          </cell>
          <cell r="N76">
            <v>0.62029999999999996</v>
          </cell>
          <cell r="O76">
            <v>0.61680000000000001</v>
          </cell>
          <cell r="P76">
            <v>0.61029999999999995</v>
          </cell>
          <cell r="Q76">
            <v>0.61029999999999995</v>
          </cell>
          <cell r="R76">
            <v>0.61029999999999995</v>
          </cell>
          <cell r="S76">
            <v>0.61029999999999995</v>
          </cell>
          <cell r="T76">
            <v>0.61029999999999995</v>
          </cell>
          <cell r="U76">
            <v>0.61029999999999995</v>
          </cell>
          <cell r="V76">
            <v>0.61029999999999995</v>
          </cell>
        </row>
        <row r="77">
          <cell r="A77">
            <v>76</v>
          </cell>
          <cell r="B77">
            <v>0.64119999999999999</v>
          </cell>
          <cell r="C77">
            <v>0.64119999999999999</v>
          </cell>
          <cell r="D77">
            <v>0.63670000000000004</v>
          </cell>
          <cell r="E77">
            <v>0.63490000000000002</v>
          </cell>
          <cell r="F77">
            <v>0.62939999999999996</v>
          </cell>
          <cell r="G77">
            <v>0.62929999999999997</v>
          </cell>
          <cell r="H77">
            <v>0.62339999999999995</v>
          </cell>
          <cell r="I77">
            <v>0.62090000000000001</v>
          </cell>
          <cell r="J77">
            <v>0.61780000000000002</v>
          </cell>
          <cell r="K77">
            <v>0.61680000000000001</v>
          </cell>
          <cell r="L77">
            <v>0.6139</v>
          </cell>
          <cell r="M77">
            <v>0.61309999999999998</v>
          </cell>
          <cell r="N77">
            <v>0.60960000000000003</v>
          </cell>
          <cell r="O77">
            <v>0.60560000000000003</v>
          </cell>
          <cell r="P77">
            <v>0.59799999999999998</v>
          </cell>
          <cell r="Q77">
            <v>0.59799999999999998</v>
          </cell>
          <cell r="R77">
            <v>0.59799999999999998</v>
          </cell>
          <cell r="S77">
            <v>0.59799999999999998</v>
          </cell>
          <cell r="T77">
            <v>0.59799999999999998</v>
          </cell>
          <cell r="U77">
            <v>0.59799999999999998</v>
          </cell>
          <cell r="V77">
            <v>0.59799999999999998</v>
          </cell>
        </row>
        <row r="78">
          <cell r="A78">
            <v>77</v>
          </cell>
          <cell r="B78">
            <v>0.63149999999999995</v>
          </cell>
          <cell r="C78">
            <v>0.63149999999999995</v>
          </cell>
          <cell r="D78">
            <v>0.62690000000000001</v>
          </cell>
          <cell r="E78">
            <v>0.62509999999999999</v>
          </cell>
          <cell r="F78">
            <v>0.61929999999999996</v>
          </cell>
          <cell r="G78">
            <v>0.61909999999999998</v>
          </cell>
          <cell r="H78">
            <v>0.61229999999999996</v>
          </cell>
          <cell r="I78">
            <v>0.60980000000000001</v>
          </cell>
          <cell r="J78">
            <v>0.60680000000000001</v>
          </cell>
          <cell r="K78">
            <v>0.60589999999999999</v>
          </cell>
          <cell r="L78">
            <v>0.60299999999999998</v>
          </cell>
          <cell r="M78">
            <v>0.60219999999999996</v>
          </cell>
          <cell r="N78">
            <v>0.59819999999999995</v>
          </cell>
          <cell r="O78">
            <v>0.59370000000000001</v>
          </cell>
          <cell r="P78">
            <v>0.58499999999999996</v>
          </cell>
          <cell r="Q78">
            <v>0.58499999999999996</v>
          </cell>
          <cell r="R78">
            <v>0.58499999999999996</v>
          </cell>
          <cell r="S78">
            <v>0.58499999999999996</v>
          </cell>
          <cell r="T78">
            <v>0.58499999999999996</v>
          </cell>
          <cell r="U78">
            <v>0.58499999999999996</v>
          </cell>
          <cell r="V78">
            <v>0.58499999999999996</v>
          </cell>
        </row>
        <row r="79">
          <cell r="A79">
            <v>78</v>
          </cell>
          <cell r="B79">
            <v>0.62180000000000002</v>
          </cell>
          <cell r="C79">
            <v>0.62180000000000002</v>
          </cell>
          <cell r="D79">
            <v>0.61699999999999999</v>
          </cell>
          <cell r="E79">
            <v>0.61509999999999998</v>
          </cell>
          <cell r="F79">
            <v>0.60829999999999995</v>
          </cell>
          <cell r="G79">
            <v>0.60809999999999997</v>
          </cell>
          <cell r="H79">
            <v>0.60050000000000003</v>
          </cell>
          <cell r="I79">
            <v>0.59799999999999998</v>
          </cell>
          <cell r="J79">
            <v>0.59509999999999996</v>
          </cell>
          <cell r="K79">
            <v>0.59409999999999996</v>
          </cell>
          <cell r="L79">
            <v>0.59130000000000005</v>
          </cell>
          <cell r="M79">
            <v>0.59060000000000001</v>
          </cell>
          <cell r="N79">
            <v>0.58589999999999998</v>
          </cell>
          <cell r="O79">
            <v>0.58089999999999997</v>
          </cell>
          <cell r="P79">
            <v>0.57110000000000005</v>
          </cell>
          <cell r="Q79">
            <v>0.57110000000000005</v>
          </cell>
          <cell r="R79">
            <v>0.57110000000000005</v>
          </cell>
          <cell r="S79">
            <v>0.57110000000000005</v>
          </cell>
          <cell r="T79">
            <v>0.57110000000000005</v>
          </cell>
          <cell r="U79">
            <v>0.57110000000000005</v>
          </cell>
          <cell r="V79">
            <v>0.57110000000000005</v>
          </cell>
        </row>
        <row r="80">
          <cell r="A80">
            <v>79</v>
          </cell>
          <cell r="B80">
            <v>0.61199999999999999</v>
          </cell>
          <cell r="C80">
            <v>0.61199999999999999</v>
          </cell>
          <cell r="D80">
            <v>0.60650000000000004</v>
          </cell>
          <cell r="E80">
            <v>0.60409999999999997</v>
          </cell>
          <cell r="F80">
            <v>0.59650000000000003</v>
          </cell>
          <cell r="G80">
            <v>0.59619999999999995</v>
          </cell>
          <cell r="H80">
            <v>0.58789999999999998</v>
          </cell>
          <cell r="I80">
            <v>0.58550000000000002</v>
          </cell>
          <cell r="J80">
            <v>0.58250000000000002</v>
          </cell>
          <cell r="K80">
            <v>0.58160000000000001</v>
          </cell>
          <cell r="L80">
            <v>0.57879999999999998</v>
          </cell>
          <cell r="M80">
            <v>0.57809999999999995</v>
          </cell>
          <cell r="N80">
            <v>0.57289999999999996</v>
          </cell>
          <cell r="O80">
            <v>0.56730000000000003</v>
          </cell>
          <cell r="P80">
            <v>0.55640000000000001</v>
          </cell>
          <cell r="Q80">
            <v>0.55640000000000001</v>
          </cell>
          <cell r="R80">
            <v>0.55640000000000001</v>
          </cell>
          <cell r="S80">
            <v>0.55640000000000001</v>
          </cell>
          <cell r="T80">
            <v>0.55640000000000001</v>
          </cell>
          <cell r="U80">
            <v>0.55640000000000001</v>
          </cell>
          <cell r="V80">
            <v>0.55640000000000001</v>
          </cell>
        </row>
        <row r="81">
          <cell r="A81">
            <v>80</v>
          </cell>
          <cell r="B81">
            <v>0.60129999999999995</v>
          </cell>
          <cell r="C81">
            <v>0.60129999999999995</v>
          </cell>
          <cell r="D81">
            <v>0.59499999999999997</v>
          </cell>
          <cell r="E81">
            <v>0.59240000000000004</v>
          </cell>
          <cell r="F81">
            <v>0.58379999999999999</v>
          </cell>
          <cell r="G81">
            <v>0.58360000000000001</v>
          </cell>
          <cell r="H81">
            <v>0.57450000000000001</v>
          </cell>
          <cell r="I81">
            <v>0.57210000000000005</v>
          </cell>
          <cell r="J81">
            <v>0.56920000000000004</v>
          </cell>
          <cell r="K81">
            <v>0.56830000000000003</v>
          </cell>
          <cell r="L81">
            <v>0.5655</v>
          </cell>
          <cell r="M81">
            <v>0.56479999999999997</v>
          </cell>
          <cell r="N81">
            <v>0.55910000000000004</v>
          </cell>
          <cell r="O81">
            <v>0.55289999999999995</v>
          </cell>
          <cell r="P81">
            <v>0.54100000000000004</v>
          </cell>
          <cell r="Q81">
            <v>0.54100000000000004</v>
          </cell>
          <cell r="R81">
            <v>0.54100000000000004</v>
          </cell>
          <cell r="S81">
            <v>0.54100000000000004</v>
          </cell>
          <cell r="T81">
            <v>0.54100000000000004</v>
          </cell>
          <cell r="U81">
            <v>0.54100000000000004</v>
          </cell>
          <cell r="V81">
            <v>0.54100000000000004</v>
          </cell>
        </row>
        <row r="82">
          <cell r="A82">
            <v>81</v>
          </cell>
          <cell r="B82">
            <v>0.5897</v>
          </cell>
          <cell r="C82">
            <v>0.5897</v>
          </cell>
          <cell r="D82">
            <v>0.58260000000000001</v>
          </cell>
          <cell r="E82">
            <v>0.57969999999999999</v>
          </cell>
          <cell r="F82">
            <v>0.57040000000000002</v>
          </cell>
          <cell r="G82">
            <v>0.57010000000000005</v>
          </cell>
          <cell r="H82">
            <v>0.56040000000000001</v>
          </cell>
          <cell r="I82">
            <v>0.55800000000000005</v>
          </cell>
          <cell r="J82">
            <v>0.55510000000000004</v>
          </cell>
          <cell r="K82">
            <v>0.55420000000000003</v>
          </cell>
          <cell r="L82">
            <v>0.5514</v>
          </cell>
          <cell r="M82">
            <v>0.55069999999999997</v>
          </cell>
          <cell r="N82">
            <v>0.54449999999999998</v>
          </cell>
          <cell r="O82">
            <v>0.53769999999999996</v>
          </cell>
          <cell r="P82">
            <v>0.52470000000000006</v>
          </cell>
          <cell r="Q82">
            <v>0.52470000000000006</v>
          </cell>
          <cell r="R82">
            <v>0.52470000000000006</v>
          </cell>
          <cell r="S82">
            <v>0.52470000000000006</v>
          </cell>
          <cell r="T82">
            <v>0.52470000000000006</v>
          </cell>
          <cell r="U82">
            <v>0.52470000000000006</v>
          </cell>
          <cell r="V82">
            <v>0.52470000000000006</v>
          </cell>
        </row>
        <row r="83">
          <cell r="A83">
            <v>82</v>
          </cell>
          <cell r="B83">
            <v>0.57720000000000005</v>
          </cell>
          <cell r="C83">
            <v>0.57720000000000005</v>
          </cell>
          <cell r="D83">
            <v>0.56930000000000003</v>
          </cell>
          <cell r="E83">
            <v>0.56620000000000004</v>
          </cell>
          <cell r="F83">
            <v>0.55610000000000004</v>
          </cell>
          <cell r="G83">
            <v>0.55589999999999995</v>
          </cell>
          <cell r="H83">
            <v>0.54549999999999998</v>
          </cell>
          <cell r="I83">
            <v>0.54310000000000003</v>
          </cell>
          <cell r="J83">
            <v>0.54020000000000001</v>
          </cell>
          <cell r="K83">
            <v>0.5393</v>
          </cell>
          <cell r="L83">
            <v>0.53649999999999998</v>
          </cell>
          <cell r="M83">
            <v>0.53590000000000004</v>
          </cell>
          <cell r="N83">
            <v>0.52910000000000001</v>
          </cell>
          <cell r="O83">
            <v>0.52180000000000004</v>
          </cell>
          <cell r="P83">
            <v>0.50770000000000004</v>
          </cell>
          <cell r="Q83">
            <v>0.50770000000000004</v>
          </cell>
          <cell r="R83">
            <v>0.50770000000000004</v>
          </cell>
          <cell r="S83">
            <v>0.50770000000000004</v>
          </cell>
          <cell r="T83">
            <v>0.50770000000000004</v>
          </cell>
          <cell r="U83">
            <v>0.50770000000000004</v>
          </cell>
          <cell r="V83">
            <v>0.50770000000000004</v>
          </cell>
        </row>
        <row r="84">
          <cell r="A84">
            <v>83</v>
          </cell>
          <cell r="B84">
            <v>0.56369999999999998</v>
          </cell>
          <cell r="C84">
            <v>0.56369999999999998</v>
          </cell>
          <cell r="D84">
            <v>0.55520000000000003</v>
          </cell>
          <cell r="E84">
            <v>0.55179999999999996</v>
          </cell>
          <cell r="F84">
            <v>0.54100000000000004</v>
          </cell>
          <cell r="G84">
            <v>0.54079999999999995</v>
          </cell>
          <cell r="H84">
            <v>0.52990000000000004</v>
          </cell>
          <cell r="I84">
            <v>0.52749999999999997</v>
          </cell>
          <cell r="J84">
            <v>0.52459999999999996</v>
          </cell>
          <cell r="K84">
            <v>0.52370000000000005</v>
          </cell>
          <cell r="L84">
            <v>0.52090000000000003</v>
          </cell>
          <cell r="M84">
            <v>0.5202</v>
          </cell>
          <cell r="N84">
            <v>0.51290000000000002</v>
          </cell>
          <cell r="O84">
            <v>0.505</v>
          </cell>
          <cell r="P84">
            <v>0.48980000000000001</v>
          </cell>
          <cell r="Q84">
            <v>0.48980000000000001</v>
          </cell>
          <cell r="R84">
            <v>0.48980000000000001</v>
          </cell>
          <cell r="S84">
            <v>0.48980000000000001</v>
          </cell>
          <cell r="T84">
            <v>0.48980000000000001</v>
          </cell>
          <cell r="U84">
            <v>0.48980000000000001</v>
          </cell>
          <cell r="V84">
            <v>0.48980000000000001</v>
          </cell>
        </row>
        <row r="85">
          <cell r="A85">
            <v>84</v>
          </cell>
          <cell r="B85">
            <v>0.54930000000000001</v>
          </cell>
          <cell r="C85">
            <v>0.54930000000000001</v>
          </cell>
          <cell r="D85">
            <v>0.54010000000000002</v>
          </cell>
          <cell r="E85">
            <v>0.53649999999999998</v>
          </cell>
          <cell r="F85">
            <v>0.5252</v>
          </cell>
          <cell r="G85">
            <v>0.52480000000000004</v>
          </cell>
          <cell r="H85">
            <v>0.51349999999999996</v>
          </cell>
          <cell r="I85">
            <v>0.51100000000000001</v>
          </cell>
          <cell r="J85">
            <v>0.5081</v>
          </cell>
          <cell r="K85">
            <v>0.50719999999999998</v>
          </cell>
          <cell r="L85">
            <v>0.50439999999999996</v>
          </cell>
          <cell r="M85">
            <v>0.50370000000000004</v>
          </cell>
          <cell r="N85">
            <v>0.49590000000000001</v>
          </cell>
          <cell r="O85">
            <v>0.4874</v>
          </cell>
          <cell r="P85">
            <v>0.47110000000000002</v>
          </cell>
          <cell r="Q85">
            <v>0.47110000000000002</v>
          </cell>
          <cell r="R85">
            <v>0.47110000000000002</v>
          </cell>
          <cell r="S85">
            <v>0.47110000000000002</v>
          </cell>
          <cell r="T85">
            <v>0.47110000000000002</v>
          </cell>
          <cell r="U85">
            <v>0.47110000000000002</v>
          </cell>
          <cell r="V85">
            <v>0.47110000000000002</v>
          </cell>
        </row>
        <row r="86">
          <cell r="A86">
            <v>85</v>
          </cell>
          <cell r="B86">
            <v>0.53400000000000003</v>
          </cell>
          <cell r="C86">
            <v>0.53400000000000003</v>
          </cell>
          <cell r="D86">
            <v>0.5242</v>
          </cell>
          <cell r="E86">
            <v>0.52029999999999998</v>
          </cell>
          <cell r="F86">
            <v>0.50839999999999996</v>
          </cell>
          <cell r="G86">
            <v>0.5081</v>
          </cell>
          <cell r="H86">
            <v>0.49630000000000002</v>
          </cell>
          <cell r="I86">
            <v>0.49390000000000001</v>
          </cell>
          <cell r="J86">
            <v>0.4909</v>
          </cell>
          <cell r="K86">
            <v>0.49</v>
          </cell>
          <cell r="L86">
            <v>0.48720000000000002</v>
          </cell>
          <cell r="M86">
            <v>0.48649999999999999</v>
          </cell>
          <cell r="N86">
            <v>0.47810000000000002</v>
          </cell>
          <cell r="O86">
            <v>0.46899999999999997</v>
          </cell>
          <cell r="P86">
            <v>0.45169999999999999</v>
          </cell>
          <cell r="Q86">
            <v>0.45169999999999999</v>
          </cell>
          <cell r="R86">
            <v>0.45169999999999999</v>
          </cell>
          <cell r="S86">
            <v>0.45169999999999999</v>
          </cell>
          <cell r="T86">
            <v>0.45169999999999999</v>
          </cell>
          <cell r="U86">
            <v>0.45169999999999999</v>
          </cell>
          <cell r="V86">
            <v>0.45169999999999999</v>
          </cell>
        </row>
        <row r="87">
          <cell r="A87">
            <v>86</v>
          </cell>
          <cell r="B87">
            <v>0.51770000000000005</v>
          </cell>
          <cell r="C87">
            <v>0.51770000000000005</v>
          </cell>
          <cell r="D87">
            <v>0.50729999999999997</v>
          </cell>
          <cell r="E87">
            <v>0.50329999999999997</v>
          </cell>
          <cell r="F87">
            <v>0.4909</v>
          </cell>
          <cell r="G87">
            <v>0.49059999999999998</v>
          </cell>
          <cell r="H87">
            <v>0.47839999999999999</v>
          </cell>
          <cell r="I87">
            <v>0.47589999999999999</v>
          </cell>
          <cell r="J87">
            <v>0.47289999999999999</v>
          </cell>
          <cell r="K87">
            <v>0.47199999999999998</v>
          </cell>
          <cell r="L87">
            <v>0.46910000000000002</v>
          </cell>
          <cell r="M87">
            <v>0.46839999999999998</v>
          </cell>
          <cell r="N87">
            <v>0.45950000000000002</v>
          </cell>
          <cell r="O87">
            <v>0.44979999999999998</v>
          </cell>
          <cell r="P87">
            <v>0.43140000000000001</v>
          </cell>
          <cell r="Q87">
            <v>0.43140000000000001</v>
          </cell>
          <cell r="R87">
            <v>0.43140000000000001</v>
          </cell>
          <cell r="S87">
            <v>0.43140000000000001</v>
          </cell>
          <cell r="T87">
            <v>0.43140000000000001</v>
          </cell>
          <cell r="U87">
            <v>0.43140000000000001</v>
          </cell>
          <cell r="V87">
            <v>0.43140000000000001</v>
          </cell>
        </row>
        <row r="88">
          <cell r="A88">
            <v>87</v>
          </cell>
          <cell r="B88">
            <v>0.50039999999999996</v>
          </cell>
          <cell r="C88">
            <v>0.50039999999999996</v>
          </cell>
          <cell r="D88">
            <v>0.48959999999999998</v>
          </cell>
          <cell r="E88">
            <v>0.4854</v>
          </cell>
          <cell r="F88">
            <v>0.47260000000000002</v>
          </cell>
          <cell r="G88">
            <v>0.47220000000000001</v>
          </cell>
          <cell r="H88">
            <v>0.4597</v>
          </cell>
          <cell r="I88">
            <v>0.4572</v>
          </cell>
          <cell r="J88">
            <v>0.4541</v>
          </cell>
          <cell r="K88">
            <v>0.45319999999999999</v>
          </cell>
          <cell r="L88">
            <v>0.45029999999999998</v>
          </cell>
          <cell r="M88">
            <v>0.4496</v>
          </cell>
          <cell r="N88">
            <v>0.44009999999999999</v>
          </cell>
          <cell r="O88">
            <v>0.4299</v>
          </cell>
          <cell r="P88">
            <v>0.41039999999999999</v>
          </cell>
          <cell r="Q88">
            <v>0.41039999999999999</v>
          </cell>
          <cell r="R88">
            <v>0.41039999999999999</v>
          </cell>
          <cell r="S88">
            <v>0.41039999999999999</v>
          </cell>
          <cell r="T88">
            <v>0.41039999999999999</v>
          </cell>
          <cell r="U88">
            <v>0.41039999999999999</v>
          </cell>
          <cell r="V88">
            <v>0.41039999999999999</v>
          </cell>
        </row>
        <row r="89">
          <cell r="A89">
            <v>88</v>
          </cell>
          <cell r="B89">
            <v>0.48230000000000001</v>
          </cell>
          <cell r="C89">
            <v>0.48230000000000001</v>
          </cell>
          <cell r="D89">
            <v>0.47099999999999997</v>
          </cell>
          <cell r="E89">
            <v>0.46660000000000001</v>
          </cell>
          <cell r="F89">
            <v>0.45340000000000003</v>
          </cell>
          <cell r="G89">
            <v>0.45300000000000001</v>
          </cell>
          <cell r="H89">
            <v>0.44030000000000002</v>
          </cell>
          <cell r="I89">
            <v>0.43769999999999998</v>
          </cell>
          <cell r="J89">
            <v>0.4345</v>
          </cell>
          <cell r="K89">
            <v>0.43359999999999999</v>
          </cell>
          <cell r="L89">
            <v>0.43059999999999998</v>
          </cell>
          <cell r="M89">
            <v>0.4299</v>
          </cell>
          <cell r="N89">
            <v>0.4199</v>
          </cell>
          <cell r="O89">
            <v>0.40910000000000002</v>
          </cell>
          <cell r="P89">
            <v>0.38850000000000001</v>
          </cell>
          <cell r="Q89">
            <v>0.38850000000000001</v>
          </cell>
          <cell r="R89">
            <v>0.38850000000000001</v>
          </cell>
          <cell r="S89">
            <v>0.38850000000000001</v>
          </cell>
          <cell r="T89">
            <v>0.38850000000000001</v>
          </cell>
          <cell r="U89">
            <v>0.38850000000000001</v>
          </cell>
          <cell r="V89">
            <v>0.38850000000000001</v>
          </cell>
        </row>
        <row r="90">
          <cell r="A90">
            <v>89</v>
          </cell>
          <cell r="B90">
            <v>0.4632</v>
          </cell>
          <cell r="C90">
            <v>0.4632</v>
          </cell>
          <cell r="D90">
            <v>0.45140000000000002</v>
          </cell>
          <cell r="E90">
            <v>0.44700000000000001</v>
          </cell>
          <cell r="F90">
            <v>0.43340000000000001</v>
          </cell>
          <cell r="G90">
            <v>0.433</v>
          </cell>
          <cell r="H90">
            <v>0.42009999999999997</v>
          </cell>
          <cell r="I90">
            <v>0.41739999999999999</v>
          </cell>
          <cell r="J90">
            <v>0.41420000000000001</v>
          </cell>
          <cell r="K90">
            <v>0.41320000000000001</v>
          </cell>
          <cell r="L90">
            <v>0.41020000000000001</v>
          </cell>
          <cell r="M90">
            <v>0.40939999999999999</v>
          </cell>
          <cell r="N90">
            <v>0.39889999999999998</v>
          </cell>
          <cell r="O90">
            <v>0.38750000000000001</v>
          </cell>
          <cell r="P90">
            <v>0.36580000000000001</v>
          </cell>
          <cell r="Q90">
            <v>0.36580000000000001</v>
          </cell>
          <cell r="R90">
            <v>0.36580000000000001</v>
          </cell>
          <cell r="S90">
            <v>0.36580000000000001</v>
          </cell>
          <cell r="T90">
            <v>0.36580000000000001</v>
          </cell>
          <cell r="U90">
            <v>0.36580000000000001</v>
          </cell>
          <cell r="V90">
            <v>0.36580000000000001</v>
          </cell>
        </row>
        <row r="91">
          <cell r="A91">
            <v>90</v>
          </cell>
          <cell r="B91">
            <v>0.44309999999999999</v>
          </cell>
          <cell r="C91">
            <v>0.44309999999999999</v>
          </cell>
          <cell r="D91">
            <v>0.43099999999999999</v>
          </cell>
          <cell r="E91">
            <v>0.4264</v>
          </cell>
          <cell r="F91">
            <v>0.41260000000000002</v>
          </cell>
          <cell r="G91">
            <v>0.41220000000000001</v>
          </cell>
          <cell r="H91">
            <v>0.39910000000000001</v>
          </cell>
          <cell r="I91">
            <v>0.39639999999999997</v>
          </cell>
          <cell r="J91">
            <v>0.3931</v>
          </cell>
          <cell r="K91">
            <v>0.39200000000000002</v>
          </cell>
          <cell r="L91">
            <v>0.38890000000000002</v>
          </cell>
          <cell r="M91">
            <v>0.38819999999999999</v>
          </cell>
          <cell r="N91">
            <v>0.37709999999999999</v>
          </cell>
          <cell r="O91">
            <v>0.36509999999999998</v>
          </cell>
          <cell r="P91">
            <v>0.34239999999999998</v>
          </cell>
          <cell r="Q91">
            <v>0.34239999999999998</v>
          </cell>
          <cell r="R91">
            <v>0.34239999999999998</v>
          </cell>
          <cell r="S91">
            <v>0.34239999999999998</v>
          </cell>
          <cell r="T91">
            <v>0.34239999999999998</v>
          </cell>
          <cell r="U91">
            <v>0.34239999999999998</v>
          </cell>
          <cell r="V91">
            <v>0.34239999999999998</v>
          </cell>
        </row>
        <row r="92">
          <cell r="A92">
            <v>91</v>
          </cell>
          <cell r="B92">
            <v>0.42209999999999998</v>
          </cell>
          <cell r="C92">
            <v>0.42209999999999998</v>
          </cell>
          <cell r="D92">
            <v>0.40970000000000001</v>
          </cell>
          <cell r="E92">
            <v>0.40500000000000003</v>
          </cell>
          <cell r="F92">
            <v>0.39100000000000001</v>
          </cell>
          <cell r="G92">
            <v>0.3906</v>
          </cell>
          <cell r="H92">
            <v>0.37740000000000001</v>
          </cell>
          <cell r="I92">
            <v>0.3745</v>
          </cell>
          <cell r="J92">
            <v>0.37119999999999997</v>
          </cell>
          <cell r="K92">
            <v>0.37009999999999998</v>
          </cell>
          <cell r="L92">
            <v>0.3669</v>
          </cell>
          <cell r="M92">
            <v>0.36609999999999998</v>
          </cell>
          <cell r="N92">
            <v>0.35449999999999998</v>
          </cell>
          <cell r="O92">
            <v>0.34200000000000003</v>
          </cell>
          <cell r="P92">
            <v>0.31809999999999999</v>
          </cell>
          <cell r="Q92">
            <v>0.31809999999999999</v>
          </cell>
          <cell r="R92">
            <v>0.31809999999999999</v>
          </cell>
          <cell r="S92">
            <v>0.31809999999999999</v>
          </cell>
          <cell r="T92">
            <v>0.31809999999999999</v>
          </cell>
          <cell r="U92">
            <v>0.31809999999999999</v>
          </cell>
          <cell r="V92">
            <v>0.31809999999999999</v>
          </cell>
        </row>
        <row r="93">
          <cell r="A93">
            <v>92</v>
          </cell>
          <cell r="B93">
            <v>0.4002</v>
          </cell>
          <cell r="C93">
            <v>0.4002</v>
          </cell>
          <cell r="D93">
            <v>0.38750000000000001</v>
          </cell>
          <cell r="E93">
            <v>0.38279999999999997</v>
          </cell>
          <cell r="F93">
            <v>0.36849999999999999</v>
          </cell>
          <cell r="G93">
            <v>0.36820000000000003</v>
          </cell>
          <cell r="H93">
            <v>0.35489999999999999</v>
          </cell>
          <cell r="I93">
            <v>0.35199999999999998</v>
          </cell>
          <cell r="J93">
            <v>0.34849999999999998</v>
          </cell>
          <cell r="K93">
            <v>0.34739999999999999</v>
          </cell>
          <cell r="L93">
            <v>0.34410000000000002</v>
          </cell>
          <cell r="M93">
            <v>0.34329999999999999</v>
          </cell>
          <cell r="N93">
            <v>0.33119999999999999</v>
          </cell>
          <cell r="O93">
            <v>0.318</v>
          </cell>
          <cell r="P93">
            <v>0.29310000000000003</v>
          </cell>
          <cell r="Q93">
            <v>0.29310000000000003</v>
          </cell>
          <cell r="R93">
            <v>0.29310000000000003</v>
          </cell>
          <cell r="S93">
            <v>0.29310000000000003</v>
          </cell>
          <cell r="T93">
            <v>0.29310000000000003</v>
          </cell>
          <cell r="U93">
            <v>0.29310000000000003</v>
          </cell>
          <cell r="V93">
            <v>0.29310000000000003</v>
          </cell>
        </row>
        <row r="94">
          <cell r="A94">
            <v>93</v>
          </cell>
          <cell r="B94">
            <v>0.37730000000000002</v>
          </cell>
          <cell r="C94">
            <v>0.37730000000000002</v>
          </cell>
          <cell r="D94">
            <v>0.3644</v>
          </cell>
          <cell r="E94">
            <v>0.35959999999999998</v>
          </cell>
          <cell r="F94">
            <v>0.3453</v>
          </cell>
          <cell r="G94">
            <v>0.34489999999999998</v>
          </cell>
          <cell r="H94">
            <v>0.33169999999999999</v>
          </cell>
          <cell r="I94">
            <v>0.3286</v>
          </cell>
          <cell r="J94">
            <v>0.32500000000000001</v>
          </cell>
          <cell r="K94">
            <v>0.32390000000000002</v>
          </cell>
          <cell r="L94">
            <v>0.32050000000000001</v>
          </cell>
          <cell r="M94">
            <v>0.3196</v>
          </cell>
          <cell r="N94">
            <v>0.307</v>
          </cell>
          <cell r="O94">
            <v>0.29320000000000002</v>
          </cell>
          <cell r="P94">
            <v>0.26719999999999999</v>
          </cell>
          <cell r="Q94">
            <v>0.26719999999999999</v>
          </cell>
          <cell r="R94">
            <v>0.26719999999999999</v>
          </cell>
          <cell r="S94">
            <v>0.26719999999999999</v>
          </cell>
          <cell r="T94">
            <v>0.26719999999999999</v>
          </cell>
          <cell r="U94">
            <v>0.26719999999999999</v>
          </cell>
          <cell r="V94">
            <v>0.26719999999999999</v>
          </cell>
        </row>
        <row r="95">
          <cell r="A95">
            <v>94</v>
          </cell>
          <cell r="B95">
            <v>0.35349999999999998</v>
          </cell>
          <cell r="C95">
            <v>0.35349999999999998</v>
          </cell>
          <cell r="D95">
            <v>0.34050000000000002</v>
          </cell>
          <cell r="E95">
            <v>0.33560000000000001</v>
          </cell>
          <cell r="F95">
            <v>0.32119999999999999</v>
          </cell>
          <cell r="G95">
            <v>0.32079999999999997</v>
          </cell>
          <cell r="H95">
            <v>0.30769999999999997</v>
          </cell>
          <cell r="I95">
            <v>0.30449999999999999</v>
          </cell>
          <cell r="J95">
            <v>0.30070000000000002</v>
          </cell>
          <cell r="K95">
            <v>0.29959999999999998</v>
          </cell>
          <cell r="L95">
            <v>0.29609999999999997</v>
          </cell>
          <cell r="M95">
            <v>0.29520000000000002</v>
          </cell>
          <cell r="N95">
            <v>0.28199999999999997</v>
          </cell>
          <cell r="O95">
            <v>0.26769999999999999</v>
          </cell>
          <cell r="P95">
            <v>0.24049999999999999</v>
          </cell>
          <cell r="Q95">
            <v>0.24049999999999999</v>
          </cell>
          <cell r="R95">
            <v>0.24049999999999999</v>
          </cell>
          <cell r="S95">
            <v>0.24049999999999999</v>
          </cell>
          <cell r="T95">
            <v>0.24049999999999999</v>
          </cell>
          <cell r="U95">
            <v>0.24049999999999999</v>
          </cell>
          <cell r="V95">
            <v>0.24049999999999999</v>
          </cell>
        </row>
        <row r="96">
          <cell r="A96">
            <v>95</v>
          </cell>
          <cell r="B96">
            <v>0.32879999999999998</v>
          </cell>
          <cell r="C96">
            <v>0.32879999999999998</v>
          </cell>
          <cell r="D96">
            <v>0.31559999999999999</v>
          </cell>
          <cell r="E96">
            <v>0.31069999999999998</v>
          </cell>
          <cell r="F96">
            <v>0.29630000000000001</v>
          </cell>
          <cell r="G96">
            <v>0.2959</v>
          </cell>
          <cell r="H96">
            <v>0.28289999999999998</v>
          </cell>
          <cell r="I96">
            <v>0.27960000000000002</v>
          </cell>
          <cell r="J96">
            <v>0.2757</v>
          </cell>
          <cell r="K96">
            <v>0.27450000000000002</v>
          </cell>
          <cell r="L96">
            <v>0.27079999999999999</v>
          </cell>
          <cell r="M96">
            <v>0.27</v>
          </cell>
          <cell r="N96">
            <v>0.25619999999999998</v>
          </cell>
          <cell r="O96">
            <v>0.24129999999999999</v>
          </cell>
          <cell r="P96">
            <v>0.21310000000000001</v>
          </cell>
          <cell r="Q96">
            <v>0.21310000000000001</v>
          </cell>
          <cell r="R96">
            <v>0.21310000000000001</v>
          </cell>
          <cell r="S96">
            <v>0.21310000000000001</v>
          </cell>
          <cell r="T96">
            <v>0.21310000000000001</v>
          </cell>
          <cell r="U96">
            <v>0.21310000000000001</v>
          </cell>
          <cell r="V96">
            <v>0.21310000000000001</v>
          </cell>
        </row>
        <row r="97">
          <cell r="A97">
            <v>96</v>
          </cell>
          <cell r="B97">
            <v>0.30309999999999998</v>
          </cell>
          <cell r="C97">
            <v>0.30309999999999998</v>
          </cell>
          <cell r="D97">
            <v>0.2898</v>
          </cell>
          <cell r="E97">
            <v>0.28489999999999999</v>
          </cell>
          <cell r="F97">
            <v>0.27060000000000001</v>
          </cell>
          <cell r="G97">
            <v>0.2702</v>
          </cell>
          <cell r="H97">
            <v>0.25740000000000002</v>
          </cell>
          <cell r="I97">
            <v>0.254</v>
          </cell>
          <cell r="J97">
            <v>0.24990000000000001</v>
          </cell>
          <cell r="K97">
            <v>0.24859999999999999</v>
          </cell>
          <cell r="L97">
            <v>0.24479999999999999</v>
          </cell>
          <cell r="M97">
            <v>0.24390000000000001</v>
          </cell>
          <cell r="N97">
            <v>0.2296</v>
          </cell>
          <cell r="O97">
            <v>0.21410000000000001</v>
          </cell>
          <cell r="P97">
            <v>0.18479999999999999</v>
          </cell>
          <cell r="Q97">
            <v>0.18479999999999999</v>
          </cell>
          <cell r="R97">
            <v>0.18479999999999999</v>
          </cell>
          <cell r="S97">
            <v>0.18479999999999999</v>
          </cell>
          <cell r="T97">
            <v>0.18479999999999999</v>
          </cell>
          <cell r="U97">
            <v>0.18479999999999999</v>
          </cell>
          <cell r="V97">
            <v>0.18479999999999999</v>
          </cell>
        </row>
        <row r="98">
          <cell r="A98">
            <v>97</v>
          </cell>
          <cell r="B98">
            <v>0.27639999999999998</v>
          </cell>
          <cell r="C98">
            <v>0.27639999999999998</v>
          </cell>
          <cell r="D98">
            <v>0.2631</v>
          </cell>
          <cell r="E98">
            <v>0.25829999999999997</v>
          </cell>
          <cell r="F98">
            <v>0.24410000000000001</v>
          </cell>
          <cell r="G98">
            <v>0.2437</v>
          </cell>
          <cell r="H98">
            <v>0.2311</v>
          </cell>
          <cell r="I98">
            <v>0.2276</v>
          </cell>
          <cell r="J98">
            <v>0.2233</v>
          </cell>
          <cell r="K98">
            <v>0.222</v>
          </cell>
          <cell r="L98">
            <v>0.218</v>
          </cell>
          <cell r="M98">
            <v>0.21709999999999999</v>
          </cell>
          <cell r="N98">
            <v>0.20219999999999999</v>
          </cell>
          <cell r="O98">
            <v>0.1862</v>
          </cell>
          <cell r="P98">
            <v>0.15579999999999999</v>
          </cell>
          <cell r="Q98">
            <v>0.15579999999999999</v>
          </cell>
          <cell r="R98">
            <v>0.15579999999999999</v>
          </cell>
          <cell r="S98">
            <v>0.15579999999999999</v>
          </cell>
          <cell r="T98">
            <v>0.15579999999999999</v>
          </cell>
          <cell r="U98">
            <v>0.15579999999999999</v>
          </cell>
          <cell r="V98">
            <v>0.15579999999999999</v>
          </cell>
        </row>
        <row r="99">
          <cell r="A99">
            <v>98</v>
          </cell>
          <cell r="B99">
            <v>0.24890000000000001</v>
          </cell>
          <cell r="C99">
            <v>0.24890000000000001</v>
          </cell>
          <cell r="D99">
            <v>0.2356</v>
          </cell>
          <cell r="E99">
            <v>0.23069999999999999</v>
          </cell>
          <cell r="F99">
            <v>0.2167</v>
          </cell>
          <cell r="G99">
            <v>0.21640000000000001</v>
          </cell>
          <cell r="H99">
            <v>0.2041</v>
          </cell>
          <cell r="I99">
            <v>0.20039999999999999</v>
          </cell>
          <cell r="J99">
            <v>0.19589999999999999</v>
          </cell>
          <cell r="K99">
            <v>0.1946</v>
          </cell>
          <cell r="L99">
            <v>0.19040000000000001</v>
          </cell>
          <cell r="M99">
            <v>0.18940000000000001</v>
          </cell>
          <cell r="N99">
            <v>0.17399999999999999</v>
          </cell>
          <cell r="O99">
            <v>0.15740000000000001</v>
          </cell>
          <cell r="P99">
            <v>0.12590000000000001</v>
          </cell>
          <cell r="Q99">
            <v>0.12590000000000001</v>
          </cell>
          <cell r="R99">
            <v>0.12590000000000001</v>
          </cell>
          <cell r="S99">
            <v>0.12590000000000001</v>
          </cell>
          <cell r="T99">
            <v>0.12590000000000001</v>
          </cell>
          <cell r="U99">
            <v>0.12590000000000001</v>
          </cell>
          <cell r="V99">
            <v>0.12590000000000001</v>
          </cell>
        </row>
        <row r="100">
          <cell r="A100">
            <v>99</v>
          </cell>
          <cell r="B100">
            <v>0.22040000000000001</v>
          </cell>
          <cell r="C100">
            <v>0.22040000000000001</v>
          </cell>
          <cell r="D100">
            <v>0.2072</v>
          </cell>
          <cell r="E100">
            <v>0.20230000000000001</v>
          </cell>
          <cell r="F100">
            <v>0.1885</v>
          </cell>
          <cell r="G100">
            <v>0.18820000000000001</v>
          </cell>
          <cell r="H100">
            <v>0.17630000000000001</v>
          </cell>
          <cell r="I100">
            <v>0.1724</v>
          </cell>
          <cell r="J100">
            <v>0.1678</v>
          </cell>
          <cell r="K100">
            <v>0.16639999999999999</v>
          </cell>
          <cell r="L100">
            <v>0.16200000000000001</v>
          </cell>
          <cell r="M100">
            <v>0.161</v>
          </cell>
          <cell r="N100">
            <v>0.14510000000000001</v>
          </cell>
          <cell r="O100">
            <v>0.1278</v>
          </cell>
          <cell r="P100">
            <v>9.5200000000000007E-2</v>
          </cell>
          <cell r="Q100">
            <v>9.5200000000000007E-2</v>
          </cell>
          <cell r="R100">
            <v>9.5200000000000007E-2</v>
          </cell>
          <cell r="S100">
            <v>9.5200000000000007E-2</v>
          </cell>
          <cell r="T100">
            <v>9.5200000000000007E-2</v>
          </cell>
          <cell r="U100">
            <v>9.5200000000000007E-2</v>
          </cell>
          <cell r="V100">
            <v>9.5200000000000007E-2</v>
          </cell>
        </row>
        <row r="101">
          <cell r="A101">
            <v>100</v>
          </cell>
          <cell r="B101">
            <v>0.19089999999999999</v>
          </cell>
          <cell r="C101">
            <v>0.19089999999999999</v>
          </cell>
          <cell r="D101">
            <v>0.17780000000000001</v>
          </cell>
          <cell r="E101">
            <v>0.1731</v>
          </cell>
          <cell r="F101">
            <v>0.15959999999999999</v>
          </cell>
          <cell r="G101">
            <v>0.15920000000000001</v>
          </cell>
          <cell r="H101">
            <v>0.1477</v>
          </cell>
          <cell r="I101">
            <v>0.14369999999999999</v>
          </cell>
          <cell r="J101">
            <v>0.1389</v>
          </cell>
          <cell r="K101">
            <v>0.13739999999999999</v>
          </cell>
          <cell r="L101">
            <v>0.13289999999999999</v>
          </cell>
          <cell r="M101">
            <v>0.1318</v>
          </cell>
          <cell r="N101">
            <v>0.1153</v>
          </cell>
          <cell r="O101">
            <v>9.7500000000000003E-2</v>
          </cell>
          <cell r="P101">
            <v>6.3799999999999996E-2</v>
          </cell>
          <cell r="Q101">
            <v>6.3799999999999996E-2</v>
          </cell>
          <cell r="R101">
            <v>6.3799999999999996E-2</v>
          </cell>
          <cell r="S101">
            <v>6.3799999999999996E-2</v>
          </cell>
          <cell r="T101">
            <v>6.3799999999999996E-2</v>
          </cell>
          <cell r="U101">
            <v>6.3799999999999996E-2</v>
          </cell>
          <cell r="V101">
            <v>6.3799999999999996E-2</v>
          </cell>
        </row>
      </sheetData>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B3AA53-B5FC-4F59-9B6B-9E8A9F8C9EE2}" name="SAR_table" displayName="SAR_table" ref="A10:S183" totalsRowShown="0" headerRowDxfId="75" dataDxfId="74" tableBorderDxfId="73">
  <autoFilter ref="A10:S183" xr:uid="{73A12A0D-03AC-4730-8AE3-5316160E37CA}"/>
  <tableColumns count="19">
    <tableColumn id="1" xr3:uid="{EEFDA996-129B-4400-A7BE-1AE51E33B17A}" name="Gender" dataDxfId="72"/>
    <tableColumn id="2" xr3:uid="{9EBC7198-DA90-4A7B-9B42-45BDBB439886}" name="Age" dataDxfId="71"/>
    <tableColumn id="3" xr3:uid="{633CEBFA-DFD4-4668-A2E0-B81B4424B03D}" name="Time" dataDxfId="70"/>
    <tableColumn id="4" xr3:uid="{10F2B087-95D8-4A67-86FF-ACB61D52DBC8}" name="Name (Country)" dataDxfId="69"/>
    <tableColumn id="5" xr3:uid="{98BBB867-2706-4CB6-B511-5239DA930800}" name="DOB" dataDxfId="68"/>
    <tableColumn id="6" xr3:uid="{2DC5FD4A-5EED-4028-8D8D-40C493C156F9}" name="Race Date" dataDxfId="67"/>
    <tableColumn id="7" xr3:uid="{32AC4436-0238-4181-A11E-884E61D97727}" name="Race Location" dataDxfId="66"/>
    <tableColumn id="8" xr3:uid="{4798E221-37FA-4E6B-9860-1E0DB7774ECA}" name="Gun time (if net different)" dataDxfId="65"/>
    <tableColumn id="9" xr3:uid="{5FE03681-B207-4F92-91C3-57779BDDA9F9}" name="Alan Jones' times" dataDxfId="64"/>
    <tableColumn id="10" xr3:uid="{CB521E01-0D53-4071-8472-78957860BDBE}" name="Explanation of / notes about difference" dataDxfId="63"/>
    <tableColumn id="11" xr3:uid="{8E817F36-D305-46A2-9292-9CEE80B209BF}" name="FNAME" dataDxfId="62"/>
    <tableColumn id="12" xr3:uid="{ABDCDFEB-B324-4775-A092-16C15F2D3188}" name="LNAME" dataDxfId="61"/>
    <tableColumn id="13" xr3:uid="{9F5259E5-27E2-4A56-83F5-2B34F818F08A}" name="Country" dataDxfId="60"/>
    <tableColumn id="14" xr3:uid="{1116529F-7272-46A3-8800-CD93752C0919}" name="DOB2" dataDxfId="59"/>
    <tableColumn id="15" xr3:uid="{DFCB5228-830E-4B5F-B998-E81993800227}" name="RACE_NAME" dataDxfId="58"/>
    <tableColumn id="16" xr3:uid="{04266EF4-F779-4F52-9706-424E50C0F604}" name="RACE_LOC" dataDxfId="57"/>
    <tableColumn id="17" xr3:uid="{2A29FFC0-62EB-4BE6-A7DD-FD70E4CB994E}" name="RACE_DATE" dataDxfId="56"/>
    <tableColumn id="18" xr3:uid="{C364891D-EF2B-4701-BFFC-B87F53E45B22}" name="COURSE_CERT_SOURCE" dataDxfId="55"/>
    <tableColumn id="19" xr3:uid="{2F329497-3E10-4C21-8926-788345DFDAA7}" name="Other" dataDxfId="54"/>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E97C42-0EAE-4A34-846A-F63466EFFC9E}" name="Table33" displayName="Table33" ref="A77:E88" totalsRowShown="0" headerRowDxfId="22">
  <autoFilter ref="A77:E88" xr:uid="{F50447F0-44E5-4DB5-8252-F827F8A3D350}"/>
  <tableColumns count="5">
    <tableColumn id="1" xr3:uid="{D7D7E083-69A0-4264-8278-962866E18E40}" name="Runner"/>
    <tableColumn id="2" xr3:uid="{91DF4C38-D5E2-4559-9A3F-07ABB2E25F31}" name="Finish Time" dataDxfId="21"/>
    <tableColumn id="3" xr3:uid="{AA6A3890-2F82-40F4-9436-C2B63FA7E65A}" name="Pace/Mile" dataDxfId="20"/>
    <tableColumn id="4" xr3:uid="{CA29B85C-7773-4266-8BFE-8874F2C613C7}" name="Marathon"/>
    <tableColumn id="5" xr3:uid="{0AFB374D-8ACA-4338-9399-6B4B3D873CE4}" name="Column1"/>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1D9A259-503B-4DD5-A2E3-E3758ED9B1C2}" name="Table34" displayName="Table34" ref="G77:K84" totalsRowShown="0" headerRowDxfId="19">
  <autoFilter ref="G77:K84" xr:uid="{4E53BB3F-692F-48B4-B2B3-DAF4E5244E7F}"/>
  <tableColumns count="5">
    <tableColumn id="1" xr3:uid="{B3BFA2D8-ACEB-48D8-B3B1-EE107915DBE0}" name="Runner"/>
    <tableColumn id="2" xr3:uid="{51D3B2E5-4D26-4301-B1BD-5D86E450E821}" name="Finish Time" dataDxfId="18"/>
    <tableColumn id="3" xr3:uid="{C4EDAF8B-39B8-4FE0-9554-B4162001A71D}" name="Pace/Mile" dataDxfId="17"/>
    <tableColumn id="4" xr3:uid="{04C0A5D6-8B4A-481E-BAA6-22DA67C01C94}" name="Marathon"/>
    <tableColumn id="5" xr3:uid="{92831FBC-2375-4891-AC04-F292F41606D0}" name="Column1"/>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12895B-6113-4596-9443-FD9060135370}" name="Table12" displayName="Table12" ref="A6:O140" totalsRowShown="0" dataDxfId="2">
  <autoFilter ref="A6:O140" xr:uid="{F8765811-BBA5-4976-BD3D-1B5BAB043321}"/>
  <tableColumns count="15">
    <tableColumn id="1" xr3:uid="{7799F0E2-1FB3-4A9C-8F59-C739A6680E2F}" name="Gender" dataDxfId="16"/>
    <tableColumn id="2" xr3:uid="{85D249C2-FE7F-4824-A6BE-9CFF026ABBB1}" name="Age" dataDxfId="15"/>
    <tableColumn id="3" xr3:uid="{BD2CF8DF-F311-415D-AAB3-BC5313BDEC83}" name="SAR" dataDxfId="14">
      <calculatedColumnFormula>IF(A7="M",VLOOKUP(B7,'ARRS Marathon SARs (formatted)'!$B$11:$S$97,2),IF(A7="F",VLOOKUP(B7,'ARRS Marathon SARs (formatted)'!$B$98:$S$183,2)))</calculatedColumnFormula>
    </tableColumn>
    <tableColumn id="4" xr3:uid="{C1AEA37F-8DFE-423C-A283-25233EA01C96}" name="SAR_min" dataDxfId="13">
      <calculatedColumnFormula>C7*1440</calculatedColumnFormula>
    </tableColumn>
    <tableColumn id="15" xr3:uid="{B1C67BE1-27E8-4673-ACAC-A18ACA893015}" name="WR?" dataDxfId="1">
      <calculatedColumnFormula>IF(Table12[[#This Row],[SAR]]=$D$3,"Yes",IF(Table12[[#This Row],[SAR]]=$D$4, "Yes", "No"))</calculatedColumnFormula>
    </tableColumn>
    <tableColumn id="5" xr3:uid="{757F78A9-C6EB-4BF6-B156-21D6134E5490}" name="2020_AF" dataDxfId="12">
      <calculatedColumnFormula>IF(A7="M",VLOOKUP(B7,[3]AgeStdFactors!$A$2:$V$100,16),IF(A7="F",VLOOKUP(B7,[4]AgeStdFactors!$A$2:$V$101,16)))</calculatedColumnFormula>
    </tableColumn>
    <tableColumn id="6" xr3:uid="{D983DEEC-AAC1-4AE5-B51F-9C2195892F57}" name="2020_AS" dataDxfId="11">
      <calculatedColumnFormula>IF(A7="M", Male_2020_Open_Standard/F7,IF(A7="F",Female_2020_Open_Standard/F7))</calculatedColumnFormula>
    </tableColumn>
    <tableColumn id="7" xr3:uid="{B77A1410-7923-421A-874B-950789F0F744}" name="2020_AS_min" dataDxfId="10">
      <calculatedColumnFormula>G7*1440</calculatedColumnFormula>
    </tableColumn>
    <tableColumn id="8" xr3:uid="{1360EA33-3F37-425D-B863-BB961B8F1087}" name="SAR vs 20AS diff (min)" dataDxfId="9">
      <calculatedColumnFormula>D7-H7</calculatedColumnFormula>
    </tableColumn>
    <tableColumn id="9" xr3:uid="{248370ED-0E3C-47F2-A4C4-F255FA9DA94D}" name="% Diff" dataDxfId="8" dataCellStyle="Percent">
      <calculatedColumnFormula>I7/D7</calculatedColumnFormula>
    </tableColumn>
    <tableColumn id="10" xr3:uid="{9AB74C83-6BF4-4DF5-9511-BAFD8AB74C6D}" name="Race_Date" dataDxfId="7">
      <calculatedColumnFormula>IF(A7="M",VLOOKUP(B7,'ARRS Marathon SARs (formatted)'!$B$11:$S$97,5),IF(A7="F",VLOOKUP(B7,'ARRS Marathon SARs (formatted)'!$B$98:$S$183,5)))</calculatedColumnFormula>
    </tableColumn>
    <tableColumn id="11" xr3:uid="{F834D3CA-E782-4413-8B97-50ABED7566F0}" name="After_2015?" dataDxfId="6">
      <calculatedColumnFormula>IF(K7&gt;=$K$3,"Set after","Set before")</calculatedColumnFormula>
    </tableColumn>
    <tableColumn id="12" xr3:uid="{B40265C6-3115-4637-928E-2383B93F5A21}" name="2015_AF" dataDxfId="5">
      <calculatedColumnFormula>INDEX('2015_Road Weights'!$A:$CX,MATCH(Table12[[#This Row],[Gender]],'2015_Road Weights'!$A:$A,0),MATCH(Table12[[#This Row],[Age]],'2015_Road Weights'!$1:$1,0))</calculatedColumnFormula>
    </tableColumn>
    <tableColumn id="13" xr3:uid="{F7D5E215-635A-441B-935F-303D6C2C5A0E}" name="2015_AS" dataDxfId="4">
      <calculatedColumnFormula>IF(A7="M", Male_2015_Open_Standard/M7,IF(A7="F",Female_2020_Open_Standard/M7))</calculatedColumnFormula>
    </tableColumn>
    <tableColumn id="14" xr3:uid="{4E87419C-71AD-4B49-B6A8-F194DA88455F}" name="2015_AS_min" dataDxfId="3">
      <calculatedColumnFormula>Table12[[#This Row],[2015_AS]]*1440</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2D8FC47-DFFB-4DF7-A7BB-02CD713D9DDD}" name="Table11" displayName="Table11" ref="E4:J7" totalsRowShown="0" headerRowDxfId="53" dataDxfId="51" headerRowBorderDxfId="52" tableBorderDxfId="50" totalsRowBorderDxfId="49">
  <autoFilter ref="E4:J7" xr:uid="{97F3A8EC-0E01-4137-B665-7ED50AA1BCCF}"/>
  <tableColumns count="6">
    <tableColumn id="1" xr3:uid="{66EAE819-352A-4F6D-956A-683AF5E52A1E}" name="Record Stats" dataDxfId="48"/>
    <tableColumn id="2" xr3:uid="{9F58A89F-52F6-4005-B3D5-A3C22D09ADF0}" name="Total (#)" dataDxfId="47"/>
    <tableColumn id="3" xr3:uid="{EC3A8527-5C22-4F9E-9E93-F5B361184570}" name="After Date (#)" dataDxfId="46"/>
    <tableColumn id="4" xr3:uid="{6F104382-2829-414B-8049-8324D1D0D9B9}" name="After Date (%)" dataDxfId="45" dataCellStyle="Percent">
      <calculatedColumnFormula>G5/F5</calculatedColumnFormula>
    </tableColumn>
    <tableColumn id="5" xr3:uid="{C49623F2-57F9-4B94-B16D-F17C1F19D1B8}" name="After Date AND 18-84 (#)" dataDxfId="44"/>
    <tableColumn id="6" xr3:uid="{E332F8C6-D5AF-42B9-95DB-F9993F5B95FB}" name="After Date AND 18-84 (%)" dataDxfId="43" dataCellStyle="Perc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EA79D-C537-46E2-997C-5FBB7B7E8482}" name="Table23" displayName="Table23" ref="A7:H31" totalsRowShown="0">
  <autoFilter ref="A7:H31" xr:uid="{56EE8997-198B-4C45-BC8D-837C4B6D0269}"/>
  <tableColumns count="8">
    <tableColumn id="1" xr3:uid="{FFA57136-FE22-4AEC-B9FD-EFC6C955E13A}" name="M/F"/>
    <tableColumn id="2" xr3:uid="{BC75A93B-BA29-4312-B574-B571D94A5F2C}" name="Age Division"/>
    <tableColumn id="3" xr3:uid="{EEA6C0E6-E395-4773-9500-8A6DCD6E6A1C}" name="Time" dataDxfId="42"/>
    <tableColumn id="4" xr3:uid="{4BC6D11A-6417-419C-B3F9-13CC831A04A8}" name="Name"/>
    <tableColumn id="5" xr3:uid="{62267A84-E618-4F71-BB0F-C27AA163E10C}" name="Country"/>
    <tableColumn id="6" xr3:uid="{3E6BAA3B-1E86-4930-AEF8-08A96066B53C}" name="Age"/>
    <tableColumn id="7" xr3:uid="{27BCAB6A-CA3D-40D5-A803-77B771CB862F}" name="Date" dataDxfId="41"/>
    <tableColumn id="8" xr3:uid="{3E4B3121-1D2F-42F1-A832-7BE376D75BD7}" name="Race_Locatio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158F34-AF66-4301-A237-DB10A186DC0E}" name="Table24" displayName="Table24" ref="A38:E48" totalsRowShown="0" headerRowDxfId="40">
  <autoFilter ref="A38:E48" xr:uid="{E80DE5EE-12DD-481E-8ED5-2FE8BEA4F9F6}"/>
  <tableColumns count="5">
    <tableColumn id="1" xr3:uid="{677BF27B-3001-4EEB-A4D2-ADE504A22F4C}" name="Name"/>
    <tableColumn id="2" xr3:uid="{8D260067-182B-454B-848B-5FF47490503E}" name="Time" dataDxfId="39"/>
    <tableColumn id="3" xr3:uid="{3FDFA4B3-7E8C-441F-BACA-DD241F4FB84C}" name="Pace/Mile" dataDxfId="38"/>
    <tableColumn id="4" xr3:uid="{EC9F6AAA-C1A1-47DB-9764-37692A0826CB}" name="Marathon"/>
    <tableColumn id="5" xr3:uid="{9BB39786-0514-44FD-AFD4-A23FA87D7ED2}" name="Year"/>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0A4F8-489A-45E8-8159-3643990C4764}" name="Table28" displayName="Table28" ref="G38:K48" totalsRowShown="0" headerRowDxfId="37">
  <autoFilter ref="G38:K48" xr:uid="{38609762-871E-4229-8ECA-15992BA2C095}"/>
  <tableColumns count="5">
    <tableColumn id="1" xr3:uid="{D4AEA4A6-1233-406F-8837-239B1557F566}" name="Runner"/>
    <tableColumn id="2" xr3:uid="{51539E88-49AD-4A0B-85C0-1B5BBAA00C59}" name="Time" dataDxfId="36"/>
    <tableColumn id="3" xr3:uid="{0594731A-22CD-436C-86D0-F2D079F3E4BF}" name="Pace/Mile" dataDxfId="35"/>
    <tableColumn id="4" xr3:uid="{20BC11AB-6699-4D02-90A9-C59322DEDD45}" name="Marathon"/>
    <tableColumn id="5" xr3:uid="{3E6B38D8-9C85-4ED0-92DC-4E21663E5B5D}" name="Column1"/>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D1F66D-6450-4A92-88F3-15771032D401}" name="Table29" displayName="Table29" ref="A51:E61" totalsRowShown="0" headerRowDxfId="34">
  <autoFilter ref="A51:E61" xr:uid="{F9BC2570-08CA-43C9-95D7-4D211AECE003}"/>
  <tableColumns count="5">
    <tableColumn id="1" xr3:uid="{E2B25154-87BD-4148-8494-4A79A89FAF76}" name="Runner"/>
    <tableColumn id="2" xr3:uid="{E5CA910F-9444-4EEA-8F52-4BD89037CB4E}" name="Finish Time" dataDxfId="33"/>
    <tableColumn id="3" xr3:uid="{A0AF654D-2C13-4431-ACD8-99E21772A05C}" name="Pace/Mile" dataDxfId="32"/>
    <tableColumn id="4" xr3:uid="{5EB6DF09-BDBF-4C23-BD9C-9B2A923DC95A}" name="Marathon"/>
    <tableColumn id="5" xr3:uid="{0A28555D-BAE5-42D3-B2E4-C2E20103078B}" name="Column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6F3C00-6B8A-4862-9323-A459106DC286}" name="Table30" displayName="Table30" ref="G51:K61" totalsRowShown="0" headerRowDxfId="31">
  <autoFilter ref="G51:K61" xr:uid="{F7233ED8-A5D3-4434-B218-48E454809A8F}"/>
  <tableColumns count="5">
    <tableColumn id="1" xr3:uid="{78593B98-EB83-4734-AC86-BEF34BE08F41}" name="Runner"/>
    <tableColumn id="2" xr3:uid="{FFFB915B-3383-43F7-ABDF-C581742DDD60}" name="Finish Time" dataDxfId="30"/>
    <tableColumn id="3" xr3:uid="{0A73ADB5-C674-4A02-B569-1EBBF733C43E}" name="Pace/Mile" dataDxfId="29"/>
    <tableColumn id="4" xr3:uid="{9C0FB1E1-8146-4325-A3E2-789E1D6E6417}" name="Marathon"/>
    <tableColumn id="5" xr3:uid="{3E3127C8-3B91-4BBC-B4B3-B5A6DC8E93FB}" name="Column1"/>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CA8CC5-D1DF-456B-BE80-BB8D8E749C5D}" name="Table31" displayName="Table31" ref="A64:E74" totalsRowShown="0" headerRowDxfId="28">
  <autoFilter ref="A64:E74" xr:uid="{A0F1D78E-E1D4-4C40-BAF1-CF38EAFC8A4F}"/>
  <tableColumns count="5">
    <tableColumn id="1" xr3:uid="{6E617E29-7EE0-472A-BBA2-AC2259E93E7D}" name="Runner"/>
    <tableColumn id="2" xr3:uid="{85B85EFC-03B5-4F9C-B3B6-99CEDA4E2E82}" name="Finish Time" dataDxfId="27"/>
    <tableColumn id="3" xr3:uid="{6996FF84-7F4E-4A4E-9BE2-6A8C6859836C}" name="Pace/Mile" dataDxfId="26"/>
    <tableColumn id="4" xr3:uid="{6040B031-082D-4C06-A1F2-F13B7B4230A7}" name="Marathon"/>
    <tableColumn id="5" xr3:uid="{F20A562B-0412-41FF-ADE6-653AF28E1388}" name="Column1"/>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7665BC-3C4A-47D4-BA42-AB9918A21DF2}" name="Table32" displayName="Table32" ref="G64:K74" totalsRowShown="0" headerRowDxfId="25">
  <autoFilter ref="G64:K74" xr:uid="{2C805BD1-9229-47B4-A36F-B356997D0FDD}"/>
  <tableColumns count="5">
    <tableColumn id="1" xr3:uid="{628CDC5B-1AC6-4616-B9B3-F3992816DFB5}" name="Runner"/>
    <tableColumn id="2" xr3:uid="{A1CD1DD0-0187-4C20-A76B-3ABE8F068A24}" name="Finish Time" dataDxfId="24"/>
    <tableColumn id="3" xr3:uid="{BF140E01-F133-4173-B4D2-279C0FF1CFC7}" name="Pace/Mile" dataDxfId="23"/>
    <tableColumn id="4" xr3:uid="{058C4730-7BF7-49C0-B91B-1B5BB35AC220}" name="Marathon"/>
    <tableColumn id="5" xr3:uid="{138063DF-B221-48A0-B5DE-424401A7CF1A}" name="Column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arrs.run/SA_Mara.htm"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rinterSettings" Target="../printerSettings/printerSettings3.bin"/><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orld-masters-athletics.com/championships/non-stadia/" TargetMode="External"/><Relationship Id="rId1" Type="http://schemas.openxmlformats.org/officeDocument/2006/relationships/hyperlink" Target="https://www.runnersworld.com/races-places/a20823734/these-are-the-worlds-fastest-marathoners-and-marathon-courses/"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rrs.run/SA_Mara.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B324-D7E1-41C3-BD55-24A4C7DA8D29}">
  <dimension ref="A1:V183"/>
  <sheetViews>
    <sheetView workbookViewId="0">
      <pane xSplit="2" ySplit="10" topLeftCell="C107" activePane="bottomRight" state="frozen"/>
      <selection pane="topRight" activeCell="C1" sqref="C1"/>
      <selection pane="bottomLeft" activeCell="A11" sqref="A11"/>
      <selection pane="bottomRight" activeCell="A117" sqref="A117"/>
    </sheetView>
  </sheetViews>
  <sheetFormatPr defaultRowHeight="14.4" x14ac:dyDescent="0.55000000000000004"/>
  <cols>
    <col min="1" max="1" width="7.47265625" customWidth="1"/>
    <col min="2" max="2" width="8.20703125" bestFit="1" customWidth="1"/>
    <col min="3" max="3" width="9.1015625" bestFit="1" customWidth="1"/>
    <col min="4" max="4" width="27.26171875" bestFit="1" customWidth="1"/>
    <col min="5" max="5" width="15.20703125" bestFit="1" customWidth="1"/>
    <col min="6" max="6" width="13.20703125" bestFit="1" customWidth="1"/>
    <col min="7" max="7" width="21.1015625" bestFit="1" customWidth="1"/>
    <col min="8" max="8" width="18" bestFit="1" customWidth="1"/>
    <col min="9" max="9" width="25.3671875" bestFit="1" customWidth="1"/>
    <col min="10" max="10" width="25.83984375" bestFit="1" customWidth="1"/>
    <col min="11" max="11" width="11.26171875" bestFit="1" customWidth="1"/>
    <col min="12" max="12" width="11" bestFit="1" customWidth="1"/>
    <col min="13" max="13" width="36.89453125" bestFit="1" customWidth="1"/>
    <col min="14" max="14" width="8.83984375" customWidth="1"/>
    <col min="15" max="15" width="22.68359375" bestFit="1" customWidth="1"/>
    <col min="16" max="16" width="13.83984375" bestFit="1" customWidth="1"/>
    <col min="17" max="17" width="14.578125" bestFit="1" customWidth="1"/>
    <col min="18" max="18" width="16.68359375" bestFit="1" customWidth="1"/>
    <col min="19" max="19" width="14.89453125" bestFit="1" customWidth="1"/>
    <col min="20" max="20" width="22.68359375" bestFit="1" customWidth="1"/>
    <col min="21" max="21" width="13.7890625" bestFit="1" customWidth="1"/>
    <col min="22" max="22" width="14.89453125" bestFit="1" customWidth="1"/>
  </cols>
  <sheetData>
    <row r="1" spans="1:22" x14ac:dyDescent="0.55000000000000004">
      <c r="A1" t="s">
        <v>575</v>
      </c>
    </row>
    <row r="2" spans="1:22" x14ac:dyDescent="0.55000000000000004">
      <c r="M2" t="s">
        <v>585</v>
      </c>
      <c r="N2" s="71">
        <f>SUMPRODUCT(--(SAR_table[Time]&lt;&gt;SAR_table[Alan Jones'' times]))</f>
        <v>17</v>
      </c>
    </row>
    <row r="3" spans="1:22" x14ac:dyDescent="0.55000000000000004">
      <c r="A3" s="6" t="s">
        <v>533</v>
      </c>
      <c r="G3" s="32" t="s">
        <v>540</v>
      </c>
      <c r="H3" s="31">
        <v>42005</v>
      </c>
    </row>
    <row r="4" spans="1:22" x14ac:dyDescent="0.55000000000000004">
      <c r="A4" s="5" t="s">
        <v>185</v>
      </c>
      <c r="E4" s="59" t="s">
        <v>534</v>
      </c>
      <c r="F4" s="60" t="s">
        <v>535</v>
      </c>
      <c r="G4" s="60" t="s">
        <v>536</v>
      </c>
      <c r="H4" s="60" t="s">
        <v>537</v>
      </c>
      <c r="I4" s="60" t="s">
        <v>538</v>
      </c>
      <c r="J4" s="61" t="s">
        <v>539</v>
      </c>
      <c r="M4" s="6" t="s">
        <v>581</v>
      </c>
    </row>
    <row r="5" spans="1:22" x14ac:dyDescent="0.55000000000000004">
      <c r="A5" s="30" t="s">
        <v>527</v>
      </c>
      <c r="E5" s="62" t="s">
        <v>532</v>
      </c>
      <c r="F5" s="63">
        <f>COUNTA(SAR_table[Time])</f>
        <v>170</v>
      </c>
      <c r="G5" s="63">
        <f>COUNTIF(SAR_table[Race Date],"&gt;="&amp;$H$3)</f>
        <v>58</v>
      </c>
      <c r="H5" s="64">
        <f>G5/F5</f>
        <v>0.3411764705882353</v>
      </c>
      <c r="I5" s="63">
        <f>COUNTIFS(SAR_table[Race Date],"&gt;="&amp;$H$3,SAR_table[Age],"&gt;=18",SAR_table[Age],"&lt;=84")</f>
        <v>53</v>
      </c>
      <c r="J5" s="65">
        <f>I5/COUNTIFS(SAR_table[Age],"&gt;=18",SAR_table[Age],"&lt;=84")</f>
        <v>0.39552238805970147</v>
      </c>
      <c r="M5" t="s">
        <v>555</v>
      </c>
      <c r="N5" t="s">
        <v>584</v>
      </c>
    </row>
    <row r="6" spans="1:22" x14ac:dyDescent="0.55000000000000004">
      <c r="A6" s="3" t="s">
        <v>186</v>
      </c>
      <c r="E6" s="62" t="s">
        <v>98</v>
      </c>
      <c r="F6" s="63">
        <f>COUNTIFS(SAR_table[Gender],"M",SAR_table[Time],"&lt;&gt;")</f>
        <v>84</v>
      </c>
      <c r="G6" s="63">
        <f>COUNTIFS(SAR_table[Race Date],"&gt;="&amp;$H$3,SAR_table[Gender],"M")</f>
        <v>24</v>
      </c>
      <c r="H6" s="64">
        <f t="shared" ref="H6:H7" si="0">G6/F6</f>
        <v>0.2857142857142857</v>
      </c>
      <c r="I6" s="63">
        <f>COUNTIFS(SAR_table[Race Date],"&gt;="&amp;$H$3,SAR_table[Age],"&gt;=18",SAR_table[Age],"&lt;=84",SAR_table[Gender],"M")</f>
        <v>21</v>
      </c>
      <c r="J6" s="65">
        <f>I6/COUNTIFS(SAR_table[Age],"&gt;=18",SAR_table[Age],"&lt;=84",SAR_table[Gender],"M")</f>
        <v>0.31343283582089554</v>
      </c>
      <c r="M6" t="s">
        <v>582</v>
      </c>
      <c r="N6" t="s">
        <v>583</v>
      </c>
    </row>
    <row r="7" spans="1:22" x14ac:dyDescent="0.55000000000000004">
      <c r="A7" t="s">
        <v>528</v>
      </c>
      <c r="E7" s="66" t="s">
        <v>2</v>
      </c>
      <c r="F7" s="67">
        <f>COUNTIFS(SAR_table[Gender],"F",SAR_table[Time],"&lt;&gt;")</f>
        <v>86</v>
      </c>
      <c r="G7" s="67">
        <f>COUNTIFS(SAR_table[Race Date],"&gt;="&amp;$H$3,SAR_table[Gender],"F")</f>
        <v>34</v>
      </c>
      <c r="H7" s="68">
        <f t="shared" si="0"/>
        <v>0.39534883720930231</v>
      </c>
      <c r="I7" s="67">
        <f>COUNTIFS(SAR_table[Race Date],"&gt;="&amp;$H$3,SAR_table[Age],"&gt;=18",SAR_table[Age],"&lt;=84",SAR_table[Gender],"F")</f>
        <v>32</v>
      </c>
      <c r="J7" s="69">
        <f>I7/COUNTIFS(SAR_table[Age],"&gt;=18",SAR_table[Age],"&lt;=84",SAR_table[Gender],"F")</f>
        <v>0.47761194029850745</v>
      </c>
    </row>
    <row r="8" spans="1:22" x14ac:dyDescent="0.55000000000000004">
      <c r="A8" t="s">
        <v>522</v>
      </c>
      <c r="E8" s="57"/>
      <c r="F8" s="57"/>
      <c r="G8" s="57"/>
      <c r="H8" s="58"/>
      <c r="I8" s="57"/>
      <c r="J8" s="58"/>
    </row>
    <row r="9" spans="1:22" x14ac:dyDescent="0.55000000000000004">
      <c r="K9" s="73" t="s">
        <v>574</v>
      </c>
      <c r="L9" s="73"/>
      <c r="M9" s="73"/>
      <c r="N9" s="73"/>
      <c r="O9" s="73"/>
      <c r="P9" s="73"/>
      <c r="Q9" s="73"/>
      <c r="R9" s="72"/>
    </row>
    <row r="10" spans="1:22" s="29" customFormat="1" ht="28.8" x14ac:dyDescent="0.55000000000000004">
      <c r="A10" s="41" t="s">
        <v>531</v>
      </c>
      <c r="B10" s="41" t="s">
        <v>183</v>
      </c>
      <c r="C10" s="41" t="s">
        <v>182</v>
      </c>
      <c r="D10" s="41" t="s">
        <v>181</v>
      </c>
      <c r="E10" s="41" t="s">
        <v>180</v>
      </c>
      <c r="F10" s="41" t="s">
        <v>529</v>
      </c>
      <c r="G10" s="41" t="s">
        <v>530</v>
      </c>
      <c r="H10" s="41" t="s">
        <v>576</v>
      </c>
      <c r="I10" s="41" t="s">
        <v>577</v>
      </c>
      <c r="J10" s="48" t="s">
        <v>569</v>
      </c>
      <c r="K10" s="56" t="s">
        <v>556</v>
      </c>
      <c r="L10" s="54" t="s">
        <v>557</v>
      </c>
      <c r="M10" s="54" t="s">
        <v>321</v>
      </c>
      <c r="N10" s="55" t="s">
        <v>580</v>
      </c>
      <c r="O10" s="54" t="s">
        <v>558</v>
      </c>
      <c r="P10" s="48" t="s">
        <v>559</v>
      </c>
      <c r="Q10" s="55" t="s">
        <v>560</v>
      </c>
      <c r="R10" s="48" t="s">
        <v>578</v>
      </c>
      <c r="S10" s="54" t="s">
        <v>579</v>
      </c>
      <c r="T10" s="37"/>
      <c r="U10" s="38"/>
      <c r="V10" s="36"/>
    </row>
    <row r="11" spans="1:22" x14ac:dyDescent="0.55000000000000004">
      <c r="A11" s="42" t="s">
        <v>98</v>
      </c>
      <c r="B11" s="42">
        <v>4</v>
      </c>
      <c r="C11" s="43">
        <v>0.28934027777777777</v>
      </c>
      <c r="D11" s="42" t="s">
        <v>178</v>
      </c>
      <c r="E11" s="44">
        <v>24641</v>
      </c>
      <c r="F11" s="44">
        <v>26453</v>
      </c>
      <c r="G11" s="42" t="s">
        <v>177</v>
      </c>
      <c r="H11" s="42"/>
      <c r="I11" s="43">
        <v>0.28934027777777777</v>
      </c>
      <c r="J11" s="46"/>
      <c r="K11" s="46"/>
      <c r="L11" s="49"/>
      <c r="M11" s="49"/>
      <c r="N11" s="50"/>
      <c r="O11" s="49"/>
      <c r="P11" s="50"/>
      <c r="Q11" s="50"/>
      <c r="R11" s="50"/>
      <c r="S11" s="51"/>
      <c r="T11" s="33"/>
      <c r="U11" s="33"/>
      <c r="V11" s="35"/>
    </row>
    <row r="12" spans="1:22" x14ac:dyDescent="0.55000000000000004">
      <c r="A12" s="42" t="s">
        <v>98</v>
      </c>
      <c r="B12" s="42">
        <v>6</v>
      </c>
      <c r="C12" s="43">
        <v>0.27715509259259258</v>
      </c>
      <c r="D12" s="42" t="s">
        <v>176</v>
      </c>
      <c r="E12" s="44">
        <v>40405</v>
      </c>
      <c r="F12" s="44">
        <v>42764</v>
      </c>
      <c r="G12" s="42" t="s">
        <v>175</v>
      </c>
      <c r="H12" s="42"/>
      <c r="I12" s="43">
        <v>0.27716435185185184</v>
      </c>
      <c r="J12" s="46" t="s">
        <v>570</v>
      </c>
      <c r="K12" s="46"/>
      <c r="L12" s="49"/>
      <c r="M12" s="49"/>
      <c r="N12" s="50"/>
      <c r="O12" s="49"/>
      <c r="P12" s="50"/>
      <c r="Q12" s="50"/>
      <c r="R12" s="50"/>
      <c r="S12" s="51"/>
      <c r="T12" s="34"/>
      <c r="U12" s="33"/>
      <c r="V12" s="35"/>
    </row>
    <row r="13" spans="1:22" x14ac:dyDescent="0.55000000000000004">
      <c r="A13" s="42" t="s">
        <v>98</v>
      </c>
      <c r="B13" s="42">
        <v>7</v>
      </c>
      <c r="C13" s="43">
        <v>0.16953703703703704</v>
      </c>
      <c r="D13" s="42" t="s">
        <v>173</v>
      </c>
      <c r="E13" s="44">
        <v>25228</v>
      </c>
      <c r="F13" s="44">
        <v>28009</v>
      </c>
      <c r="G13" s="42" t="s">
        <v>172</v>
      </c>
      <c r="H13" s="42"/>
      <c r="I13" s="43">
        <v>0.16953703703703704</v>
      </c>
      <c r="J13" s="46"/>
      <c r="K13" s="46"/>
      <c r="L13" s="49"/>
      <c r="M13" s="49"/>
      <c r="N13" s="50"/>
      <c r="O13" s="49"/>
      <c r="P13" s="50"/>
      <c r="Q13" s="50"/>
      <c r="R13" s="50"/>
      <c r="S13" s="51"/>
      <c r="T13" s="34"/>
      <c r="U13" s="33"/>
      <c r="V13" s="35"/>
    </row>
    <row r="14" spans="1:22" x14ac:dyDescent="0.55000000000000004">
      <c r="A14" s="42" t="s">
        <v>98</v>
      </c>
      <c r="B14" s="42">
        <v>8</v>
      </c>
      <c r="C14" s="43">
        <v>0.13564814814814816</v>
      </c>
      <c r="D14" s="42" t="s">
        <v>173</v>
      </c>
      <c r="E14" s="44">
        <v>25228</v>
      </c>
      <c r="F14" s="44">
        <v>28393</v>
      </c>
      <c r="G14" s="42" t="s">
        <v>25</v>
      </c>
      <c r="H14" s="42"/>
      <c r="I14" s="43">
        <v>0.13564814814814816</v>
      </c>
      <c r="J14" s="46"/>
      <c r="K14" s="46"/>
      <c r="L14" s="49"/>
      <c r="M14" s="49"/>
      <c r="N14" s="50"/>
      <c r="O14" s="49"/>
      <c r="P14" s="50"/>
      <c r="Q14" s="50"/>
      <c r="R14" s="50"/>
      <c r="S14" s="51"/>
      <c r="T14" s="34"/>
      <c r="U14" s="33"/>
      <c r="V14" s="35"/>
    </row>
    <row r="15" spans="1:22" x14ac:dyDescent="0.55000000000000004">
      <c r="A15" s="42" t="s">
        <v>98</v>
      </c>
      <c r="B15" s="42">
        <v>11</v>
      </c>
      <c r="C15" s="43">
        <v>0.1180787037037037</v>
      </c>
      <c r="D15" s="42" t="s">
        <v>173</v>
      </c>
      <c r="E15" s="44">
        <v>25228</v>
      </c>
      <c r="F15" s="44">
        <v>29310</v>
      </c>
      <c r="G15" s="42" t="s">
        <v>174</v>
      </c>
      <c r="H15" s="42"/>
      <c r="I15" s="43">
        <v>0.1180787037037037</v>
      </c>
      <c r="J15" s="46"/>
      <c r="K15" s="46"/>
      <c r="L15" s="49"/>
      <c r="M15" s="49"/>
      <c r="N15" s="50"/>
      <c r="O15" s="49"/>
      <c r="P15" s="50"/>
      <c r="Q15" s="50"/>
      <c r="R15" s="50"/>
      <c r="S15" s="51"/>
      <c r="T15" s="34"/>
      <c r="U15" s="33"/>
      <c r="V15" s="35"/>
    </row>
    <row r="16" spans="1:22" x14ac:dyDescent="0.55000000000000004">
      <c r="A16" s="42" t="s">
        <v>98</v>
      </c>
      <c r="B16" s="42">
        <v>12</v>
      </c>
      <c r="C16" s="43">
        <v>0.12660879629629629</v>
      </c>
      <c r="D16" s="42" t="s">
        <v>173</v>
      </c>
      <c r="E16" s="44">
        <v>25228</v>
      </c>
      <c r="F16" s="44">
        <v>29836</v>
      </c>
      <c r="G16" s="42" t="s">
        <v>172</v>
      </c>
      <c r="H16" s="42"/>
      <c r="I16" s="43">
        <v>0.12660879629629629</v>
      </c>
      <c r="J16" s="46"/>
      <c r="K16" s="46"/>
      <c r="L16" s="49"/>
      <c r="M16" s="49"/>
      <c r="N16" s="50"/>
      <c r="O16" s="49"/>
      <c r="P16" s="50"/>
      <c r="Q16" s="50"/>
      <c r="R16" s="50"/>
      <c r="S16" s="51"/>
      <c r="T16" s="34"/>
      <c r="U16" s="33"/>
      <c r="V16" s="35"/>
    </row>
    <row r="17" spans="1:22" x14ac:dyDescent="0.55000000000000004">
      <c r="A17" s="42" t="s">
        <v>98</v>
      </c>
      <c r="B17" s="42">
        <v>13</v>
      </c>
      <c r="C17" s="43">
        <v>0.11321759259259261</v>
      </c>
      <c r="D17" s="42" t="s">
        <v>171</v>
      </c>
      <c r="E17" s="44">
        <v>23245</v>
      </c>
      <c r="F17" s="44">
        <v>28140</v>
      </c>
      <c r="G17" s="42" t="s">
        <v>113</v>
      </c>
      <c r="H17" s="42"/>
      <c r="I17" s="43">
        <v>0.11321759259259261</v>
      </c>
      <c r="J17" s="46"/>
      <c r="K17" s="46"/>
      <c r="L17" s="49"/>
      <c r="M17" s="49"/>
      <c r="N17" s="50"/>
      <c r="O17" s="49"/>
      <c r="P17" s="50"/>
      <c r="Q17" s="50"/>
      <c r="R17" s="50"/>
      <c r="S17" s="51"/>
      <c r="T17" s="34"/>
      <c r="U17" s="33"/>
      <c r="V17" s="35"/>
    </row>
    <row r="18" spans="1:22" x14ac:dyDescent="0.55000000000000004">
      <c r="A18" s="42" t="s">
        <v>98</v>
      </c>
      <c r="B18" s="42">
        <v>14</v>
      </c>
      <c r="C18" s="43">
        <v>0.11230324074074073</v>
      </c>
      <c r="D18" s="42" t="s">
        <v>170</v>
      </c>
      <c r="E18" s="44">
        <v>21953</v>
      </c>
      <c r="F18" s="44">
        <v>27349</v>
      </c>
      <c r="G18" s="42" t="s">
        <v>169</v>
      </c>
      <c r="H18" s="42"/>
      <c r="I18" s="43">
        <v>0.11230324074074073</v>
      </c>
      <c r="J18" s="46"/>
      <c r="K18" s="46"/>
      <c r="L18" s="49"/>
      <c r="M18" s="49"/>
      <c r="N18" s="50"/>
      <c r="O18" s="49"/>
      <c r="P18" s="50"/>
      <c r="Q18" s="50"/>
      <c r="R18" s="50"/>
      <c r="S18" s="51"/>
      <c r="T18" s="34"/>
      <c r="U18" s="33"/>
      <c r="V18" s="35"/>
    </row>
    <row r="19" spans="1:22" x14ac:dyDescent="0.55000000000000004">
      <c r="A19" s="42" t="s">
        <v>98</v>
      </c>
      <c r="B19" s="42">
        <v>15</v>
      </c>
      <c r="C19" s="43">
        <v>0.10359953703703705</v>
      </c>
      <c r="D19" s="42" t="s">
        <v>168</v>
      </c>
      <c r="E19" s="44">
        <v>20639</v>
      </c>
      <c r="F19" s="44">
        <v>26342</v>
      </c>
      <c r="G19" s="42" t="s">
        <v>167</v>
      </c>
      <c r="H19" s="42"/>
      <c r="I19" s="43">
        <v>0.10359953703703705</v>
      </c>
      <c r="J19" s="46"/>
      <c r="K19" s="46"/>
      <c r="L19" s="49"/>
      <c r="M19" s="49"/>
      <c r="N19" s="50"/>
      <c r="O19" s="49"/>
      <c r="P19" s="50"/>
      <c r="Q19" s="50"/>
      <c r="R19" s="50"/>
      <c r="S19" s="51"/>
      <c r="T19" s="34"/>
      <c r="U19" s="33"/>
      <c r="V19" s="35"/>
    </row>
    <row r="20" spans="1:22" x14ac:dyDescent="0.55000000000000004">
      <c r="A20" s="42" t="s">
        <v>98</v>
      </c>
      <c r="B20" s="42">
        <v>16</v>
      </c>
      <c r="C20" s="43">
        <v>9.3831018518518508E-2</v>
      </c>
      <c r="D20" s="42" t="s">
        <v>166</v>
      </c>
      <c r="E20" s="44">
        <v>30611</v>
      </c>
      <c r="F20" s="44">
        <v>36814</v>
      </c>
      <c r="G20" s="42" t="s">
        <v>83</v>
      </c>
      <c r="H20" s="42"/>
      <c r="I20" s="43">
        <v>9.3831018518518508E-2</v>
      </c>
      <c r="J20" s="46"/>
      <c r="K20" s="46"/>
      <c r="L20" s="49"/>
      <c r="M20" s="49"/>
      <c r="N20" s="50"/>
      <c r="O20" s="49"/>
      <c r="P20" s="50"/>
      <c r="Q20" s="50"/>
      <c r="R20" s="50"/>
      <c r="S20" s="51"/>
      <c r="T20" s="34"/>
      <c r="U20" s="33"/>
      <c r="V20" s="35"/>
    </row>
    <row r="21" spans="1:22" x14ac:dyDescent="0.55000000000000004">
      <c r="A21" s="42" t="s">
        <v>98</v>
      </c>
      <c r="B21" s="42">
        <v>17</v>
      </c>
      <c r="C21" s="43">
        <v>9.0810185185185188E-2</v>
      </c>
      <c r="D21" s="42" t="s">
        <v>166</v>
      </c>
      <c r="E21" s="44">
        <v>30611</v>
      </c>
      <c r="F21" s="44">
        <v>37178</v>
      </c>
      <c r="G21" s="42" t="s">
        <v>83</v>
      </c>
      <c r="H21" s="42"/>
      <c r="I21" s="43">
        <v>9.0810185185185188E-2</v>
      </c>
      <c r="J21" s="46"/>
      <c r="K21" s="46"/>
      <c r="L21" s="49"/>
      <c r="M21" s="49"/>
      <c r="N21" s="50"/>
      <c r="O21" s="49"/>
      <c r="P21" s="50"/>
      <c r="Q21" s="50"/>
      <c r="R21" s="50"/>
      <c r="S21" s="51"/>
      <c r="T21" s="34"/>
      <c r="U21" s="33"/>
      <c r="V21" s="35"/>
    </row>
    <row r="22" spans="1:22" x14ac:dyDescent="0.55000000000000004">
      <c r="A22" s="42" t="s">
        <v>98</v>
      </c>
      <c r="B22" s="42">
        <v>18</v>
      </c>
      <c r="C22" s="43">
        <v>8.6481481481481479E-2</v>
      </c>
      <c r="D22" s="42" t="s">
        <v>164</v>
      </c>
      <c r="E22" s="44">
        <v>34865</v>
      </c>
      <c r="F22" s="44">
        <v>41663</v>
      </c>
      <c r="G22" s="42" t="s">
        <v>75</v>
      </c>
      <c r="H22" s="42"/>
      <c r="I22" s="43">
        <v>8.6481481481481479E-2</v>
      </c>
      <c r="J22" s="46"/>
      <c r="K22" s="46"/>
      <c r="L22" s="49"/>
      <c r="M22" s="49"/>
      <c r="N22" s="50"/>
      <c r="O22" s="49"/>
      <c r="P22" s="50"/>
      <c r="Q22" s="50"/>
      <c r="R22" s="50"/>
      <c r="S22" s="51"/>
      <c r="T22" s="34"/>
      <c r="U22" s="33"/>
      <c r="V22" s="35"/>
    </row>
    <row r="23" spans="1:22" x14ac:dyDescent="0.55000000000000004">
      <c r="A23" s="42" t="s">
        <v>98</v>
      </c>
      <c r="B23" s="42">
        <v>19</v>
      </c>
      <c r="C23" s="43">
        <v>8.666666666666667E-2</v>
      </c>
      <c r="D23" s="42" t="s">
        <v>165</v>
      </c>
      <c r="E23" s="44">
        <v>34120</v>
      </c>
      <c r="F23" s="44">
        <v>41299</v>
      </c>
      <c r="G23" s="42" t="s">
        <v>75</v>
      </c>
      <c r="H23" s="42"/>
      <c r="I23" s="43">
        <v>8.666666666666667E-2</v>
      </c>
      <c r="J23" s="46"/>
      <c r="K23" s="46"/>
      <c r="L23" s="49"/>
      <c r="M23" s="49"/>
      <c r="N23" s="50"/>
      <c r="O23" s="49"/>
      <c r="P23" s="50"/>
      <c r="Q23" s="50"/>
      <c r="R23" s="50"/>
      <c r="S23" s="51"/>
      <c r="T23" s="37"/>
      <c r="U23" s="33"/>
      <c r="V23" s="35"/>
    </row>
    <row r="24" spans="1:22" x14ac:dyDescent="0.55000000000000004">
      <c r="A24" s="42" t="s">
        <v>98</v>
      </c>
      <c r="B24" s="42">
        <v>20</v>
      </c>
      <c r="C24" s="43">
        <v>8.6643518518518522E-2</v>
      </c>
      <c r="D24" s="42" t="s">
        <v>164</v>
      </c>
      <c r="E24" s="44">
        <v>34865</v>
      </c>
      <c r="F24" s="44">
        <v>42391</v>
      </c>
      <c r="G24" s="42" t="s">
        <v>75</v>
      </c>
      <c r="H24" s="42"/>
      <c r="I24" s="43">
        <v>8.6643518518518522E-2</v>
      </c>
      <c r="J24" s="46"/>
      <c r="K24" s="46"/>
      <c r="L24" s="49"/>
      <c r="M24" s="49"/>
      <c r="N24" s="50"/>
      <c r="O24" s="49"/>
      <c r="P24" s="50"/>
      <c r="Q24" s="50"/>
      <c r="R24" s="50"/>
      <c r="S24" s="51"/>
      <c r="T24" s="37"/>
      <c r="U24" s="33"/>
      <c r="V24" s="35"/>
    </row>
    <row r="25" spans="1:22" x14ac:dyDescent="0.55000000000000004">
      <c r="A25" s="42" t="s">
        <v>98</v>
      </c>
      <c r="B25" s="42">
        <v>21</v>
      </c>
      <c r="C25" s="43">
        <v>8.637731481481481E-2</v>
      </c>
      <c r="D25" s="42" t="s">
        <v>163</v>
      </c>
      <c r="E25" s="44">
        <v>33235</v>
      </c>
      <c r="F25" s="44">
        <v>40935</v>
      </c>
      <c r="G25" s="42" t="s">
        <v>75</v>
      </c>
      <c r="H25" s="42"/>
      <c r="I25" s="43">
        <v>8.637731481481481E-2</v>
      </c>
      <c r="J25" s="46"/>
      <c r="K25" s="46"/>
      <c r="L25" s="49"/>
      <c r="M25" s="49"/>
      <c r="N25" s="50"/>
      <c r="O25" s="49"/>
      <c r="P25" s="50"/>
      <c r="Q25" s="50"/>
      <c r="R25" s="50"/>
      <c r="S25" s="51"/>
      <c r="T25" s="37"/>
      <c r="U25" s="33"/>
      <c r="V25" s="35"/>
    </row>
    <row r="26" spans="1:22" x14ac:dyDescent="0.55000000000000004">
      <c r="A26" s="42" t="s">
        <v>98</v>
      </c>
      <c r="B26" s="42">
        <v>22</v>
      </c>
      <c r="C26" s="43">
        <v>8.671296296296295E-2</v>
      </c>
      <c r="D26" s="42" t="s">
        <v>162</v>
      </c>
      <c r="E26" s="44">
        <v>32905</v>
      </c>
      <c r="F26" s="44">
        <v>41189</v>
      </c>
      <c r="G26" s="42" t="s">
        <v>25</v>
      </c>
      <c r="H26" s="42"/>
      <c r="I26" s="43">
        <v>8.671296296296295E-2</v>
      </c>
      <c r="J26" s="46"/>
      <c r="K26" s="46"/>
      <c r="L26" s="49"/>
      <c r="M26" s="49"/>
      <c r="N26" s="50"/>
      <c r="O26" s="49"/>
      <c r="P26" s="50"/>
      <c r="Q26" s="50"/>
      <c r="R26" s="50"/>
      <c r="S26" s="51"/>
      <c r="T26" s="37"/>
      <c r="U26" s="33"/>
      <c r="V26" s="35"/>
    </row>
    <row r="27" spans="1:22" x14ac:dyDescent="0.55000000000000004">
      <c r="A27" s="42" t="s">
        <v>98</v>
      </c>
      <c r="B27" s="42">
        <v>23</v>
      </c>
      <c r="C27" s="43">
        <v>8.6284722222222221E-2</v>
      </c>
      <c r="D27" s="42" t="s">
        <v>160</v>
      </c>
      <c r="E27" s="44">
        <v>34588</v>
      </c>
      <c r="F27" s="44">
        <v>43126</v>
      </c>
      <c r="G27" s="42" t="s">
        <v>75</v>
      </c>
      <c r="H27" s="42"/>
      <c r="I27" s="43">
        <v>8.6284722222222221E-2</v>
      </c>
      <c r="J27" s="46"/>
      <c r="K27" s="46"/>
      <c r="L27" s="49"/>
      <c r="M27" s="49"/>
      <c r="N27" s="50"/>
      <c r="O27" s="49"/>
      <c r="P27" s="50"/>
      <c r="Q27" s="50"/>
      <c r="R27" s="50"/>
      <c r="S27" s="51"/>
      <c r="T27" s="34"/>
      <c r="U27" s="33"/>
      <c r="V27" s="35"/>
    </row>
    <row r="28" spans="1:22" x14ac:dyDescent="0.55000000000000004">
      <c r="A28" s="42" t="s">
        <v>98</v>
      </c>
      <c r="B28" s="42">
        <v>24</v>
      </c>
      <c r="C28" s="43">
        <v>8.6134259259259258E-2</v>
      </c>
      <c r="D28" s="42" t="s">
        <v>161</v>
      </c>
      <c r="E28" s="44">
        <v>34232</v>
      </c>
      <c r="F28" s="44">
        <v>43126</v>
      </c>
      <c r="G28" s="42" t="s">
        <v>75</v>
      </c>
      <c r="H28" s="42"/>
      <c r="I28" s="43">
        <v>8.6134259259259258E-2</v>
      </c>
      <c r="J28" s="46"/>
      <c r="K28" s="46"/>
      <c r="L28" s="49"/>
      <c r="M28" s="49"/>
      <c r="N28" s="50"/>
      <c r="O28" s="49"/>
      <c r="P28" s="50"/>
      <c r="Q28" s="50"/>
      <c r="R28" s="50"/>
      <c r="S28" s="51"/>
      <c r="T28" s="37"/>
      <c r="U28" s="33"/>
      <c r="V28" s="35"/>
    </row>
    <row r="29" spans="1:22" x14ac:dyDescent="0.55000000000000004">
      <c r="A29" s="42" t="s">
        <v>98</v>
      </c>
      <c r="B29" s="42">
        <v>25</v>
      </c>
      <c r="C29" s="43">
        <v>8.5277777777777786E-2</v>
      </c>
      <c r="D29" s="42" t="s">
        <v>160</v>
      </c>
      <c r="E29" s="44">
        <v>34588</v>
      </c>
      <c r="F29" s="44">
        <v>43737</v>
      </c>
      <c r="G29" s="42" t="s">
        <v>11</v>
      </c>
      <c r="H29" s="42"/>
      <c r="I29" s="43">
        <v>8.5277777777777786E-2</v>
      </c>
      <c r="J29" s="46"/>
      <c r="K29" s="46"/>
      <c r="L29" s="49"/>
      <c r="M29" s="49"/>
      <c r="N29" s="50"/>
      <c r="O29" s="49"/>
      <c r="P29" s="50"/>
      <c r="Q29" s="50"/>
      <c r="R29" s="50"/>
      <c r="S29" s="51"/>
      <c r="T29" s="37"/>
      <c r="U29" s="33"/>
      <c r="V29" s="35"/>
    </row>
    <row r="30" spans="1:22" x14ac:dyDescent="0.55000000000000004">
      <c r="A30" s="42" t="s">
        <v>98</v>
      </c>
      <c r="B30" s="42">
        <v>26</v>
      </c>
      <c r="C30" s="43">
        <v>8.5856481481481492E-2</v>
      </c>
      <c r="D30" s="42" t="s">
        <v>159</v>
      </c>
      <c r="E30" s="44">
        <v>31108</v>
      </c>
      <c r="F30" s="44">
        <v>40811</v>
      </c>
      <c r="G30" s="42" t="s">
        <v>11</v>
      </c>
      <c r="H30" s="42"/>
      <c r="I30" s="43">
        <v>8.5856481481481492E-2</v>
      </c>
      <c r="J30" s="46"/>
      <c r="K30" s="46"/>
      <c r="L30" s="49"/>
      <c r="M30" s="49"/>
      <c r="N30" s="50"/>
      <c r="O30" s="49"/>
      <c r="P30" s="50"/>
      <c r="Q30" s="50"/>
      <c r="R30" s="50"/>
      <c r="S30" s="51"/>
      <c r="T30" s="34"/>
      <c r="U30" s="33"/>
      <c r="V30" s="35"/>
    </row>
    <row r="31" spans="1:22" x14ac:dyDescent="0.55000000000000004">
      <c r="A31" s="42" t="s">
        <v>98</v>
      </c>
      <c r="B31" s="42">
        <v>27</v>
      </c>
      <c r="C31" s="43">
        <v>8.5358796296296294E-2</v>
      </c>
      <c r="D31" s="42" t="s">
        <v>158</v>
      </c>
      <c r="E31" s="44">
        <v>33646</v>
      </c>
      <c r="F31" s="44">
        <v>43583</v>
      </c>
      <c r="G31" s="42" t="s">
        <v>45</v>
      </c>
      <c r="H31" s="42"/>
      <c r="I31" s="43">
        <v>8.5358796296296294E-2</v>
      </c>
      <c r="J31" s="46"/>
      <c r="K31" s="46"/>
      <c r="L31" s="49"/>
      <c r="M31" s="49"/>
      <c r="N31" s="50"/>
      <c r="O31" s="49"/>
      <c r="P31" s="50"/>
      <c r="Q31" s="50"/>
      <c r="R31" s="50"/>
      <c r="S31" s="51"/>
      <c r="T31" s="34"/>
      <c r="U31" s="33"/>
      <c r="V31" s="35"/>
    </row>
    <row r="32" spans="1:22" x14ac:dyDescent="0.55000000000000004">
      <c r="A32" s="42" t="s">
        <v>98</v>
      </c>
      <c r="B32" s="42">
        <v>28</v>
      </c>
      <c r="C32" s="43">
        <v>8.5833333333333331E-2</v>
      </c>
      <c r="D32" s="42" t="s">
        <v>157</v>
      </c>
      <c r="E32" s="44">
        <v>33219</v>
      </c>
      <c r="F32" s="44">
        <v>43737</v>
      </c>
      <c r="G32" s="42" t="s">
        <v>11</v>
      </c>
      <c r="H32" s="42"/>
      <c r="I32" s="43">
        <v>8.5833333333333331E-2</v>
      </c>
      <c r="J32" s="46"/>
      <c r="K32" s="46"/>
      <c r="L32" s="49"/>
      <c r="M32" s="49"/>
      <c r="N32" s="50"/>
      <c r="O32" s="49"/>
      <c r="P32" s="50"/>
      <c r="Q32" s="50"/>
      <c r="R32" s="50"/>
      <c r="S32" s="51"/>
      <c r="T32" s="34"/>
      <c r="U32" s="33"/>
      <c r="V32" s="35"/>
    </row>
    <row r="33" spans="1:22" x14ac:dyDescent="0.55000000000000004">
      <c r="A33" s="42" t="s">
        <v>98</v>
      </c>
      <c r="B33" s="42">
        <v>29</v>
      </c>
      <c r="C33" s="43">
        <v>8.5570601851851849E-2</v>
      </c>
      <c r="D33" s="42" t="s">
        <v>156</v>
      </c>
      <c r="E33" s="44">
        <v>30967</v>
      </c>
      <c r="F33" s="44">
        <v>41910</v>
      </c>
      <c r="G33" s="42" t="s">
        <v>11</v>
      </c>
      <c r="H33" s="42"/>
      <c r="I33" s="43">
        <v>8.5578703703703699E-2</v>
      </c>
      <c r="J33" s="46" t="s">
        <v>570</v>
      </c>
      <c r="K33" s="46"/>
      <c r="L33" s="49"/>
      <c r="M33" s="49"/>
      <c r="N33" s="50"/>
      <c r="O33" s="49"/>
      <c r="P33" s="50"/>
      <c r="Q33" s="50"/>
      <c r="R33" s="50"/>
      <c r="S33" s="51"/>
      <c r="T33" s="34"/>
      <c r="U33" s="33"/>
      <c r="V33" s="35"/>
    </row>
    <row r="34" spans="1:22" x14ac:dyDescent="0.55000000000000004">
      <c r="A34" s="42" t="s">
        <v>98</v>
      </c>
      <c r="B34" s="42">
        <v>30</v>
      </c>
      <c r="C34" s="43">
        <v>8.5374999999999993E-2</v>
      </c>
      <c r="D34" s="42" t="s">
        <v>155</v>
      </c>
      <c r="E34" s="44">
        <v>30703</v>
      </c>
      <c r="F34" s="44">
        <v>41910</v>
      </c>
      <c r="G34" s="42" t="s">
        <v>11</v>
      </c>
      <c r="H34" s="42"/>
      <c r="I34" s="43">
        <v>8.5381944444444455E-2</v>
      </c>
      <c r="J34" s="46" t="s">
        <v>570</v>
      </c>
      <c r="K34" s="46"/>
      <c r="L34" s="49"/>
      <c r="M34" s="49"/>
      <c r="N34" s="50"/>
      <c r="O34" s="49"/>
      <c r="P34" s="50"/>
      <c r="Q34" s="50"/>
      <c r="R34" s="50"/>
      <c r="S34" s="51"/>
      <c r="T34" s="34"/>
      <c r="U34" s="33"/>
      <c r="V34" s="35"/>
    </row>
    <row r="35" spans="1:22" x14ac:dyDescent="0.55000000000000004">
      <c r="A35" s="42" t="s">
        <v>98</v>
      </c>
      <c r="B35" s="42">
        <v>31</v>
      </c>
      <c r="C35" s="43">
        <v>8.5474537037037043E-2</v>
      </c>
      <c r="D35" s="42" t="s">
        <v>154</v>
      </c>
      <c r="E35" s="44">
        <v>30991</v>
      </c>
      <c r="F35" s="44">
        <v>42484</v>
      </c>
      <c r="G35" s="42" t="s">
        <v>45</v>
      </c>
      <c r="H35" s="42"/>
      <c r="I35" s="43">
        <v>8.5474537037037043E-2</v>
      </c>
      <c r="J35" s="46"/>
      <c r="K35" s="46"/>
      <c r="L35" s="49"/>
      <c r="M35" s="49"/>
      <c r="N35" s="50"/>
      <c r="O35" s="49"/>
      <c r="P35" s="50"/>
      <c r="Q35" s="50"/>
      <c r="R35" s="50"/>
      <c r="S35" s="51"/>
      <c r="T35" s="34"/>
      <c r="U35" s="33"/>
      <c r="V35" s="35"/>
    </row>
    <row r="36" spans="1:22" x14ac:dyDescent="0.55000000000000004">
      <c r="A36" s="42" t="s">
        <v>98</v>
      </c>
      <c r="B36" s="42">
        <v>32</v>
      </c>
      <c r="C36" s="43">
        <v>8.5787037037037037E-2</v>
      </c>
      <c r="D36" s="42" t="s">
        <v>154</v>
      </c>
      <c r="E36" s="44">
        <v>30991</v>
      </c>
      <c r="F36" s="44">
        <v>43002</v>
      </c>
      <c r="G36" s="42" t="s">
        <v>11</v>
      </c>
      <c r="H36" s="42"/>
      <c r="I36" s="43">
        <v>8.5787037037037037E-2</v>
      </c>
      <c r="J36" s="46"/>
      <c r="K36" s="46"/>
      <c r="L36" s="49"/>
      <c r="M36" s="49"/>
      <c r="N36" s="50"/>
      <c r="O36" s="49"/>
      <c r="P36" s="50"/>
      <c r="Q36" s="50"/>
      <c r="R36" s="50"/>
      <c r="S36" s="51"/>
      <c r="T36" s="34"/>
      <c r="U36" s="33"/>
      <c r="V36" s="35"/>
    </row>
    <row r="37" spans="1:22" x14ac:dyDescent="0.55000000000000004">
      <c r="A37" s="42" t="s">
        <v>98</v>
      </c>
      <c r="B37" s="42">
        <v>33</v>
      </c>
      <c r="C37" s="43">
        <v>8.4479166666666661E-2</v>
      </c>
      <c r="D37" s="42" t="s">
        <v>154</v>
      </c>
      <c r="E37" s="44">
        <v>30991</v>
      </c>
      <c r="F37" s="44">
        <v>43359</v>
      </c>
      <c r="G37" s="42" t="s">
        <v>11</v>
      </c>
      <c r="H37" s="42"/>
      <c r="I37" s="43">
        <v>8.4479166666666661E-2</v>
      </c>
      <c r="J37" s="46"/>
      <c r="K37" s="46"/>
      <c r="L37" s="49"/>
      <c r="M37" s="49"/>
      <c r="N37" s="50"/>
      <c r="O37" s="49"/>
      <c r="P37" s="50"/>
      <c r="Q37" s="50"/>
      <c r="R37" s="50"/>
      <c r="S37" s="51"/>
      <c r="T37" s="34"/>
      <c r="U37" s="33"/>
      <c r="V37" s="35"/>
    </row>
    <row r="38" spans="1:22" x14ac:dyDescent="0.55000000000000004">
      <c r="A38" s="42" t="s">
        <v>98</v>
      </c>
      <c r="B38" s="42">
        <v>34</v>
      </c>
      <c r="C38" s="43">
        <v>8.5150462962962969E-2</v>
      </c>
      <c r="D38" s="42" t="s">
        <v>154</v>
      </c>
      <c r="E38" s="44">
        <v>30991</v>
      </c>
      <c r="F38" s="44">
        <v>43583</v>
      </c>
      <c r="G38" s="42" t="s">
        <v>45</v>
      </c>
      <c r="H38" s="42"/>
      <c r="I38" s="43">
        <v>8.5150462962962969E-2</v>
      </c>
      <c r="J38" s="46"/>
      <c r="K38" s="46"/>
      <c r="L38" s="49"/>
      <c r="M38" s="49"/>
      <c r="N38" s="50"/>
      <c r="O38" s="49"/>
      <c r="P38" s="50"/>
      <c r="Q38" s="50"/>
      <c r="R38" s="50"/>
      <c r="S38" s="51"/>
      <c r="T38" s="34"/>
      <c r="U38" s="33"/>
      <c r="V38" s="35"/>
    </row>
    <row r="39" spans="1:22" x14ac:dyDescent="0.55000000000000004">
      <c r="A39" s="42" t="s">
        <v>98</v>
      </c>
      <c r="B39" s="42">
        <v>35</v>
      </c>
      <c r="C39" s="43">
        <v>8.6090277777777779E-2</v>
      </c>
      <c r="D39" s="42" t="s">
        <v>153</v>
      </c>
      <c r="E39" s="44">
        <v>26772</v>
      </c>
      <c r="F39" s="44">
        <v>39719</v>
      </c>
      <c r="G39" s="42" t="s">
        <v>11</v>
      </c>
      <c r="H39" s="42"/>
      <c r="I39" s="43">
        <v>8.6099537037037044E-2</v>
      </c>
      <c r="J39" s="46" t="s">
        <v>570</v>
      </c>
      <c r="K39" s="46"/>
      <c r="L39" s="49"/>
      <c r="M39" s="49"/>
      <c r="N39" s="50"/>
      <c r="O39" s="49"/>
      <c r="P39" s="50"/>
      <c r="Q39" s="50"/>
      <c r="R39" s="50"/>
      <c r="S39" s="51"/>
      <c r="T39" s="34"/>
      <c r="U39" s="33"/>
      <c r="V39" s="35"/>
    </row>
    <row r="40" spans="1:22" x14ac:dyDescent="0.55000000000000004">
      <c r="A40" s="42" t="s">
        <v>98</v>
      </c>
      <c r="B40" s="42">
        <v>36</v>
      </c>
      <c r="C40" s="43">
        <v>8.711805555555556E-2</v>
      </c>
      <c r="D40" s="42" t="s">
        <v>152</v>
      </c>
      <c r="E40" s="44">
        <v>26441</v>
      </c>
      <c r="F40" s="44">
        <v>39929</v>
      </c>
      <c r="G40" s="42" t="s">
        <v>45</v>
      </c>
      <c r="H40" s="42"/>
      <c r="I40" s="43">
        <v>8.711805555555556E-2</v>
      </c>
      <c r="J40" s="46"/>
      <c r="K40" s="46"/>
      <c r="L40" s="49"/>
      <c r="M40" s="49"/>
      <c r="N40" s="50"/>
      <c r="O40" s="49"/>
      <c r="P40" s="50"/>
      <c r="Q40" s="50"/>
      <c r="R40" s="50"/>
      <c r="S40" s="51"/>
      <c r="T40" s="34"/>
      <c r="U40" s="33"/>
      <c r="V40" s="35"/>
    </row>
    <row r="41" spans="1:22" x14ac:dyDescent="0.55000000000000004">
      <c r="A41" s="42" t="s">
        <v>98</v>
      </c>
      <c r="B41" s="42">
        <v>37</v>
      </c>
      <c r="C41" s="43">
        <v>8.4502314814814808E-2</v>
      </c>
      <c r="D41" s="42" t="s">
        <v>151</v>
      </c>
      <c r="E41" s="44">
        <v>30115</v>
      </c>
      <c r="F41" s="44">
        <v>43737</v>
      </c>
      <c r="G41" s="42" t="s">
        <v>11</v>
      </c>
      <c r="H41" s="42"/>
      <c r="I41" s="43">
        <v>8.4502314814814808E-2</v>
      </c>
      <c r="J41" s="46"/>
      <c r="K41" s="46"/>
      <c r="L41" s="49"/>
      <c r="M41" s="49"/>
      <c r="N41" s="50"/>
      <c r="O41" s="49"/>
      <c r="P41" s="50"/>
      <c r="Q41" s="50"/>
      <c r="R41" s="50"/>
      <c r="S41" s="51"/>
      <c r="T41" s="34"/>
      <c r="U41" s="33"/>
      <c r="V41" s="35"/>
    </row>
    <row r="42" spans="1:22" x14ac:dyDescent="0.55000000000000004">
      <c r="A42" s="42" t="s">
        <v>98</v>
      </c>
      <c r="B42" s="42">
        <v>38</v>
      </c>
      <c r="C42" s="43">
        <v>8.7557870370370369E-2</v>
      </c>
      <c r="D42" s="42" t="s">
        <v>150</v>
      </c>
      <c r="E42" s="44">
        <v>27214</v>
      </c>
      <c r="F42" s="44">
        <v>41203</v>
      </c>
      <c r="G42" s="42" t="s">
        <v>149</v>
      </c>
      <c r="H42" s="42"/>
      <c r="I42" s="43">
        <v>8.7557870370370369E-2</v>
      </c>
      <c r="J42" s="46"/>
      <c r="K42" s="46"/>
      <c r="L42" s="49"/>
      <c r="M42" s="49"/>
      <c r="N42" s="50"/>
      <c r="O42" s="49"/>
      <c r="P42" s="50"/>
      <c r="Q42" s="50"/>
      <c r="R42" s="50"/>
      <c r="S42" s="51"/>
      <c r="T42" s="34"/>
      <c r="U42" s="33"/>
      <c r="V42" s="35"/>
    </row>
    <row r="43" spans="1:22" x14ac:dyDescent="0.55000000000000004">
      <c r="A43" s="42" t="s">
        <v>98</v>
      </c>
      <c r="B43" s="42">
        <v>39</v>
      </c>
      <c r="C43" s="43">
        <v>8.7500000000000008E-2</v>
      </c>
      <c r="D43" s="42" t="s">
        <v>146</v>
      </c>
      <c r="E43" s="44">
        <v>27932</v>
      </c>
      <c r="F43" s="44">
        <v>42288</v>
      </c>
      <c r="G43" s="42" t="s">
        <v>148</v>
      </c>
      <c r="H43" s="42"/>
      <c r="I43" s="43">
        <v>8.7500000000000008E-2</v>
      </c>
      <c r="J43" s="46"/>
      <c r="K43" s="46"/>
      <c r="L43" s="49"/>
      <c r="M43" s="49"/>
      <c r="N43" s="50"/>
      <c r="O43" s="49"/>
      <c r="P43" s="50"/>
      <c r="Q43" s="50"/>
      <c r="R43" s="50"/>
      <c r="S43" s="51"/>
      <c r="T43" s="34"/>
      <c r="U43" s="33"/>
      <c r="V43" s="35"/>
    </row>
    <row r="44" spans="1:22" x14ac:dyDescent="0.55000000000000004">
      <c r="A44" s="42" t="s">
        <v>98</v>
      </c>
      <c r="B44" s="42">
        <v>40</v>
      </c>
      <c r="C44" s="43">
        <v>8.9421296296296304E-2</v>
      </c>
      <c r="D44" s="42" t="s">
        <v>147</v>
      </c>
      <c r="E44" s="44">
        <v>23046</v>
      </c>
      <c r="F44" s="44">
        <v>37892</v>
      </c>
      <c r="G44" s="42" t="s">
        <v>11</v>
      </c>
      <c r="H44" s="42"/>
      <c r="I44" s="43">
        <v>8.9421296296296304E-2</v>
      </c>
      <c r="J44" s="46"/>
      <c r="K44" s="46"/>
      <c r="L44" s="49"/>
      <c r="M44" s="49"/>
      <c r="N44" s="50"/>
      <c r="O44" s="49"/>
      <c r="P44" s="50"/>
      <c r="Q44" s="50"/>
      <c r="R44" s="50"/>
      <c r="S44" s="51"/>
      <c r="T44" s="34"/>
      <c r="U44" s="33"/>
      <c r="V44" s="35"/>
    </row>
    <row r="45" spans="1:22" x14ac:dyDescent="0.55000000000000004">
      <c r="A45" s="42" t="s">
        <v>98</v>
      </c>
      <c r="B45" s="42">
        <v>41</v>
      </c>
      <c r="C45" s="43">
        <v>8.9374999999999996E-2</v>
      </c>
      <c r="D45" s="42" t="s">
        <v>145</v>
      </c>
      <c r="E45" s="44">
        <v>26914</v>
      </c>
      <c r="F45" s="44">
        <v>42190</v>
      </c>
      <c r="G45" s="42" t="s">
        <v>39</v>
      </c>
      <c r="H45" s="42"/>
      <c r="I45" s="43">
        <v>8.9374999999999996E-2</v>
      </c>
      <c r="J45" s="46"/>
      <c r="K45" s="46"/>
      <c r="L45" s="49"/>
      <c r="M45" s="49"/>
      <c r="N45" s="50"/>
      <c r="O45" s="49"/>
      <c r="P45" s="50"/>
      <c r="Q45" s="50"/>
      <c r="R45" s="50"/>
      <c r="S45" s="51"/>
      <c r="T45" s="34"/>
      <c r="U45" s="33"/>
      <c r="V45" s="35"/>
    </row>
    <row r="46" spans="1:22" x14ac:dyDescent="0.55000000000000004">
      <c r="A46" s="42" t="s">
        <v>98</v>
      </c>
      <c r="B46" s="42">
        <v>42</v>
      </c>
      <c r="C46" s="43">
        <v>8.8773148148148143E-2</v>
      </c>
      <c r="D46" s="42" t="s">
        <v>146</v>
      </c>
      <c r="E46" s="44">
        <v>27932</v>
      </c>
      <c r="F46" s="44">
        <v>43401</v>
      </c>
      <c r="G46" s="42" t="s">
        <v>51</v>
      </c>
      <c r="H46" s="42"/>
      <c r="I46" s="43">
        <v>8.8773148148148143E-2</v>
      </c>
      <c r="J46" s="46"/>
      <c r="K46" s="46"/>
      <c r="L46" s="49"/>
      <c r="M46" s="49"/>
      <c r="N46" s="50"/>
      <c r="O46" s="49"/>
      <c r="P46" s="50"/>
      <c r="Q46" s="50"/>
      <c r="R46" s="50"/>
      <c r="S46" s="51"/>
      <c r="T46" s="34"/>
      <c r="U46" s="33"/>
      <c r="V46" s="35"/>
    </row>
    <row r="47" spans="1:22" x14ac:dyDescent="0.55000000000000004">
      <c r="A47" s="42" t="s">
        <v>98</v>
      </c>
      <c r="B47" s="42">
        <v>43</v>
      </c>
      <c r="C47" s="43">
        <v>8.9629629629629629E-2</v>
      </c>
      <c r="D47" s="42" t="s">
        <v>145</v>
      </c>
      <c r="E47" s="44">
        <v>26914</v>
      </c>
      <c r="F47" s="44">
        <v>42918</v>
      </c>
      <c r="G47" s="42" t="s">
        <v>39</v>
      </c>
      <c r="H47" s="42"/>
      <c r="I47" s="43">
        <v>8.9629629629629629E-2</v>
      </c>
      <c r="J47" s="46"/>
      <c r="K47" s="46"/>
      <c r="L47" s="49"/>
      <c r="M47" s="49"/>
      <c r="N47" s="50"/>
      <c r="O47" s="49"/>
      <c r="P47" s="50"/>
      <c r="Q47" s="50"/>
      <c r="R47" s="50"/>
      <c r="S47" s="51"/>
      <c r="T47" s="34"/>
      <c r="U47" s="33"/>
      <c r="V47" s="35"/>
    </row>
    <row r="48" spans="1:22" x14ac:dyDescent="0.55000000000000004">
      <c r="A48" s="42" t="s">
        <v>98</v>
      </c>
      <c r="B48" s="42">
        <v>44</v>
      </c>
      <c r="C48" s="43">
        <v>8.9687499999999989E-2</v>
      </c>
      <c r="D48" s="42" t="s">
        <v>145</v>
      </c>
      <c r="E48" s="44">
        <v>26914</v>
      </c>
      <c r="F48" s="44">
        <v>43282</v>
      </c>
      <c r="G48" s="42" t="s">
        <v>39</v>
      </c>
      <c r="H48" s="42"/>
      <c r="I48" s="43">
        <v>8.9687499999999989E-2</v>
      </c>
      <c r="J48" s="46"/>
      <c r="K48" s="46"/>
      <c r="L48" s="49"/>
      <c r="M48" s="49"/>
      <c r="N48" s="50"/>
      <c r="O48" s="49"/>
      <c r="P48" s="50"/>
      <c r="Q48" s="50"/>
      <c r="R48" s="50"/>
      <c r="S48" s="51"/>
      <c r="T48" s="34"/>
      <c r="U48" s="33"/>
      <c r="V48" s="35"/>
    </row>
    <row r="49" spans="1:22" x14ac:dyDescent="0.55000000000000004">
      <c r="A49" s="42" t="s">
        <v>98</v>
      </c>
      <c r="B49" s="42">
        <v>45</v>
      </c>
      <c r="C49" s="43">
        <v>9.2210648148148153E-2</v>
      </c>
      <c r="D49" s="42" t="s">
        <v>145</v>
      </c>
      <c r="E49" s="44">
        <v>26914</v>
      </c>
      <c r="F49" s="44">
        <v>43513</v>
      </c>
      <c r="G49" s="42" t="s">
        <v>144</v>
      </c>
      <c r="H49" s="42"/>
      <c r="I49" s="43">
        <v>9.2210648148148153E-2</v>
      </c>
      <c r="J49" s="46"/>
      <c r="K49" s="46"/>
      <c r="L49" s="49"/>
      <c r="M49" s="49"/>
      <c r="N49" s="50"/>
      <c r="O49" s="49"/>
      <c r="P49" s="50"/>
      <c r="Q49" s="50"/>
      <c r="R49" s="50"/>
      <c r="S49" s="51"/>
      <c r="T49" s="34"/>
      <c r="U49" s="33"/>
      <c r="V49" s="35"/>
    </row>
    <row r="50" spans="1:22" x14ac:dyDescent="0.55000000000000004">
      <c r="A50" s="42" t="s">
        <v>98</v>
      </c>
      <c r="B50" s="42">
        <v>46</v>
      </c>
      <c r="C50" s="43">
        <v>9.402777777777778E-2</v>
      </c>
      <c r="D50" s="42" t="s">
        <v>143</v>
      </c>
      <c r="E50" s="44">
        <v>23002</v>
      </c>
      <c r="F50" s="44">
        <v>40090</v>
      </c>
      <c r="G50" s="42" t="s">
        <v>41</v>
      </c>
      <c r="H50" s="42"/>
      <c r="I50" s="43">
        <v>9.402777777777778E-2</v>
      </c>
      <c r="J50" s="46"/>
      <c r="K50" s="46"/>
      <c r="L50" s="49"/>
      <c r="M50" s="49"/>
      <c r="N50" s="50"/>
      <c r="O50" s="49"/>
      <c r="P50" s="50"/>
      <c r="Q50" s="50"/>
      <c r="R50" s="50"/>
      <c r="S50" s="51"/>
      <c r="T50" s="34"/>
      <c r="U50" s="33"/>
      <c r="V50" s="35"/>
    </row>
    <row r="51" spans="1:22" x14ac:dyDescent="0.55000000000000004">
      <c r="A51" s="42" t="s">
        <v>98</v>
      </c>
      <c r="B51" s="42">
        <v>47</v>
      </c>
      <c r="C51" s="43">
        <v>9.4675925925925927E-2</v>
      </c>
      <c r="D51" s="42" t="s">
        <v>142</v>
      </c>
      <c r="E51" s="44">
        <v>22144</v>
      </c>
      <c r="F51" s="44">
        <v>39432</v>
      </c>
      <c r="G51" s="42" t="s">
        <v>141</v>
      </c>
      <c r="H51" s="42"/>
      <c r="I51" s="43">
        <v>9.4675925925925927E-2</v>
      </c>
      <c r="J51" s="46"/>
      <c r="K51" s="46"/>
      <c r="L51" s="49"/>
      <c r="M51" s="49"/>
      <c r="N51" s="50"/>
      <c r="O51" s="49"/>
      <c r="P51" s="50"/>
      <c r="Q51" s="50"/>
      <c r="R51" s="50"/>
      <c r="S51" s="51"/>
      <c r="T51" s="34"/>
      <c r="U51" s="33"/>
      <c r="V51" s="35"/>
    </row>
    <row r="52" spans="1:22" x14ac:dyDescent="0.55000000000000004">
      <c r="A52" s="42" t="s">
        <v>98</v>
      </c>
      <c r="B52" s="42">
        <v>48</v>
      </c>
      <c r="C52" s="43">
        <v>9.6493055555555554E-2</v>
      </c>
      <c r="D52" s="42" t="s">
        <v>140</v>
      </c>
      <c r="E52" s="44">
        <v>22747</v>
      </c>
      <c r="F52" s="44">
        <v>40549</v>
      </c>
      <c r="G52" s="42" t="s">
        <v>139</v>
      </c>
      <c r="H52" s="42"/>
      <c r="I52" s="43">
        <v>9.6493055555555554E-2</v>
      </c>
      <c r="J52" s="46"/>
      <c r="K52" s="46"/>
      <c r="L52" s="49"/>
      <c r="M52" s="49"/>
      <c r="N52" s="50"/>
      <c r="O52" s="49"/>
      <c r="P52" s="50"/>
      <c r="Q52" s="50"/>
      <c r="R52" s="50"/>
      <c r="S52" s="51"/>
      <c r="T52" s="34"/>
      <c r="U52" s="33"/>
      <c r="V52" s="35"/>
    </row>
    <row r="53" spans="1:22" x14ac:dyDescent="0.55000000000000004">
      <c r="A53" s="42" t="s">
        <v>98</v>
      </c>
      <c r="B53" s="42">
        <v>49</v>
      </c>
      <c r="C53" s="43">
        <v>9.707175925925926E-2</v>
      </c>
      <c r="D53" s="42" t="s">
        <v>138</v>
      </c>
      <c r="E53" s="44">
        <v>16850</v>
      </c>
      <c r="F53" s="44">
        <v>34860</v>
      </c>
      <c r="G53" s="42" t="s">
        <v>137</v>
      </c>
      <c r="H53" s="42"/>
      <c r="I53" s="43">
        <v>9.707175925925926E-2</v>
      </c>
      <c r="J53" s="46"/>
      <c r="K53" s="46"/>
      <c r="L53" s="49"/>
      <c r="M53" s="49"/>
      <c r="N53" s="50"/>
      <c r="O53" s="49"/>
      <c r="P53" s="50"/>
      <c r="Q53" s="50"/>
      <c r="R53" s="50"/>
      <c r="S53" s="51"/>
      <c r="T53" s="34"/>
      <c r="U53" s="33"/>
      <c r="V53" s="35"/>
    </row>
    <row r="54" spans="1:22" x14ac:dyDescent="0.55000000000000004">
      <c r="A54" s="42" t="s">
        <v>98</v>
      </c>
      <c r="B54" s="42">
        <v>50</v>
      </c>
      <c r="C54" s="43">
        <v>9.6863425925925936E-2</v>
      </c>
      <c r="D54" s="42" t="s">
        <v>136</v>
      </c>
      <c r="E54" s="44">
        <v>14987</v>
      </c>
      <c r="F54" s="44">
        <v>33439</v>
      </c>
      <c r="G54" s="42" t="s">
        <v>135</v>
      </c>
      <c r="H54" s="42"/>
      <c r="I54" s="43">
        <v>9.6863425925925936E-2</v>
      </c>
      <c r="J54" s="46"/>
      <c r="K54" s="46"/>
      <c r="L54" s="49"/>
      <c r="M54" s="49"/>
      <c r="N54" s="50"/>
      <c r="O54" s="49"/>
      <c r="P54" s="50"/>
      <c r="Q54" s="50"/>
      <c r="R54" s="50"/>
      <c r="S54" s="51"/>
      <c r="T54" s="34"/>
      <c r="U54" s="33"/>
      <c r="V54" s="35"/>
    </row>
    <row r="55" spans="1:22" x14ac:dyDescent="0.55000000000000004">
      <c r="A55" s="42" t="s">
        <v>98</v>
      </c>
      <c r="B55" s="42">
        <v>51</v>
      </c>
      <c r="C55" s="43">
        <v>0.10020833333333334</v>
      </c>
      <c r="D55" s="42" t="s">
        <v>133</v>
      </c>
      <c r="E55" s="44">
        <v>11186</v>
      </c>
      <c r="F55" s="44">
        <v>29842</v>
      </c>
      <c r="G55" s="42" t="s">
        <v>120</v>
      </c>
      <c r="H55" s="42"/>
      <c r="I55" s="43">
        <v>0.10020833333333334</v>
      </c>
      <c r="J55" s="46"/>
      <c r="K55" s="46"/>
      <c r="L55" s="49"/>
      <c r="M55" s="49"/>
      <c r="N55" s="50"/>
      <c r="O55" s="49"/>
      <c r="P55" s="50"/>
      <c r="Q55" s="50"/>
      <c r="R55" s="50"/>
      <c r="S55" s="51"/>
      <c r="T55" s="34"/>
      <c r="U55" s="33"/>
      <c r="V55" s="35"/>
    </row>
    <row r="56" spans="1:22" x14ac:dyDescent="0.55000000000000004">
      <c r="A56" s="42" t="s">
        <v>98</v>
      </c>
      <c r="B56" s="42">
        <v>52</v>
      </c>
      <c r="C56" s="43">
        <v>9.8773148148148152E-2</v>
      </c>
      <c r="D56" s="42" t="s">
        <v>133</v>
      </c>
      <c r="E56" s="44">
        <v>11186</v>
      </c>
      <c r="F56" s="44">
        <v>30415</v>
      </c>
      <c r="G56" s="42" t="s">
        <v>114</v>
      </c>
      <c r="H56" s="42"/>
      <c r="I56" s="43">
        <v>9.8773148148148152E-2</v>
      </c>
      <c r="J56" s="46"/>
      <c r="K56" s="46"/>
      <c r="L56" s="49"/>
      <c r="M56" s="49"/>
      <c r="N56" s="50"/>
      <c r="O56" s="49"/>
      <c r="P56" s="50"/>
      <c r="Q56" s="50"/>
      <c r="R56" s="50"/>
      <c r="S56" s="51"/>
      <c r="T56" s="34"/>
      <c r="U56" s="33"/>
      <c r="V56" s="35"/>
    </row>
    <row r="57" spans="1:22" x14ac:dyDescent="0.55000000000000004">
      <c r="A57" s="42" t="s">
        <v>98</v>
      </c>
      <c r="B57" s="42">
        <v>53</v>
      </c>
      <c r="C57" s="43">
        <v>9.9814814814814815E-2</v>
      </c>
      <c r="D57" s="42" t="s">
        <v>133</v>
      </c>
      <c r="E57" s="44">
        <v>11186</v>
      </c>
      <c r="F57" s="44">
        <v>30611</v>
      </c>
      <c r="G57" s="42" t="s">
        <v>134</v>
      </c>
      <c r="H57" s="42"/>
      <c r="I57" s="43">
        <v>9.9814814814814815E-2</v>
      </c>
      <c r="J57" s="46"/>
      <c r="K57" s="46"/>
      <c r="L57" s="49"/>
      <c r="M57" s="49"/>
      <c r="N57" s="50"/>
      <c r="O57" s="49"/>
      <c r="P57" s="50"/>
      <c r="Q57" s="50"/>
      <c r="R57" s="50"/>
      <c r="S57" s="51"/>
      <c r="T57" s="34"/>
      <c r="U57" s="33"/>
      <c r="V57" s="35"/>
    </row>
    <row r="58" spans="1:22" x14ac:dyDescent="0.55000000000000004">
      <c r="A58" s="42" t="s">
        <v>98</v>
      </c>
      <c r="B58" s="42">
        <v>54</v>
      </c>
      <c r="C58" s="43">
        <v>0.10179398148148149</v>
      </c>
      <c r="D58" s="42" t="s">
        <v>133</v>
      </c>
      <c r="E58" s="44">
        <v>11186</v>
      </c>
      <c r="F58" s="44">
        <v>31157</v>
      </c>
      <c r="G58" s="42" t="s">
        <v>114</v>
      </c>
      <c r="H58" s="42"/>
      <c r="I58" s="43">
        <v>0.10179398148148149</v>
      </c>
      <c r="J58" s="46"/>
      <c r="K58" s="46"/>
      <c r="L58" s="49"/>
      <c r="M58" s="49"/>
      <c r="N58" s="50"/>
      <c r="O58" s="49"/>
      <c r="P58" s="50"/>
      <c r="Q58" s="50"/>
      <c r="R58" s="50"/>
      <c r="S58" s="51"/>
      <c r="T58" s="34"/>
      <c r="U58" s="33"/>
      <c r="V58" s="35"/>
    </row>
    <row r="59" spans="1:22" x14ac:dyDescent="0.55000000000000004">
      <c r="A59" s="42" t="s">
        <v>98</v>
      </c>
      <c r="B59" s="42">
        <v>55</v>
      </c>
      <c r="C59" s="43">
        <v>0.1013425925925926</v>
      </c>
      <c r="D59" s="42" t="s">
        <v>133</v>
      </c>
      <c r="E59" s="44">
        <v>11186</v>
      </c>
      <c r="F59" s="44">
        <v>31521</v>
      </c>
      <c r="G59" s="42" t="s">
        <v>114</v>
      </c>
      <c r="H59" s="42"/>
      <c r="I59" s="43">
        <v>0.1013425925925926</v>
      </c>
      <c r="J59" s="46"/>
      <c r="K59" s="46"/>
      <c r="L59" s="49"/>
      <c r="M59" s="49"/>
      <c r="N59" s="50"/>
      <c r="O59" s="49"/>
      <c r="P59" s="50"/>
      <c r="Q59" s="50"/>
      <c r="R59" s="50"/>
      <c r="S59" s="51"/>
      <c r="T59" s="34"/>
      <c r="U59" s="33"/>
      <c r="V59" s="35"/>
    </row>
    <row r="60" spans="1:22" x14ac:dyDescent="0.55000000000000004">
      <c r="A60" s="42" t="s">
        <v>98</v>
      </c>
      <c r="B60" s="42">
        <v>56</v>
      </c>
      <c r="C60" s="43">
        <v>0.10214120370370371</v>
      </c>
      <c r="D60" s="42" t="s">
        <v>132</v>
      </c>
      <c r="E60" s="44">
        <v>7696</v>
      </c>
      <c r="F60" s="44">
        <v>28386</v>
      </c>
      <c r="G60" s="42" t="s">
        <v>131</v>
      </c>
      <c r="H60" s="42"/>
      <c r="I60" s="43">
        <v>0.10214120370370371</v>
      </c>
      <c r="J60" s="46"/>
      <c r="K60" s="46"/>
      <c r="L60" s="49"/>
      <c r="M60" s="49"/>
      <c r="N60" s="50"/>
      <c r="O60" s="49"/>
      <c r="P60" s="50"/>
      <c r="Q60" s="50"/>
      <c r="R60" s="50"/>
      <c r="S60" s="51"/>
      <c r="T60" s="34"/>
      <c r="U60" s="33"/>
      <c r="V60" s="35"/>
    </row>
    <row r="61" spans="1:22" x14ac:dyDescent="0.55000000000000004">
      <c r="A61" s="42" t="s">
        <v>98</v>
      </c>
      <c r="B61" s="42">
        <v>57</v>
      </c>
      <c r="C61" s="43">
        <v>0.10638888888888888</v>
      </c>
      <c r="D61" s="42" t="s">
        <v>130</v>
      </c>
      <c r="E61" s="44">
        <v>11867</v>
      </c>
      <c r="F61" s="44">
        <v>32789</v>
      </c>
      <c r="G61" s="42" t="s">
        <v>41</v>
      </c>
      <c r="H61" s="42"/>
      <c r="I61" s="43">
        <v>0.10638888888888888</v>
      </c>
      <c r="J61" s="46"/>
      <c r="K61" s="46"/>
      <c r="L61" s="49"/>
      <c r="M61" s="49"/>
      <c r="N61" s="50"/>
      <c r="O61" s="49"/>
      <c r="P61" s="50"/>
      <c r="Q61" s="50"/>
      <c r="R61" s="50"/>
      <c r="S61" s="51"/>
      <c r="T61" s="34"/>
      <c r="U61" s="33"/>
      <c r="V61" s="35"/>
    </row>
    <row r="62" spans="1:22" x14ac:dyDescent="0.55000000000000004">
      <c r="A62" s="42" t="s">
        <v>98</v>
      </c>
      <c r="B62" s="42">
        <v>58</v>
      </c>
      <c r="C62" s="43">
        <v>0.10822916666666667</v>
      </c>
      <c r="D62" s="42" t="s">
        <v>129</v>
      </c>
      <c r="E62" s="44">
        <v>9022</v>
      </c>
      <c r="F62" s="44">
        <v>30227</v>
      </c>
      <c r="G62" s="42" t="s">
        <v>41</v>
      </c>
      <c r="H62" s="42"/>
      <c r="I62" s="43">
        <v>0.10822916666666667</v>
      </c>
      <c r="J62" s="46"/>
      <c r="K62" s="46"/>
      <c r="L62" s="49"/>
      <c r="M62" s="49"/>
      <c r="N62" s="50"/>
      <c r="O62" s="49"/>
      <c r="P62" s="50"/>
      <c r="Q62" s="50"/>
      <c r="R62" s="50"/>
      <c r="S62" s="51"/>
      <c r="T62" s="34"/>
      <c r="U62" s="33"/>
      <c r="V62" s="35"/>
    </row>
    <row r="63" spans="1:22" x14ac:dyDescent="0.55000000000000004">
      <c r="A63" s="42" t="s">
        <v>98</v>
      </c>
      <c r="B63" s="42">
        <v>59</v>
      </c>
      <c r="C63" s="43">
        <v>0.10438657407407408</v>
      </c>
      <c r="D63" s="42" t="s">
        <v>128</v>
      </c>
      <c r="E63" s="44">
        <v>21923</v>
      </c>
      <c r="F63" s="44">
        <v>43562</v>
      </c>
      <c r="G63" s="42" t="s">
        <v>114</v>
      </c>
      <c r="H63" s="42"/>
      <c r="I63" s="43">
        <v>0.10438657407407408</v>
      </c>
      <c r="J63" s="46"/>
      <c r="K63" s="46"/>
      <c r="L63" s="49"/>
      <c r="M63" s="49"/>
      <c r="N63" s="50"/>
      <c r="O63" s="49"/>
      <c r="P63" s="50"/>
      <c r="Q63" s="50"/>
      <c r="R63" s="50"/>
      <c r="S63" s="51"/>
      <c r="T63" s="34"/>
      <c r="U63" s="33"/>
      <c r="V63" s="35"/>
    </row>
    <row r="64" spans="1:22" x14ac:dyDescent="0.55000000000000004">
      <c r="A64" s="42" t="s">
        <v>98</v>
      </c>
      <c r="B64" s="42">
        <v>60</v>
      </c>
      <c r="C64" s="43">
        <v>0.10868055555555556</v>
      </c>
      <c r="D64" s="42" t="s">
        <v>127</v>
      </c>
      <c r="E64" s="44">
        <v>17903</v>
      </c>
      <c r="F64" s="44">
        <v>39845</v>
      </c>
      <c r="G64" s="42" t="s">
        <v>126</v>
      </c>
      <c r="H64" s="42"/>
      <c r="I64" s="43">
        <v>0.10868055555555556</v>
      </c>
      <c r="J64" s="46"/>
      <c r="K64" s="46"/>
      <c r="L64" s="49"/>
      <c r="M64" s="49"/>
      <c r="N64" s="50"/>
      <c r="O64" s="49"/>
      <c r="P64" s="50"/>
      <c r="Q64" s="50"/>
      <c r="R64" s="50"/>
      <c r="S64" s="51"/>
      <c r="T64" s="34"/>
      <c r="U64" s="33"/>
      <c r="V64" s="35"/>
    </row>
    <row r="65" spans="1:22" x14ac:dyDescent="0.55000000000000004">
      <c r="A65" s="42" t="s">
        <v>98</v>
      </c>
      <c r="B65" s="42">
        <v>61</v>
      </c>
      <c r="C65" s="43">
        <v>0.10986111111111112</v>
      </c>
      <c r="D65" s="42" t="s">
        <v>127</v>
      </c>
      <c r="E65" s="44">
        <v>17903</v>
      </c>
      <c r="F65" s="44">
        <v>40216</v>
      </c>
      <c r="G65" s="42" t="s">
        <v>126</v>
      </c>
      <c r="H65" s="42"/>
      <c r="I65" s="43">
        <v>0.10986111111111112</v>
      </c>
      <c r="J65" s="46"/>
      <c r="K65" s="46"/>
      <c r="L65" s="49"/>
      <c r="M65" s="49"/>
      <c r="N65" s="50"/>
      <c r="O65" s="49"/>
      <c r="P65" s="50"/>
      <c r="Q65" s="50"/>
      <c r="R65" s="50"/>
      <c r="S65" s="51"/>
      <c r="T65" s="34"/>
      <c r="U65" s="33"/>
      <c r="V65" s="35"/>
    </row>
    <row r="66" spans="1:22" x14ac:dyDescent="0.55000000000000004">
      <c r="A66" s="42" t="s">
        <v>98</v>
      </c>
      <c r="B66" s="42">
        <v>62</v>
      </c>
      <c r="C66" s="43">
        <v>0.11188657407407408</v>
      </c>
      <c r="D66" s="42" t="s">
        <v>125</v>
      </c>
      <c r="E66" s="44">
        <v>7063</v>
      </c>
      <c r="F66" s="44">
        <v>29911</v>
      </c>
      <c r="G66" s="42" t="s">
        <v>124</v>
      </c>
      <c r="H66" s="42"/>
      <c r="I66" s="43">
        <v>0.11188657407407408</v>
      </c>
      <c r="J66" s="46"/>
      <c r="K66" s="46"/>
      <c r="L66" s="49"/>
      <c r="M66" s="49"/>
      <c r="N66" s="50"/>
      <c r="O66" s="49"/>
      <c r="P66" s="50"/>
      <c r="Q66" s="50"/>
      <c r="R66" s="50"/>
      <c r="S66" s="51"/>
      <c r="T66" s="34"/>
      <c r="U66" s="33"/>
      <c r="V66" s="35"/>
    </row>
    <row r="67" spans="1:22" x14ac:dyDescent="0.55000000000000004">
      <c r="A67" s="42" t="s">
        <v>98</v>
      </c>
      <c r="B67" s="42">
        <v>63</v>
      </c>
      <c r="C67" s="43">
        <v>0.11484953703703704</v>
      </c>
      <c r="D67" s="42" t="s">
        <v>123</v>
      </c>
      <c r="E67" s="44">
        <v>19513</v>
      </c>
      <c r="F67" s="44">
        <v>42554</v>
      </c>
      <c r="G67" s="42" t="s">
        <v>39</v>
      </c>
      <c r="H67" s="42"/>
      <c r="I67" s="43">
        <v>0.11484953703703704</v>
      </c>
      <c r="J67" s="46"/>
      <c r="K67" s="46"/>
      <c r="L67" s="49"/>
      <c r="M67" s="49"/>
      <c r="N67" s="50"/>
      <c r="O67" s="49"/>
      <c r="P67" s="50"/>
      <c r="Q67" s="50"/>
      <c r="R67" s="50"/>
      <c r="S67" s="51"/>
      <c r="T67" s="34"/>
      <c r="U67" s="33"/>
      <c r="V67" s="35"/>
    </row>
    <row r="68" spans="1:22" x14ac:dyDescent="0.55000000000000004">
      <c r="A68" s="42" t="s">
        <v>98</v>
      </c>
      <c r="B68" s="42">
        <v>64</v>
      </c>
      <c r="C68" s="43">
        <v>0.11300925925925925</v>
      </c>
      <c r="D68" s="42" t="s">
        <v>121</v>
      </c>
      <c r="E68" s="44">
        <v>5708</v>
      </c>
      <c r="F68" s="44">
        <v>29156</v>
      </c>
      <c r="G68" s="42" t="s">
        <v>7</v>
      </c>
      <c r="H68" s="42"/>
      <c r="I68" s="43">
        <v>0.11300925925925925</v>
      </c>
      <c r="J68" s="46"/>
      <c r="K68" s="46"/>
      <c r="L68" s="49"/>
      <c r="M68" s="49"/>
      <c r="N68" s="50"/>
      <c r="O68" s="49"/>
      <c r="P68" s="50"/>
      <c r="Q68" s="50"/>
      <c r="R68" s="50"/>
      <c r="S68" s="51"/>
      <c r="T68" s="34"/>
      <c r="U68" s="33"/>
      <c r="V68" s="35"/>
    </row>
    <row r="69" spans="1:22" x14ac:dyDescent="0.55000000000000004">
      <c r="A69" s="42" t="s">
        <v>98</v>
      </c>
      <c r="B69" s="42">
        <v>65</v>
      </c>
      <c r="C69" s="43">
        <v>0.11246527777777778</v>
      </c>
      <c r="D69" s="42" t="s">
        <v>122</v>
      </c>
      <c r="E69" s="44">
        <v>9836</v>
      </c>
      <c r="F69" s="44">
        <v>33706</v>
      </c>
      <c r="G69" s="42" t="s">
        <v>45</v>
      </c>
      <c r="H69" s="42"/>
      <c r="I69" s="43">
        <v>0.11246527777777778</v>
      </c>
      <c r="J69" s="46"/>
      <c r="K69" s="46"/>
      <c r="L69" s="49"/>
      <c r="M69" s="49"/>
      <c r="N69" s="50"/>
      <c r="O69" s="49"/>
      <c r="P69" s="50"/>
      <c r="Q69" s="50"/>
      <c r="R69" s="50"/>
      <c r="S69" s="51"/>
      <c r="T69" s="34"/>
      <c r="U69" s="33"/>
      <c r="V69" s="35"/>
    </row>
    <row r="70" spans="1:22" x14ac:dyDescent="0.55000000000000004">
      <c r="A70" s="42" t="s">
        <v>98</v>
      </c>
      <c r="B70" s="42">
        <v>66</v>
      </c>
      <c r="C70" s="43">
        <v>0.11306712962962963</v>
      </c>
      <c r="D70" s="42" t="s">
        <v>121</v>
      </c>
      <c r="E70" s="44">
        <v>5708</v>
      </c>
      <c r="F70" s="44">
        <v>29842</v>
      </c>
      <c r="G70" s="42" t="s">
        <v>120</v>
      </c>
      <c r="H70" s="42"/>
      <c r="I70" s="43">
        <v>0.11306712962962963</v>
      </c>
      <c r="J70" s="46"/>
      <c r="K70" s="46"/>
      <c r="L70" s="49"/>
      <c r="M70" s="49"/>
      <c r="N70" s="50"/>
      <c r="O70" s="49"/>
      <c r="P70" s="50"/>
      <c r="Q70" s="50"/>
      <c r="R70" s="50"/>
      <c r="S70" s="51"/>
      <c r="T70" s="34"/>
      <c r="U70" s="33"/>
      <c r="V70" s="35"/>
    </row>
    <row r="71" spans="1:22" x14ac:dyDescent="0.55000000000000004">
      <c r="A71" s="42" t="s">
        <v>98</v>
      </c>
      <c r="B71" s="42">
        <v>67</v>
      </c>
      <c r="C71" s="43">
        <v>0.11883101851851852</v>
      </c>
      <c r="D71" s="42" t="s">
        <v>119</v>
      </c>
      <c r="E71" s="44">
        <v>8454</v>
      </c>
      <c r="F71" s="44">
        <v>32971</v>
      </c>
      <c r="G71" s="42" t="s">
        <v>118</v>
      </c>
      <c r="H71" s="42"/>
      <c r="I71" s="43">
        <v>0.11883101851851852</v>
      </c>
      <c r="J71" s="46"/>
      <c r="K71" s="46"/>
      <c r="L71" s="49"/>
      <c r="M71" s="49"/>
      <c r="N71" s="50"/>
      <c r="O71" s="49"/>
      <c r="P71" s="50"/>
      <c r="Q71" s="50"/>
      <c r="R71" s="50"/>
      <c r="S71" s="51"/>
      <c r="T71" s="34"/>
      <c r="U71" s="33"/>
      <c r="V71" s="35"/>
    </row>
    <row r="72" spans="1:22" x14ac:dyDescent="0.55000000000000004">
      <c r="A72" s="42" t="s">
        <v>98</v>
      </c>
      <c r="B72" s="42">
        <v>68</v>
      </c>
      <c r="C72" s="43">
        <v>0.11877314814814814</v>
      </c>
      <c r="D72" s="42" t="s">
        <v>107</v>
      </c>
      <c r="E72" s="44">
        <v>11388</v>
      </c>
      <c r="F72" s="44">
        <v>36478</v>
      </c>
      <c r="G72" s="42" t="s">
        <v>26</v>
      </c>
      <c r="H72" s="42"/>
      <c r="I72" s="43">
        <v>0.11877314814814814</v>
      </c>
      <c r="J72" s="46"/>
      <c r="K72" s="46"/>
      <c r="L72" s="49"/>
      <c r="M72" s="49"/>
      <c r="N72" s="50"/>
      <c r="O72" s="49"/>
      <c r="P72" s="50"/>
      <c r="Q72" s="50"/>
      <c r="R72" s="50"/>
      <c r="S72" s="51"/>
      <c r="T72" s="34"/>
      <c r="U72" s="33"/>
      <c r="V72" s="35"/>
    </row>
    <row r="73" spans="1:22" x14ac:dyDescent="0.55000000000000004">
      <c r="A73" s="42" t="s">
        <v>98</v>
      </c>
      <c r="B73" s="42">
        <v>69</v>
      </c>
      <c r="C73" s="43">
        <v>0.12002314814814814</v>
      </c>
      <c r="D73" s="42" t="s">
        <v>107</v>
      </c>
      <c r="E73" s="44">
        <v>11388</v>
      </c>
      <c r="F73" s="44">
        <v>36828</v>
      </c>
      <c r="G73" s="42" t="s">
        <v>26</v>
      </c>
      <c r="H73" s="42"/>
      <c r="I73" s="43">
        <v>0.12002314814814814</v>
      </c>
      <c r="J73" s="46"/>
      <c r="K73" s="46"/>
      <c r="L73" s="49"/>
      <c r="M73" s="49"/>
      <c r="N73" s="50"/>
      <c r="O73" s="49"/>
      <c r="P73" s="50"/>
      <c r="Q73" s="50"/>
      <c r="R73" s="50"/>
      <c r="S73" s="51"/>
      <c r="T73" s="34"/>
      <c r="U73" s="33"/>
      <c r="V73" s="35"/>
    </row>
    <row r="74" spans="1:22" x14ac:dyDescent="0.55000000000000004">
      <c r="A74" s="42" t="s">
        <v>98</v>
      </c>
      <c r="B74" s="42">
        <v>70</v>
      </c>
      <c r="C74" s="43">
        <v>0.12109953703703703</v>
      </c>
      <c r="D74" s="42" t="s">
        <v>117</v>
      </c>
      <c r="E74" s="44">
        <v>17626</v>
      </c>
      <c r="F74" s="44">
        <v>43449</v>
      </c>
      <c r="G74" s="42" t="s">
        <v>116</v>
      </c>
      <c r="H74" s="42"/>
      <c r="I74" s="43">
        <v>0.12109953703703703</v>
      </c>
      <c r="J74" s="46"/>
      <c r="K74" s="46"/>
      <c r="L74" s="49"/>
      <c r="M74" s="49"/>
      <c r="N74" s="50"/>
      <c r="O74" s="49"/>
      <c r="P74" s="50"/>
      <c r="Q74" s="50"/>
      <c r="R74" s="50"/>
      <c r="S74" s="51"/>
      <c r="T74" s="34"/>
      <c r="U74" s="33"/>
      <c r="V74" s="35"/>
    </row>
    <row r="75" spans="1:22" x14ac:dyDescent="0.55000000000000004">
      <c r="A75" s="42" t="s">
        <v>98</v>
      </c>
      <c r="B75" s="42">
        <v>71</v>
      </c>
      <c r="C75" s="43">
        <v>0.12567129629629628</v>
      </c>
      <c r="D75" s="42" t="s">
        <v>115</v>
      </c>
      <c r="E75" s="44">
        <v>9106</v>
      </c>
      <c r="F75" s="44">
        <v>35344</v>
      </c>
      <c r="G75" s="42" t="s">
        <v>41</v>
      </c>
      <c r="H75" s="42"/>
      <c r="I75" s="43">
        <v>0.12567129629629628</v>
      </c>
      <c r="J75" s="46"/>
      <c r="K75" s="46"/>
      <c r="L75" s="49"/>
      <c r="M75" s="49"/>
      <c r="N75" s="50"/>
      <c r="O75" s="49"/>
      <c r="P75" s="50"/>
      <c r="Q75" s="50"/>
      <c r="R75" s="50"/>
      <c r="S75" s="51"/>
      <c r="T75" s="39"/>
      <c r="U75" s="33"/>
      <c r="V75" s="35"/>
    </row>
    <row r="76" spans="1:22" ht="13.8" customHeight="1" x14ac:dyDescent="0.55000000000000004">
      <c r="A76" s="42" t="s">
        <v>98</v>
      </c>
      <c r="B76" s="42">
        <v>72</v>
      </c>
      <c r="C76" s="43">
        <v>0.12441319444444444</v>
      </c>
      <c r="D76" s="42" t="s">
        <v>107</v>
      </c>
      <c r="E76" s="44">
        <v>11388</v>
      </c>
      <c r="F76" s="44">
        <v>37892</v>
      </c>
      <c r="G76" s="42" t="s">
        <v>106</v>
      </c>
      <c r="H76" s="42"/>
      <c r="I76" s="43">
        <v>0.12442129629629629</v>
      </c>
      <c r="J76" s="46" t="s">
        <v>570</v>
      </c>
      <c r="K76" s="46"/>
      <c r="L76" s="49"/>
      <c r="M76" s="49"/>
      <c r="N76" s="50"/>
      <c r="O76" s="49"/>
      <c r="P76" s="50"/>
      <c r="Q76" s="50"/>
      <c r="R76" s="50"/>
      <c r="S76" s="51"/>
      <c r="T76" s="34"/>
      <c r="U76" s="33"/>
      <c r="V76" s="35"/>
    </row>
    <row r="77" spans="1:22" x14ac:dyDescent="0.55000000000000004">
      <c r="A77" s="42" t="s">
        <v>98</v>
      </c>
      <c r="B77" s="42">
        <v>73</v>
      </c>
      <c r="C77" s="43">
        <v>0.12139236111111111</v>
      </c>
      <c r="D77" s="42" t="s">
        <v>107</v>
      </c>
      <c r="E77" s="44">
        <v>11388</v>
      </c>
      <c r="F77" s="44">
        <v>38256</v>
      </c>
      <c r="G77" s="42" t="s">
        <v>106</v>
      </c>
      <c r="H77" s="42"/>
      <c r="I77" s="43">
        <v>0.12140046296296296</v>
      </c>
      <c r="J77" s="46" t="s">
        <v>570</v>
      </c>
      <c r="K77" s="46"/>
      <c r="L77" s="49"/>
      <c r="M77" s="49"/>
      <c r="N77" s="50"/>
      <c r="O77" s="49"/>
      <c r="P77" s="50"/>
      <c r="Q77" s="50"/>
      <c r="R77" s="50"/>
      <c r="S77" s="51"/>
      <c r="T77" s="34"/>
      <c r="U77" s="33"/>
      <c r="V77" s="35"/>
    </row>
    <row r="78" spans="1:22" x14ac:dyDescent="0.55000000000000004">
      <c r="A78" s="42" t="s">
        <v>98</v>
      </c>
      <c r="B78" s="42">
        <v>74</v>
      </c>
      <c r="C78" s="43">
        <v>0.12407407407407407</v>
      </c>
      <c r="D78" s="42" t="s">
        <v>107</v>
      </c>
      <c r="E78" s="44">
        <v>11388</v>
      </c>
      <c r="F78" s="44">
        <v>38452</v>
      </c>
      <c r="G78" s="42" t="s">
        <v>114</v>
      </c>
      <c r="H78" s="42"/>
      <c r="I78" s="43">
        <v>0.12407407407407407</v>
      </c>
      <c r="J78" s="46"/>
      <c r="K78" s="46"/>
      <c r="L78" s="49"/>
      <c r="M78" s="49"/>
      <c r="N78" s="50"/>
      <c r="O78" s="49"/>
      <c r="P78" s="50"/>
      <c r="Q78" s="50"/>
      <c r="R78" s="50"/>
      <c r="S78" s="51"/>
      <c r="T78" s="34"/>
      <c r="U78" s="33"/>
      <c r="V78" s="35"/>
    </row>
    <row r="79" spans="1:22" x14ac:dyDescent="0.55000000000000004">
      <c r="A79" s="42" t="s">
        <v>98</v>
      </c>
      <c r="B79" s="42">
        <v>75</v>
      </c>
      <c r="C79" s="43">
        <v>0.13096064814814815</v>
      </c>
      <c r="D79" s="42" t="s">
        <v>107</v>
      </c>
      <c r="E79" s="44">
        <v>11388</v>
      </c>
      <c r="F79" s="44">
        <v>38984</v>
      </c>
      <c r="G79" s="42" t="s">
        <v>106</v>
      </c>
      <c r="H79" s="42"/>
      <c r="I79" s="43">
        <v>0.13096064814814815</v>
      </c>
      <c r="J79" s="46"/>
      <c r="K79" s="46"/>
      <c r="L79" s="49"/>
      <c r="M79" s="49"/>
      <c r="N79" s="50"/>
      <c r="O79" s="49"/>
      <c r="P79" s="50"/>
      <c r="Q79" s="50"/>
      <c r="R79" s="50"/>
      <c r="S79" s="51"/>
      <c r="T79" s="34"/>
      <c r="U79" s="33"/>
      <c r="V79" s="35"/>
    </row>
    <row r="80" spans="1:22" x14ac:dyDescent="0.55000000000000004">
      <c r="A80" s="42" t="s">
        <v>98</v>
      </c>
      <c r="B80" s="42">
        <v>76</v>
      </c>
      <c r="C80" s="43">
        <v>0.12839120370370369</v>
      </c>
      <c r="D80" s="42" t="s">
        <v>107</v>
      </c>
      <c r="E80" s="44">
        <v>11388</v>
      </c>
      <c r="F80" s="44">
        <v>39187</v>
      </c>
      <c r="G80" s="42" t="s">
        <v>114</v>
      </c>
      <c r="H80" s="42"/>
      <c r="I80" s="43">
        <v>0.12840277777777778</v>
      </c>
      <c r="J80" s="46" t="s">
        <v>570</v>
      </c>
      <c r="K80" s="46"/>
      <c r="L80" s="49"/>
      <c r="M80" s="49"/>
      <c r="N80" s="50"/>
      <c r="O80" s="49"/>
      <c r="P80" s="50"/>
      <c r="Q80" s="50"/>
      <c r="R80" s="50"/>
      <c r="S80" s="51"/>
      <c r="T80" s="34"/>
      <c r="U80" s="33"/>
      <c r="V80" s="35"/>
    </row>
    <row r="81" spans="1:22" x14ac:dyDescent="0.55000000000000004">
      <c r="A81" s="42" t="s">
        <v>98</v>
      </c>
      <c r="B81" s="42">
        <v>77</v>
      </c>
      <c r="C81" s="43">
        <v>0.14822916666666666</v>
      </c>
      <c r="D81" s="42" t="s">
        <v>108</v>
      </c>
      <c r="E81" s="44">
        <v>2750</v>
      </c>
      <c r="F81" s="44">
        <v>31018</v>
      </c>
      <c r="G81" s="42" t="s">
        <v>113</v>
      </c>
      <c r="H81" s="42"/>
      <c r="I81" s="43">
        <v>0.14822916666666666</v>
      </c>
      <c r="J81" s="46"/>
      <c r="K81" s="46"/>
      <c r="L81" s="49"/>
      <c r="M81" s="49"/>
      <c r="N81" s="50"/>
      <c r="O81" s="49"/>
      <c r="P81" s="50"/>
      <c r="Q81" s="50"/>
      <c r="R81" s="50"/>
      <c r="S81" s="51"/>
      <c r="T81" s="34"/>
      <c r="U81" s="33"/>
      <c r="V81" s="35"/>
    </row>
    <row r="82" spans="1:22" x14ac:dyDescent="0.55000000000000004">
      <c r="A82" s="42" t="s">
        <v>98</v>
      </c>
      <c r="B82" s="42">
        <v>78</v>
      </c>
      <c r="C82" s="43">
        <v>0.15068287037037037</v>
      </c>
      <c r="D82" s="42" t="s">
        <v>112</v>
      </c>
      <c r="E82" s="44">
        <v>7482</v>
      </c>
      <c r="F82" s="44">
        <v>36072</v>
      </c>
      <c r="G82" s="42" t="s">
        <v>41</v>
      </c>
      <c r="H82" s="42"/>
      <c r="I82" s="43">
        <v>0.15068287037037037</v>
      </c>
      <c r="J82" s="46"/>
      <c r="K82" s="46"/>
      <c r="L82" s="49"/>
      <c r="M82" s="49"/>
      <c r="N82" s="50"/>
      <c r="O82" s="49"/>
      <c r="P82" s="50"/>
      <c r="Q82" s="50"/>
      <c r="R82" s="50"/>
      <c r="S82" s="51"/>
      <c r="T82" s="34"/>
      <c r="U82" s="33"/>
      <c r="V82" s="35"/>
    </row>
    <row r="83" spans="1:22" x14ac:dyDescent="0.55000000000000004">
      <c r="A83" s="42" t="s">
        <v>98</v>
      </c>
      <c r="B83" s="42">
        <v>79</v>
      </c>
      <c r="C83" s="43">
        <v>0.15765046296296295</v>
      </c>
      <c r="D83" s="42" t="s">
        <v>110</v>
      </c>
      <c r="E83" s="44">
        <v>11668</v>
      </c>
      <c r="F83" s="44">
        <v>40811</v>
      </c>
      <c r="G83" s="42" t="s">
        <v>111</v>
      </c>
      <c r="H83" s="42"/>
      <c r="I83" s="43">
        <v>0.15765046296296295</v>
      </c>
      <c r="J83" s="46"/>
      <c r="K83" s="46"/>
      <c r="L83" s="49"/>
      <c r="M83" s="49"/>
      <c r="N83" s="50"/>
      <c r="O83" s="49"/>
      <c r="P83" s="50"/>
      <c r="Q83" s="50"/>
      <c r="R83" s="50"/>
      <c r="S83" s="51"/>
      <c r="T83" s="34"/>
      <c r="U83" s="33"/>
      <c r="V83" s="35"/>
    </row>
    <row r="84" spans="1:22" x14ac:dyDescent="0.55000000000000004">
      <c r="A84" s="42" t="s">
        <v>98</v>
      </c>
      <c r="B84" s="42">
        <v>80</v>
      </c>
      <c r="C84" s="43">
        <v>0.13604166666666667</v>
      </c>
      <c r="D84" s="42" t="s">
        <v>107</v>
      </c>
      <c r="E84" s="44">
        <v>11388</v>
      </c>
      <c r="F84" s="44">
        <v>40832</v>
      </c>
      <c r="G84" s="42" t="s">
        <v>106</v>
      </c>
      <c r="H84" s="42"/>
      <c r="I84" s="43">
        <v>0.13604166666666667</v>
      </c>
      <c r="J84" s="46"/>
      <c r="K84" s="46"/>
      <c r="L84" s="49"/>
      <c r="M84" s="49"/>
      <c r="N84" s="50"/>
      <c r="O84" s="49"/>
      <c r="P84" s="50"/>
      <c r="Q84" s="50"/>
      <c r="R84" s="50"/>
      <c r="S84" s="51"/>
      <c r="T84" s="34"/>
      <c r="U84" s="33"/>
      <c r="V84" s="35"/>
    </row>
    <row r="85" spans="1:22" x14ac:dyDescent="0.55000000000000004">
      <c r="A85" s="42" t="s">
        <v>98</v>
      </c>
      <c r="B85" s="42">
        <v>81</v>
      </c>
      <c r="C85" s="43">
        <v>0.14616203703703703</v>
      </c>
      <c r="D85" s="42" t="s">
        <v>107</v>
      </c>
      <c r="E85" s="44">
        <v>11388</v>
      </c>
      <c r="F85" s="44">
        <v>41196</v>
      </c>
      <c r="G85" s="42" t="s">
        <v>106</v>
      </c>
      <c r="H85" s="42"/>
      <c r="I85" s="43">
        <v>0.14616898148148147</v>
      </c>
      <c r="J85" s="46" t="s">
        <v>570</v>
      </c>
      <c r="K85" s="46"/>
      <c r="L85" s="49"/>
      <c r="M85" s="49"/>
      <c r="N85" s="50"/>
      <c r="O85" s="49"/>
      <c r="P85" s="50"/>
      <c r="Q85" s="50"/>
      <c r="R85" s="50"/>
      <c r="S85" s="51"/>
      <c r="T85" s="34"/>
      <c r="U85" s="33"/>
      <c r="V85" s="35"/>
    </row>
    <row r="86" spans="1:22" x14ac:dyDescent="0.55000000000000004">
      <c r="A86" s="42" t="s">
        <v>98</v>
      </c>
      <c r="B86" s="42">
        <v>82</v>
      </c>
      <c r="C86" s="43">
        <v>0.15414351851851851</v>
      </c>
      <c r="D86" s="42" t="s">
        <v>107</v>
      </c>
      <c r="E86" s="44">
        <v>11388</v>
      </c>
      <c r="F86" s="44">
        <v>41567</v>
      </c>
      <c r="G86" s="42" t="s">
        <v>106</v>
      </c>
      <c r="H86" s="42"/>
      <c r="I86" s="43">
        <v>0.15414351851851851</v>
      </c>
      <c r="J86" s="46"/>
      <c r="K86" s="46"/>
      <c r="L86" s="49"/>
      <c r="M86" s="49"/>
      <c r="N86" s="50"/>
      <c r="O86" s="49"/>
      <c r="P86" s="50"/>
      <c r="Q86" s="50"/>
      <c r="R86" s="50"/>
      <c r="S86" s="51"/>
      <c r="T86" s="34"/>
      <c r="U86" s="33"/>
      <c r="V86" s="35"/>
    </row>
    <row r="87" spans="1:22" x14ac:dyDescent="0.55000000000000004">
      <c r="A87" s="42" t="s">
        <v>98</v>
      </c>
      <c r="B87" s="42">
        <v>83</v>
      </c>
      <c r="C87" s="43">
        <v>0.17994212962962963</v>
      </c>
      <c r="D87" s="42" t="s">
        <v>110</v>
      </c>
      <c r="E87" s="44">
        <v>11668</v>
      </c>
      <c r="F87" s="44">
        <v>42267</v>
      </c>
      <c r="G87" s="42" t="s">
        <v>109</v>
      </c>
      <c r="H87" s="42"/>
      <c r="I87" s="43">
        <v>0.17994212962962963</v>
      </c>
      <c r="J87" s="46"/>
      <c r="K87" s="46"/>
      <c r="L87" s="49"/>
      <c r="M87" s="49"/>
      <c r="N87" s="50"/>
      <c r="O87" s="49"/>
      <c r="P87" s="50"/>
      <c r="Q87" s="50"/>
      <c r="R87" s="50"/>
      <c r="S87" s="51"/>
      <c r="T87" s="34"/>
      <c r="U87" s="33"/>
      <c r="V87" s="35"/>
    </row>
    <row r="88" spans="1:22" x14ac:dyDescent="0.55000000000000004">
      <c r="A88" s="42" t="s">
        <v>98</v>
      </c>
      <c r="B88" s="42">
        <v>84</v>
      </c>
      <c r="C88" s="43">
        <v>0.17906250000000001</v>
      </c>
      <c r="D88" s="42" t="s">
        <v>108</v>
      </c>
      <c r="E88" s="44">
        <v>2750</v>
      </c>
      <c r="F88" s="44">
        <v>33517</v>
      </c>
      <c r="G88" s="42" t="s">
        <v>41</v>
      </c>
      <c r="H88" s="42"/>
      <c r="I88" s="43">
        <v>0.17906250000000001</v>
      </c>
      <c r="J88" s="46"/>
      <c r="K88" s="46"/>
      <c r="L88" s="49"/>
      <c r="M88" s="49"/>
      <c r="N88" s="50"/>
      <c r="O88" s="49"/>
      <c r="P88" s="50"/>
      <c r="Q88" s="50"/>
      <c r="R88" s="50"/>
      <c r="S88" s="51"/>
      <c r="T88" s="34"/>
      <c r="U88" s="33"/>
      <c r="V88" s="35"/>
    </row>
    <row r="89" spans="1:22" x14ac:dyDescent="0.55000000000000004">
      <c r="A89" s="42" t="s">
        <v>98</v>
      </c>
      <c r="B89" s="42">
        <v>85</v>
      </c>
      <c r="C89" s="43">
        <v>0.1643287037037037</v>
      </c>
      <c r="D89" s="42" t="s">
        <v>107</v>
      </c>
      <c r="E89" s="44">
        <v>11388</v>
      </c>
      <c r="F89" s="44">
        <v>42659</v>
      </c>
      <c r="G89" s="42" t="s">
        <v>106</v>
      </c>
      <c r="H89" s="42"/>
      <c r="I89" s="43">
        <v>0.1643287037037037</v>
      </c>
      <c r="J89" s="46"/>
      <c r="K89" s="46"/>
      <c r="L89" s="49"/>
      <c r="M89" s="49"/>
      <c r="N89" s="50"/>
      <c r="O89" s="49"/>
      <c r="P89" s="50"/>
      <c r="Q89" s="50"/>
      <c r="R89" s="50"/>
      <c r="S89" s="51"/>
      <c r="T89" s="34"/>
      <c r="U89" s="33"/>
      <c r="V89" s="35"/>
    </row>
    <row r="90" spans="1:22" x14ac:dyDescent="0.55000000000000004">
      <c r="A90" s="42" t="s">
        <v>98</v>
      </c>
      <c r="B90" s="42">
        <v>86</v>
      </c>
      <c r="C90" s="43">
        <v>0.19091435185185182</v>
      </c>
      <c r="D90" s="42" t="s">
        <v>105</v>
      </c>
      <c r="E90" s="44">
        <v>6632</v>
      </c>
      <c r="F90" s="44">
        <v>38172</v>
      </c>
      <c r="G90" s="42" t="s">
        <v>39</v>
      </c>
      <c r="H90" s="42"/>
      <c r="I90" s="43">
        <v>0.19091435185185182</v>
      </c>
      <c r="J90" s="46"/>
      <c r="K90" s="46"/>
      <c r="L90" s="49"/>
      <c r="M90" s="49"/>
      <c r="N90" s="50"/>
      <c r="O90" s="49"/>
      <c r="P90" s="50"/>
      <c r="Q90" s="50"/>
      <c r="R90" s="50"/>
      <c r="S90" s="51"/>
      <c r="T90" s="34"/>
      <c r="U90" s="33"/>
      <c r="V90" s="35"/>
    </row>
    <row r="91" spans="1:22" x14ac:dyDescent="0.55000000000000004">
      <c r="A91" s="42" t="s">
        <v>98</v>
      </c>
      <c r="B91" s="42">
        <v>87</v>
      </c>
      <c r="C91" s="43">
        <v>0.21505787037037039</v>
      </c>
      <c r="D91" s="42" t="s">
        <v>104</v>
      </c>
      <c r="E91" s="44">
        <v>10817</v>
      </c>
      <c r="F91" s="44">
        <v>42666</v>
      </c>
      <c r="G91" s="42" t="s">
        <v>103</v>
      </c>
      <c r="H91" s="42"/>
      <c r="I91" s="43">
        <v>0.21505787037037039</v>
      </c>
      <c r="J91" s="46"/>
      <c r="K91" s="46"/>
      <c r="L91" s="49"/>
      <c r="M91" s="49"/>
      <c r="N91" s="50"/>
      <c r="O91" s="49"/>
      <c r="P91" s="50"/>
      <c r="Q91" s="50"/>
      <c r="R91" s="50"/>
      <c r="S91" s="51"/>
      <c r="T91" s="34"/>
      <c r="U91" s="33"/>
      <c r="V91" s="35"/>
    </row>
    <row r="92" spans="1:22" x14ac:dyDescent="0.55000000000000004">
      <c r="A92" s="42" t="s">
        <v>98</v>
      </c>
      <c r="B92" s="42">
        <v>88</v>
      </c>
      <c r="C92" s="43">
        <v>0.25408564814814816</v>
      </c>
      <c r="D92" s="42" t="s">
        <v>100</v>
      </c>
      <c r="E92" s="44">
        <v>8090</v>
      </c>
      <c r="F92" s="44">
        <v>40300</v>
      </c>
      <c r="G92" s="42" t="s">
        <v>102</v>
      </c>
      <c r="H92" s="42"/>
      <c r="I92" s="43">
        <v>0.25408564814814816</v>
      </c>
      <c r="J92" s="46"/>
      <c r="K92" s="46"/>
      <c r="L92" s="49"/>
      <c r="M92" s="49"/>
      <c r="N92" s="50"/>
      <c r="O92" s="49"/>
      <c r="P92" s="50"/>
      <c r="Q92" s="50"/>
      <c r="R92" s="50"/>
      <c r="S92" s="51"/>
      <c r="T92" s="34"/>
      <c r="U92" s="33"/>
      <c r="V92" s="35"/>
    </row>
    <row r="93" spans="1:22" x14ac:dyDescent="0.55000000000000004">
      <c r="A93" s="42" t="s">
        <v>98</v>
      </c>
      <c r="B93" s="42">
        <v>89</v>
      </c>
      <c r="C93" s="43">
        <v>0.27474537037037039</v>
      </c>
      <c r="D93" s="42" t="s">
        <v>101</v>
      </c>
      <c r="E93" s="44">
        <v>2526</v>
      </c>
      <c r="F93" s="44">
        <v>35127</v>
      </c>
      <c r="G93" s="42" t="s">
        <v>9</v>
      </c>
      <c r="H93" s="42"/>
      <c r="I93" s="43">
        <v>0.27474537037037039</v>
      </c>
      <c r="J93" s="46"/>
      <c r="K93" s="46"/>
      <c r="L93" s="49"/>
      <c r="M93" s="49"/>
      <c r="N93" s="50"/>
      <c r="O93" s="49"/>
      <c r="P93" s="50"/>
      <c r="Q93" s="50"/>
      <c r="R93" s="50"/>
      <c r="S93" s="51"/>
      <c r="T93" s="34"/>
      <c r="U93" s="33"/>
      <c r="V93" s="35"/>
    </row>
    <row r="94" spans="1:22" x14ac:dyDescent="0.55000000000000004">
      <c r="A94" s="42" t="s">
        <v>98</v>
      </c>
      <c r="B94" s="42">
        <v>90</v>
      </c>
      <c r="C94" s="43">
        <v>0.27484953703703702</v>
      </c>
      <c r="D94" s="42" t="s">
        <v>100</v>
      </c>
      <c r="E94" s="44">
        <v>8090</v>
      </c>
      <c r="F94" s="44">
        <v>41224</v>
      </c>
      <c r="G94" s="42" t="s">
        <v>99</v>
      </c>
      <c r="H94" s="42"/>
      <c r="I94" s="43">
        <v>0.27484953703703702</v>
      </c>
      <c r="J94" s="46"/>
      <c r="K94" s="46"/>
      <c r="L94" s="49"/>
      <c r="M94" s="49"/>
      <c r="N94" s="50"/>
      <c r="O94" s="49"/>
      <c r="P94" s="50"/>
      <c r="Q94" s="50"/>
      <c r="R94" s="50"/>
      <c r="S94" s="51"/>
      <c r="T94" s="34"/>
      <c r="U94" s="33"/>
      <c r="V94" s="35"/>
    </row>
    <row r="95" spans="1:22" x14ac:dyDescent="0.55000000000000004">
      <c r="A95" s="42" t="s">
        <v>98</v>
      </c>
      <c r="B95" s="42">
        <v>91</v>
      </c>
      <c r="C95" s="43"/>
      <c r="D95" s="42"/>
      <c r="E95" s="44"/>
      <c r="F95" s="44"/>
      <c r="G95" s="42"/>
      <c r="H95" s="42"/>
      <c r="I95" s="43">
        <v>0.3513310185185185</v>
      </c>
      <c r="J95" s="46" t="s">
        <v>571</v>
      </c>
      <c r="K95" s="40" t="s">
        <v>562</v>
      </c>
      <c r="L95" s="52" t="s">
        <v>563</v>
      </c>
      <c r="M95" s="50" t="s">
        <v>272</v>
      </c>
      <c r="N95" s="51">
        <v>2526</v>
      </c>
      <c r="O95" s="52" t="s">
        <v>564</v>
      </c>
      <c r="P95" s="52" t="s">
        <v>565</v>
      </c>
      <c r="Q95" s="53">
        <v>36100</v>
      </c>
      <c r="R95" s="46"/>
      <c r="S95" s="46"/>
    </row>
    <row r="96" spans="1:22" x14ac:dyDescent="0.55000000000000004">
      <c r="A96" s="42" t="s">
        <v>98</v>
      </c>
      <c r="B96" s="42">
        <v>92</v>
      </c>
      <c r="C96" s="43"/>
      <c r="D96" s="42"/>
      <c r="E96" s="44"/>
      <c r="F96" s="44"/>
      <c r="G96" s="42"/>
      <c r="H96" s="42"/>
      <c r="I96" s="43">
        <v>0.2361226851851852</v>
      </c>
      <c r="J96" s="46" t="s">
        <v>571</v>
      </c>
      <c r="K96" s="33" t="s">
        <v>566</v>
      </c>
      <c r="L96" s="50" t="s">
        <v>567</v>
      </c>
      <c r="M96" s="50" t="s">
        <v>568</v>
      </c>
      <c r="N96" s="51">
        <v>4109</v>
      </c>
      <c r="O96" s="49" t="s">
        <v>561</v>
      </c>
      <c r="P96" s="50" t="s">
        <v>106</v>
      </c>
      <c r="Q96" s="51">
        <v>37892</v>
      </c>
      <c r="R96" s="46"/>
      <c r="S96" s="46"/>
    </row>
    <row r="97" spans="1:19" x14ac:dyDescent="0.55000000000000004">
      <c r="A97" s="42" t="s">
        <v>98</v>
      </c>
      <c r="B97" s="42">
        <v>100</v>
      </c>
      <c r="C97" s="43"/>
      <c r="D97" s="42"/>
      <c r="E97" s="44"/>
      <c r="F97" s="44"/>
      <c r="G97" s="42"/>
      <c r="H97" s="42"/>
      <c r="I97" s="43">
        <v>0.34103009259259259</v>
      </c>
      <c r="J97" s="46" t="s">
        <v>571</v>
      </c>
      <c r="K97" s="33" t="s">
        <v>566</v>
      </c>
      <c r="L97" s="50" t="s">
        <v>567</v>
      </c>
      <c r="M97" s="50" t="s">
        <v>568</v>
      </c>
      <c r="N97" s="51">
        <v>4109</v>
      </c>
      <c r="O97" s="49" t="s">
        <v>561</v>
      </c>
      <c r="P97" s="50" t="s">
        <v>106</v>
      </c>
      <c r="Q97" s="51">
        <v>40832</v>
      </c>
      <c r="R97" s="46"/>
      <c r="S97" s="46"/>
    </row>
    <row r="98" spans="1:19" x14ac:dyDescent="0.55000000000000004">
      <c r="A98" s="42" t="s">
        <v>2</v>
      </c>
      <c r="B98" s="42">
        <v>6</v>
      </c>
      <c r="C98" s="43">
        <v>0.18578703703703703</v>
      </c>
      <c r="D98" s="42" t="s">
        <v>97</v>
      </c>
      <c r="E98" s="44">
        <v>23074</v>
      </c>
      <c r="F98" s="44">
        <v>25551</v>
      </c>
      <c r="G98" s="42" t="s">
        <v>96</v>
      </c>
      <c r="H98" s="42"/>
      <c r="I98" s="45">
        <v>0.18578703703703703</v>
      </c>
      <c r="J98" s="46"/>
      <c r="K98" s="46"/>
      <c r="L98" s="46"/>
      <c r="M98" s="46"/>
      <c r="N98" s="46"/>
      <c r="O98" s="46"/>
      <c r="P98" s="46"/>
      <c r="Q98" s="46"/>
      <c r="R98" s="46"/>
      <c r="S98" s="46"/>
    </row>
    <row r="99" spans="1:19" x14ac:dyDescent="0.55000000000000004">
      <c r="A99" s="42" t="s">
        <v>2</v>
      </c>
      <c r="B99" s="42">
        <v>7</v>
      </c>
      <c r="C99" s="43">
        <v>0.16506944444444446</v>
      </c>
      <c r="D99" s="42" t="s">
        <v>97</v>
      </c>
      <c r="E99" s="44">
        <v>23074</v>
      </c>
      <c r="F99" s="44">
        <v>25915</v>
      </c>
      <c r="G99" s="42" t="s">
        <v>96</v>
      </c>
      <c r="H99" s="42"/>
      <c r="I99" s="45">
        <v>0.16506944444444446</v>
      </c>
      <c r="J99" s="46"/>
      <c r="K99" s="46"/>
      <c r="L99" s="46"/>
      <c r="M99" s="46"/>
      <c r="N99" s="46"/>
      <c r="O99" s="46"/>
      <c r="P99" s="46"/>
      <c r="Q99" s="46"/>
      <c r="R99" s="46"/>
      <c r="S99" s="46"/>
    </row>
    <row r="100" spans="1:19" x14ac:dyDescent="0.55000000000000004">
      <c r="A100" s="42" t="s">
        <v>2</v>
      </c>
      <c r="B100" s="42">
        <v>8</v>
      </c>
      <c r="C100" s="43">
        <v>0.13430555555555554</v>
      </c>
      <c r="D100" s="42" t="s">
        <v>95</v>
      </c>
      <c r="E100" s="44">
        <v>27357</v>
      </c>
      <c r="F100" s="44">
        <v>30633</v>
      </c>
      <c r="G100" s="42" t="s">
        <v>94</v>
      </c>
      <c r="H100" s="42"/>
      <c r="I100" s="45">
        <v>0.13430555555555554</v>
      </c>
      <c r="J100" s="46"/>
      <c r="K100" s="46"/>
      <c r="L100" s="46"/>
      <c r="M100" s="46"/>
      <c r="N100" s="46"/>
      <c r="O100" s="46"/>
      <c r="P100" s="46"/>
      <c r="Q100" s="46"/>
      <c r="R100" s="46"/>
      <c r="S100" s="46"/>
    </row>
    <row r="101" spans="1:19" x14ac:dyDescent="0.55000000000000004">
      <c r="A101" s="42" t="s">
        <v>2</v>
      </c>
      <c r="B101" s="42">
        <v>9</v>
      </c>
      <c r="C101" s="43">
        <v>0.13265046296296296</v>
      </c>
      <c r="D101" s="42" t="s">
        <v>93</v>
      </c>
      <c r="E101" s="44">
        <v>24349</v>
      </c>
      <c r="F101" s="44">
        <v>27818</v>
      </c>
      <c r="G101" s="42" t="s">
        <v>92</v>
      </c>
      <c r="H101" s="42"/>
      <c r="I101" s="45">
        <v>0.13265046296296296</v>
      </c>
      <c r="J101" s="46"/>
      <c r="K101" s="46"/>
      <c r="L101" s="46"/>
      <c r="M101" s="46"/>
      <c r="N101" s="46"/>
      <c r="O101" s="46"/>
      <c r="P101" s="46"/>
      <c r="Q101" s="46"/>
      <c r="R101" s="46"/>
      <c r="S101" s="46"/>
    </row>
    <row r="102" spans="1:19" x14ac:dyDescent="0.55000000000000004">
      <c r="A102" s="42" t="s">
        <v>2</v>
      </c>
      <c r="B102" s="42">
        <v>10</v>
      </c>
      <c r="C102" s="43">
        <v>0.1236226851851852</v>
      </c>
      <c r="D102" s="42" t="s">
        <v>93</v>
      </c>
      <c r="E102" s="44">
        <v>24349</v>
      </c>
      <c r="F102" s="44">
        <v>28182</v>
      </c>
      <c r="G102" s="42" t="s">
        <v>92</v>
      </c>
      <c r="H102" s="42"/>
      <c r="I102" s="45">
        <v>0.1236226851851852</v>
      </c>
      <c r="J102" s="46"/>
      <c r="K102" s="46"/>
      <c r="L102" s="46"/>
      <c r="M102" s="46"/>
      <c r="N102" s="46"/>
      <c r="O102" s="46"/>
      <c r="P102" s="46"/>
      <c r="Q102" s="46"/>
      <c r="R102" s="46"/>
      <c r="S102" s="46"/>
    </row>
    <row r="103" spans="1:19" x14ac:dyDescent="0.55000000000000004">
      <c r="A103" s="42" t="s">
        <v>2</v>
      </c>
      <c r="B103" s="42">
        <v>11</v>
      </c>
      <c r="C103" s="43">
        <v>0.11760416666666666</v>
      </c>
      <c r="D103" s="42" t="s">
        <v>91</v>
      </c>
      <c r="E103" s="44">
        <v>28075</v>
      </c>
      <c r="F103" s="44">
        <v>32208</v>
      </c>
      <c r="G103" s="42" t="s">
        <v>9</v>
      </c>
      <c r="H103" s="42"/>
      <c r="I103" s="45">
        <v>0.11760416666666666</v>
      </c>
      <c r="J103" s="46"/>
      <c r="K103" s="46"/>
      <c r="L103" s="46"/>
      <c r="M103" s="46"/>
      <c r="N103" s="46"/>
      <c r="O103" s="46"/>
      <c r="P103" s="46"/>
      <c r="Q103" s="46"/>
      <c r="R103" s="46"/>
      <c r="S103" s="46"/>
    </row>
    <row r="104" spans="1:19" x14ac:dyDescent="0.55000000000000004">
      <c r="A104" s="42" t="s">
        <v>2</v>
      </c>
      <c r="B104" s="42">
        <v>12</v>
      </c>
      <c r="C104" s="43">
        <v>0.12086805555555556</v>
      </c>
      <c r="D104" s="42" t="s">
        <v>90</v>
      </c>
      <c r="E104" s="44">
        <v>27160</v>
      </c>
      <c r="F104" s="44">
        <v>31704</v>
      </c>
      <c r="G104" s="42" t="s">
        <v>89</v>
      </c>
      <c r="H104" s="42"/>
      <c r="I104" s="45">
        <v>0.12086805555555556</v>
      </c>
      <c r="J104" s="46"/>
      <c r="K104" s="46"/>
      <c r="L104" s="46"/>
      <c r="M104" s="46"/>
      <c r="N104" s="46"/>
      <c r="O104" s="46"/>
      <c r="P104" s="46"/>
      <c r="Q104" s="46"/>
      <c r="R104" s="46"/>
      <c r="S104" s="46"/>
    </row>
    <row r="105" spans="1:19" x14ac:dyDescent="0.55000000000000004">
      <c r="A105" s="42" t="s">
        <v>2</v>
      </c>
      <c r="B105" s="42">
        <v>13</v>
      </c>
      <c r="C105" s="43">
        <v>0.11392361111111111</v>
      </c>
      <c r="D105" s="42" t="s">
        <v>88</v>
      </c>
      <c r="E105" s="44">
        <v>26799</v>
      </c>
      <c r="F105" s="44">
        <v>31851</v>
      </c>
      <c r="G105" s="42" t="s">
        <v>43</v>
      </c>
      <c r="H105" s="42"/>
      <c r="I105" s="45">
        <v>0.11392361111111111</v>
      </c>
      <c r="J105" s="46"/>
      <c r="K105" s="46"/>
      <c r="L105" s="46"/>
      <c r="M105" s="46"/>
      <c r="N105" s="46"/>
      <c r="O105" s="46"/>
      <c r="P105" s="46"/>
      <c r="Q105" s="46"/>
      <c r="R105" s="46"/>
      <c r="S105" s="46"/>
    </row>
    <row r="106" spans="1:19" x14ac:dyDescent="0.55000000000000004">
      <c r="A106" s="42" t="s">
        <v>2</v>
      </c>
      <c r="B106" s="42">
        <v>14</v>
      </c>
      <c r="C106" s="43">
        <v>0.1063425925925926</v>
      </c>
      <c r="D106" s="42" t="s">
        <v>87</v>
      </c>
      <c r="E106" s="44">
        <v>32331</v>
      </c>
      <c r="F106" s="44">
        <v>37549</v>
      </c>
      <c r="G106" s="42" t="s">
        <v>83</v>
      </c>
      <c r="H106" s="42"/>
      <c r="I106" s="45">
        <v>0.1063425925925926</v>
      </c>
      <c r="J106" s="46"/>
      <c r="K106" s="46"/>
      <c r="L106" s="46"/>
      <c r="M106" s="46"/>
      <c r="N106" s="46"/>
      <c r="O106" s="46"/>
      <c r="P106" s="46"/>
      <c r="Q106" s="46"/>
      <c r="R106" s="46"/>
      <c r="S106" s="46"/>
    </row>
    <row r="107" spans="1:19" x14ac:dyDescent="0.55000000000000004">
      <c r="A107" s="42" t="s">
        <v>2</v>
      </c>
      <c r="B107" s="42">
        <v>15</v>
      </c>
      <c r="C107" s="43">
        <v>0.10394675925925927</v>
      </c>
      <c r="D107" s="42" t="s">
        <v>86</v>
      </c>
      <c r="E107" s="44">
        <v>31857</v>
      </c>
      <c r="F107" s="44">
        <v>37549</v>
      </c>
      <c r="G107" s="42" t="s">
        <v>83</v>
      </c>
      <c r="H107" s="42"/>
      <c r="I107" s="45">
        <v>0.10394675925925927</v>
      </c>
      <c r="J107" s="46"/>
      <c r="K107" s="46"/>
      <c r="L107" s="46"/>
      <c r="M107" s="46"/>
      <c r="N107" s="46"/>
      <c r="O107" s="46"/>
      <c r="P107" s="46"/>
      <c r="Q107" s="46"/>
      <c r="R107" s="46"/>
      <c r="S107" s="46"/>
    </row>
    <row r="108" spans="1:19" x14ac:dyDescent="0.55000000000000004">
      <c r="A108" s="42" t="s">
        <v>2</v>
      </c>
      <c r="B108" s="42">
        <v>16</v>
      </c>
      <c r="C108" s="43">
        <v>0.10545138888888889</v>
      </c>
      <c r="D108" s="42" t="s">
        <v>85</v>
      </c>
      <c r="E108" s="44">
        <v>31377</v>
      </c>
      <c r="F108" s="44">
        <v>37549</v>
      </c>
      <c r="G108" s="42" t="s">
        <v>83</v>
      </c>
      <c r="H108" s="42"/>
      <c r="I108" s="45">
        <v>0.10545138888888889</v>
      </c>
      <c r="J108" s="46"/>
      <c r="K108" s="46"/>
      <c r="L108" s="46"/>
      <c r="M108" s="46"/>
      <c r="N108" s="46"/>
      <c r="O108" s="46"/>
      <c r="P108" s="46"/>
      <c r="Q108" s="46"/>
      <c r="R108" s="46"/>
      <c r="S108" s="46"/>
    </row>
    <row r="109" spans="1:19" x14ac:dyDescent="0.55000000000000004">
      <c r="A109" s="42" t="s">
        <v>2</v>
      </c>
      <c r="B109" s="42">
        <v>17</v>
      </c>
      <c r="C109" s="43">
        <v>9.9733796296296306E-2</v>
      </c>
      <c r="D109" s="42" t="s">
        <v>84</v>
      </c>
      <c r="E109" s="44">
        <v>30649</v>
      </c>
      <c r="F109" s="44">
        <v>37178</v>
      </c>
      <c r="G109" s="42" t="s">
        <v>83</v>
      </c>
      <c r="H109" s="42"/>
      <c r="I109" s="45">
        <v>9.9733796296296306E-2</v>
      </c>
      <c r="J109" s="46"/>
      <c r="K109" s="46"/>
      <c r="L109" s="46"/>
      <c r="M109" s="46"/>
      <c r="N109" s="46"/>
      <c r="O109" s="46"/>
      <c r="P109" s="46"/>
      <c r="Q109" s="46"/>
      <c r="R109" s="46"/>
      <c r="S109" s="46"/>
    </row>
    <row r="110" spans="1:19" x14ac:dyDescent="0.55000000000000004">
      <c r="A110" s="42" t="s">
        <v>2</v>
      </c>
      <c r="B110" s="42">
        <v>18</v>
      </c>
      <c r="C110" s="43">
        <v>9.9050925925925917E-2</v>
      </c>
      <c r="D110" s="42" t="s">
        <v>82</v>
      </c>
      <c r="E110" s="44">
        <v>32877</v>
      </c>
      <c r="F110" s="44">
        <v>39452</v>
      </c>
      <c r="G110" s="42" t="s">
        <v>81</v>
      </c>
      <c r="H110" s="42"/>
      <c r="I110" s="45">
        <v>9.9050925925925917E-2</v>
      </c>
      <c r="J110" s="46"/>
      <c r="K110" s="46"/>
      <c r="L110" s="46"/>
      <c r="M110" s="46"/>
      <c r="N110" s="46"/>
      <c r="O110" s="46"/>
      <c r="P110" s="46"/>
      <c r="Q110" s="46"/>
      <c r="R110" s="46"/>
      <c r="S110" s="46"/>
    </row>
    <row r="111" spans="1:19" x14ac:dyDescent="0.55000000000000004">
      <c r="A111" s="42" t="s">
        <v>2</v>
      </c>
      <c r="B111" s="42">
        <v>19</v>
      </c>
      <c r="C111" s="43">
        <v>9.7905092592592599E-2</v>
      </c>
      <c r="D111" s="42" t="s">
        <v>80</v>
      </c>
      <c r="E111" s="44">
        <v>35085</v>
      </c>
      <c r="F111" s="44">
        <v>42027</v>
      </c>
      <c r="G111" s="42" t="s">
        <v>75</v>
      </c>
      <c r="H111" s="42"/>
      <c r="I111" s="45">
        <v>9.7905092592592599E-2</v>
      </c>
      <c r="J111" s="46"/>
      <c r="K111" s="46"/>
      <c r="L111" s="46"/>
      <c r="M111" s="46"/>
      <c r="N111" s="46"/>
      <c r="O111" s="46"/>
      <c r="P111" s="46"/>
      <c r="Q111" s="46"/>
      <c r="R111" s="46"/>
      <c r="S111" s="46"/>
    </row>
    <row r="112" spans="1:19" x14ac:dyDescent="0.55000000000000004">
      <c r="A112" s="42" t="s">
        <v>2</v>
      </c>
      <c r="B112" s="42">
        <v>20</v>
      </c>
      <c r="C112" s="43">
        <v>9.6724537037037039E-2</v>
      </c>
      <c r="D112" s="42" t="s">
        <v>79</v>
      </c>
      <c r="E112" s="44">
        <v>35556</v>
      </c>
      <c r="F112" s="44">
        <v>43126</v>
      </c>
      <c r="G112" s="42" t="s">
        <v>75</v>
      </c>
      <c r="H112" s="42"/>
      <c r="I112" s="45">
        <v>9.6724537037037039E-2</v>
      </c>
      <c r="J112" s="46"/>
      <c r="K112" s="46"/>
      <c r="L112" s="46"/>
      <c r="M112" s="46"/>
      <c r="N112" s="46"/>
      <c r="O112" s="46"/>
      <c r="P112" s="46"/>
      <c r="Q112" s="46"/>
      <c r="R112" s="46"/>
      <c r="S112" s="46"/>
    </row>
    <row r="113" spans="1:19" x14ac:dyDescent="0.55000000000000004">
      <c r="A113" s="42" t="s">
        <v>2</v>
      </c>
      <c r="B113" s="42">
        <v>21</v>
      </c>
      <c r="C113" s="43">
        <v>9.7812500000000011E-2</v>
      </c>
      <c r="D113" s="42" t="s">
        <v>79</v>
      </c>
      <c r="E113" s="44">
        <v>35556</v>
      </c>
      <c r="F113" s="44">
        <v>43583</v>
      </c>
      <c r="G113" s="42" t="s">
        <v>45</v>
      </c>
      <c r="H113" s="42"/>
      <c r="I113" s="45">
        <v>9.7812500000000011E-2</v>
      </c>
      <c r="J113" s="46"/>
      <c r="K113" s="46"/>
      <c r="L113" s="46"/>
      <c r="M113" s="46"/>
      <c r="N113" s="46"/>
      <c r="O113" s="46"/>
      <c r="P113" s="46"/>
      <c r="Q113" s="46"/>
      <c r="R113" s="46"/>
      <c r="S113" s="46"/>
    </row>
    <row r="114" spans="1:19" x14ac:dyDescent="0.55000000000000004">
      <c r="A114" s="42" t="s">
        <v>2</v>
      </c>
      <c r="B114" s="42">
        <v>22</v>
      </c>
      <c r="C114" s="43">
        <v>9.7129629629629635E-2</v>
      </c>
      <c r="D114" s="42" t="s">
        <v>78</v>
      </c>
      <c r="E114" s="44">
        <v>32801</v>
      </c>
      <c r="F114" s="44">
        <v>40935</v>
      </c>
      <c r="G114" s="42" t="s">
        <v>75</v>
      </c>
      <c r="H114" s="42"/>
      <c r="I114" s="45">
        <v>9.7129629629629635E-2</v>
      </c>
      <c r="J114" s="46"/>
      <c r="K114" s="46"/>
      <c r="L114" s="46"/>
      <c r="M114" s="46"/>
      <c r="N114" s="46"/>
      <c r="O114" s="46"/>
      <c r="P114" s="46"/>
      <c r="Q114" s="46"/>
      <c r="R114" s="46"/>
      <c r="S114" s="46"/>
    </row>
    <row r="115" spans="1:19" x14ac:dyDescent="0.55000000000000004">
      <c r="A115" s="42" t="s">
        <v>2</v>
      </c>
      <c r="B115" s="42">
        <v>23</v>
      </c>
      <c r="C115" s="43">
        <v>9.7372685185185173E-2</v>
      </c>
      <c r="D115" s="42" t="s">
        <v>77</v>
      </c>
      <c r="E115" s="44">
        <v>34452</v>
      </c>
      <c r="F115" s="44">
        <v>43126</v>
      </c>
      <c r="G115" s="42" t="s">
        <v>75</v>
      </c>
      <c r="H115" s="42"/>
      <c r="I115" s="45">
        <v>9.7372685185185173E-2</v>
      </c>
      <c r="J115" s="46"/>
      <c r="K115" s="46"/>
      <c r="L115" s="46"/>
      <c r="M115" s="46"/>
      <c r="N115" s="46"/>
      <c r="O115" s="46"/>
      <c r="P115" s="46"/>
      <c r="Q115" s="46"/>
      <c r="R115" s="46"/>
      <c r="S115" s="46"/>
    </row>
    <row r="116" spans="1:19" x14ac:dyDescent="0.55000000000000004">
      <c r="A116" s="42" t="s">
        <v>2</v>
      </c>
      <c r="B116" s="42">
        <v>24</v>
      </c>
      <c r="C116" s="43">
        <v>9.5231481481481486E-2</v>
      </c>
      <c r="D116" s="42" t="s">
        <v>76</v>
      </c>
      <c r="E116" s="44">
        <v>34554</v>
      </c>
      <c r="F116" s="44">
        <v>43490</v>
      </c>
      <c r="G116" s="42" t="s">
        <v>75</v>
      </c>
      <c r="H116" s="42"/>
      <c r="I116" s="45">
        <v>9.5231481481481486E-2</v>
      </c>
      <c r="J116" s="46"/>
      <c r="K116" s="46"/>
      <c r="L116" s="46"/>
      <c r="M116" s="46"/>
      <c r="N116" s="46"/>
      <c r="O116" s="46"/>
      <c r="P116" s="46"/>
      <c r="Q116" s="46"/>
      <c r="R116" s="46"/>
      <c r="S116" s="46"/>
    </row>
    <row r="117" spans="1:19" ht="28.8" x14ac:dyDescent="0.55000000000000004">
      <c r="A117" s="42" t="s">
        <v>2</v>
      </c>
      <c r="B117" s="42">
        <v>25</v>
      </c>
      <c r="C117" s="43">
        <v>9.7002314814814805E-2</v>
      </c>
      <c r="D117" s="42" t="s">
        <v>74</v>
      </c>
      <c r="E117" s="44">
        <v>34385</v>
      </c>
      <c r="F117" s="44">
        <v>43583</v>
      </c>
      <c r="G117" s="42" t="s">
        <v>45</v>
      </c>
      <c r="H117" s="42"/>
      <c r="I117" s="45">
        <v>9.3101851851851838E-2</v>
      </c>
      <c r="J117" s="70" t="s">
        <v>572</v>
      </c>
      <c r="K117" s="33" t="s">
        <v>541</v>
      </c>
      <c r="L117" s="50" t="s">
        <v>542</v>
      </c>
      <c r="M117" s="50" t="s">
        <v>327</v>
      </c>
      <c r="N117" s="51">
        <v>34385</v>
      </c>
      <c r="O117" s="49" t="s">
        <v>543</v>
      </c>
      <c r="P117" s="50" t="s">
        <v>544</v>
      </c>
      <c r="Q117" s="51">
        <v>43751</v>
      </c>
      <c r="R117" s="49"/>
      <c r="S117" s="49" t="s">
        <v>545</v>
      </c>
    </row>
    <row r="118" spans="1:19" x14ac:dyDescent="0.55000000000000004">
      <c r="A118" s="42" t="s">
        <v>2</v>
      </c>
      <c r="B118" s="42">
        <v>26</v>
      </c>
      <c r="C118" s="43">
        <v>9.7719907407407394E-2</v>
      </c>
      <c r="D118" s="42" t="s">
        <v>73</v>
      </c>
      <c r="E118" s="44">
        <v>26793</v>
      </c>
      <c r="F118" s="44">
        <v>36428</v>
      </c>
      <c r="G118" s="42" t="s">
        <v>11</v>
      </c>
      <c r="H118" s="42"/>
      <c r="I118" s="45">
        <v>9.7719907407407394E-2</v>
      </c>
      <c r="J118" s="46"/>
      <c r="K118" s="46"/>
      <c r="L118" s="46"/>
      <c r="M118" s="46"/>
      <c r="N118" s="46"/>
      <c r="O118" s="46"/>
      <c r="P118" s="46"/>
      <c r="Q118" s="46"/>
      <c r="R118" s="46"/>
      <c r="S118" s="46"/>
    </row>
    <row r="119" spans="1:19" x14ac:dyDescent="0.55000000000000004">
      <c r="A119" s="42" t="s">
        <v>2</v>
      </c>
      <c r="B119" s="42">
        <v>27</v>
      </c>
      <c r="C119" s="43">
        <v>9.6666666666666665E-2</v>
      </c>
      <c r="D119" s="42" t="s">
        <v>72</v>
      </c>
      <c r="E119" s="44">
        <v>28674</v>
      </c>
      <c r="F119" s="44">
        <v>38620</v>
      </c>
      <c r="G119" s="42" t="s">
        <v>11</v>
      </c>
      <c r="H119" s="42"/>
      <c r="I119" s="45">
        <v>9.6666666666666665E-2</v>
      </c>
      <c r="J119" s="46"/>
      <c r="K119" s="46"/>
      <c r="L119" s="46"/>
      <c r="M119" s="46"/>
      <c r="N119" s="46"/>
      <c r="O119" s="46"/>
      <c r="P119" s="46"/>
      <c r="Q119" s="46"/>
      <c r="R119" s="46"/>
      <c r="S119" s="46"/>
    </row>
    <row r="120" spans="1:19" x14ac:dyDescent="0.55000000000000004">
      <c r="A120" s="42" t="s">
        <v>2</v>
      </c>
      <c r="B120" s="42">
        <v>28</v>
      </c>
      <c r="C120" s="43">
        <v>9.5347222222222208E-2</v>
      </c>
      <c r="D120" s="42" t="s">
        <v>71</v>
      </c>
      <c r="E120" s="44">
        <v>27015</v>
      </c>
      <c r="F120" s="44">
        <v>37542</v>
      </c>
      <c r="G120" s="42" t="s">
        <v>25</v>
      </c>
      <c r="H120" s="42"/>
      <c r="I120" s="45">
        <v>9.5347222222222208E-2</v>
      </c>
      <c r="J120" s="46"/>
      <c r="K120" s="46"/>
      <c r="L120" s="46"/>
      <c r="M120" s="46"/>
      <c r="N120" s="46"/>
      <c r="O120" s="46"/>
      <c r="P120" s="46"/>
      <c r="Q120" s="46"/>
      <c r="R120" s="46"/>
      <c r="S120" s="46"/>
    </row>
    <row r="121" spans="1:19" x14ac:dyDescent="0.55000000000000004">
      <c r="A121" s="42" t="s">
        <v>2</v>
      </c>
      <c r="B121" s="42">
        <v>29</v>
      </c>
      <c r="C121" s="43">
        <v>9.403935185185186E-2</v>
      </c>
      <c r="D121" s="42" t="s">
        <v>71</v>
      </c>
      <c r="E121" s="44">
        <v>27015</v>
      </c>
      <c r="F121" s="44">
        <v>37724</v>
      </c>
      <c r="G121" s="42" t="s">
        <v>45</v>
      </c>
      <c r="H121" s="42"/>
      <c r="I121" s="45">
        <v>9.403935185185186E-2</v>
      </c>
      <c r="J121" s="46"/>
      <c r="K121" s="46"/>
      <c r="L121" s="46"/>
      <c r="M121" s="46"/>
      <c r="N121" s="46"/>
      <c r="O121" s="46"/>
      <c r="P121" s="46"/>
      <c r="Q121" s="46"/>
      <c r="R121" s="46"/>
      <c r="S121" s="46"/>
    </row>
    <row r="122" spans="1:19" x14ac:dyDescent="0.55000000000000004">
      <c r="A122" s="42" t="s">
        <v>2</v>
      </c>
      <c r="B122" s="42">
        <v>30</v>
      </c>
      <c r="C122" s="43">
        <v>9.6261574074074083E-2</v>
      </c>
      <c r="D122" s="42" t="s">
        <v>68</v>
      </c>
      <c r="E122" s="44">
        <v>29969</v>
      </c>
      <c r="F122" s="44">
        <v>41021</v>
      </c>
      <c r="G122" s="42" t="s">
        <v>45</v>
      </c>
      <c r="H122" s="42"/>
      <c r="I122" s="45">
        <v>9.6261574074074083E-2</v>
      </c>
      <c r="J122" s="46"/>
      <c r="K122" s="46"/>
      <c r="L122" s="46"/>
      <c r="M122" s="46"/>
      <c r="N122" s="46"/>
      <c r="O122" s="46"/>
      <c r="P122" s="46"/>
      <c r="Q122" s="46"/>
      <c r="R122" s="46"/>
      <c r="S122" s="46"/>
    </row>
    <row r="123" spans="1:19" x14ac:dyDescent="0.55000000000000004">
      <c r="A123" s="42" t="s">
        <v>2</v>
      </c>
      <c r="B123" s="42">
        <v>31</v>
      </c>
      <c r="C123" s="43">
        <v>9.5625000000000002E-2</v>
      </c>
      <c r="D123" s="42" t="s">
        <v>71</v>
      </c>
      <c r="E123" s="44">
        <v>27015</v>
      </c>
      <c r="F123" s="44">
        <v>38459</v>
      </c>
      <c r="G123" s="42" t="s">
        <v>45</v>
      </c>
      <c r="H123" s="42"/>
      <c r="I123" s="45">
        <v>9.5625000000000002E-2</v>
      </c>
      <c r="J123" s="46"/>
      <c r="K123" s="46"/>
      <c r="L123" s="46"/>
      <c r="M123" s="46"/>
      <c r="N123" s="46"/>
      <c r="O123" s="46"/>
      <c r="P123" s="46"/>
      <c r="Q123" s="46"/>
      <c r="R123" s="46"/>
      <c r="S123" s="46"/>
    </row>
    <row r="124" spans="1:19" x14ac:dyDescent="0.55000000000000004">
      <c r="A124" s="42" t="s">
        <v>2</v>
      </c>
      <c r="B124" s="42">
        <v>32</v>
      </c>
      <c r="C124" s="43">
        <v>9.6192129629629627E-2</v>
      </c>
      <c r="D124" s="42" t="s">
        <v>70</v>
      </c>
      <c r="E124" s="44">
        <v>31199</v>
      </c>
      <c r="F124" s="44">
        <v>43016</v>
      </c>
      <c r="G124" s="42" t="s">
        <v>25</v>
      </c>
      <c r="H124" s="42"/>
      <c r="I124" s="45">
        <v>9.6192129629629627E-2</v>
      </c>
      <c r="J124" s="46"/>
      <c r="K124" s="46"/>
      <c r="L124" s="46"/>
      <c r="M124" s="46"/>
      <c r="N124" s="46"/>
      <c r="O124" s="46"/>
      <c r="P124" s="46"/>
      <c r="Q124" s="46"/>
      <c r="R124" s="46"/>
      <c r="S124" s="46"/>
    </row>
    <row r="125" spans="1:19" x14ac:dyDescent="0.55000000000000004">
      <c r="A125" s="42" t="s">
        <v>2</v>
      </c>
      <c r="B125" s="42">
        <v>33</v>
      </c>
      <c r="C125" s="43">
        <v>9.6238425925925922E-2</v>
      </c>
      <c r="D125" s="42" t="s">
        <v>70</v>
      </c>
      <c r="E125" s="44">
        <v>31199</v>
      </c>
      <c r="F125" s="44">
        <v>43359</v>
      </c>
      <c r="G125" s="42" t="s">
        <v>11</v>
      </c>
      <c r="H125" s="42"/>
      <c r="I125" s="45">
        <v>9.6238425925925922E-2</v>
      </c>
      <c r="J125" s="46"/>
      <c r="K125" s="46"/>
      <c r="L125" s="46"/>
      <c r="M125" s="46"/>
      <c r="N125" s="46"/>
      <c r="O125" s="46"/>
      <c r="P125" s="46"/>
      <c r="Q125" s="46"/>
      <c r="R125" s="46"/>
      <c r="S125" s="46"/>
    </row>
    <row r="126" spans="1:19" x14ac:dyDescent="0.55000000000000004">
      <c r="A126" s="42" t="s">
        <v>2</v>
      </c>
      <c r="B126" s="42">
        <v>34</v>
      </c>
      <c r="C126" s="43">
        <v>9.6192129629629627E-2</v>
      </c>
      <c r="D126" s="42" t="s">
        <v>69</v>
      </c>
      <c r="E126" s="44">
        <v>30570</v>
      </c>
      <c r="F126" s="44">
        <v>43212</v>
      </c>
      <c r="G126" s="42" t="s">
        <v>45</v>
      </c>
      <c r="H126" s="42"/>
      <c r="I126" s="45">
        <v>9.6192129629629627E-2</v>
      </c>
      <c r="J126" s="46"/>
      <c r="K126" s="46"/>
      <c r="L126" s="46"/>
      <c r="M126" s="46"/>
      <c r="N126" s="46"/>
      <c r="O126" s="46"/>
      <c r="P126" s="46"/>
      <c r="Q126" s="46"/>
      <c r="R126" s="46"/>
      <c r="S126" s="46"/>
    </row>
    <row r="127" spans="1:19" x14ac:dyDescent="0.55000000000000004">
      <c r="A127" s="42" t="s">
        <v>2</v>
      </c>
      <c r="B127" s="42">
        <v>35</v>
      </c>
      <c r="C127" s="43">
        <v>9.5150462962962964E-2</v>
      </c>
      <c r="D127" s="42" t="s">
        <v>68</v>
      </c>
      <c r="E127" s="44">
        <v>29969</v>
      </c>
      <c r="F127" s="44">
        <v>42848</v>
      </c>
      <c r="G127" s="42" t="s">
        <v>45</v>
      </c>
      <c r="H127" s="42"/>
      <c r="I127" s="45">
        <v>9.5150462962962964E-2</v>
      </c>
      <c r="J127" s="46"/>
      <c r="K127" s="46"/>
      <c r="L127" s="46"/>
      <c r="M127" s="46"/>
      <c r="N127" s="46"/>
      <c r="O127" s="46"/>
      <c r="P127" s="46"/>
      <c r="Q127" s="46"/>
      <c r="R127" s="46"/>
      <c r="S127" s="46"/>
    </row>
    <row r="128" spans="1:19" x14ac:dyDescent="0.55000000000000004">
      <c r="A128" s="42" t="s">
        <v>2</v>
      </c>
      <c r="B128" s="42">
        <v>36</v>
      </c>
      <c r="C128" s="43">
        <v>9.673611111111112E-2</v>
      </c>
      <c r="D128" s="42" t="s">
        <v>67</v>
      </c>
      <c r="E128" s="44">
        <v>26534</v>
      </c>
      <c r="F128" s="44">
        <v>39719</v>
      </c>
      <c r="G128" s="42" t="s">
        <v>11</v>
      </c>
      <c r="H128" s="42"/>
      <c r="I128" s="45">
        <v>9.6747685185185187E-2</v>
      </c>
      <c r="J128" s="46" t="s">
        <v>570</v>
      </c>
      <c r="K128" s="33"/>
      <c r="L128" s="50"/>
      <c r="M128" s="50"/>
      <c r="N128" s="51"/>
      <c r="O128" s="49"/>
      <c r="P128" s="50"/>
      <c r="Q128" s="51"/>
      <c r="R128" s="46"/>
      <c r="S128" s="46"/>
    </row>
    <row r="129" spans="1:19" x14ac:dyDescent="0.55000000000000004">
      <c r="A129" s="42" t="s">
        <v>2</v>
      </c>
      <c r="B129" s="42">
        <v>37</v>
      </c>
      <c r="C129" s="43">
        <v>9.825231481481482E-2</v>
      </c>
      <c r="D129" s="42" t="s">
        <v>66</v>
      </c>
      <c r="E129" s="44">
        <v>25118</v>
      </c>
      <c r="F129" s="44">
        <v>38830</v>
      </c>
      <c r="G129" s="42" t="s">
        <v>45</v>
      </c>
      <c r="H129" s="42"/>
      <c r="I129" s="45">
        <v>9.825231481481482E-2</v>
      </c>
      <c r="J129" s="46"/>
      <c r="K129" s="46"/>
      <c r="L129" s="46"/>
      <c r="M129" s="46"/>
      <c r="N129" s="46"/>
      <c r="O129" s="46"/>
      <c r="P129" s="46"/>
      <c r="Q129" s="46"/>
      <c r="R129" s="46"/>
      <c r="S129" s="46"/>
    </row>
    <row r="130" spans="1:19" x14ac:dyDescent="0.55000000000000004">
      <c r="A130" s="42" t="s">
        <v>2</v>
      </c>
      <c r="B130" s="42">
        <v>38</v>
      </c>
      <c r="C130" s="43">
        <v>9.8125000000000004E-2</v>
      </c>
      <c r="D130" s="42" t="s">
        <v>65</v>
      </c>
      <c r="E130" s="44">
        <v>29174</v>
      </c>
      <c r="F130" s="44">
        <v>43359</v>
      </c>
      <c r="G130" s="42" t="s">
        <v>11</v>
      </c>
      <c r="H130" s="42"/>
      <c r="I130" s="45">
        <v>9.8125000000000004E-2</v>
      </c>
      <c r="J130" s="46"/>
      <c r="K130" s="46"/>
      <c r="L130" s="46"/>
      <c r="M130" s="46"/>
      <c r="N130" s="46"/>
      <c r="O130" s="46"/>
      <c r="P130" s="46"/>
      <c r="Q130" s="46"/>
      <c r="R130" s="46"/>
      <c r="S130" s="46"/>
    </row>
    <row r="131" spans="1:19" x14ac:dyDescent="0.55000000000000004">
      <c r="A131" s="42" t="s">
        <v>2</v>
      </c>
      <c r="B131" s="42">
        <v>39</v>
      </c>
      <c r="C131" s="43">
        <v>9.8750000000000004E-2</v>
      </c>
      <c r="D131" s="42" t="s">
        <v>64</v>
      </c>
      <c r="E131" s="44">
        <v>29043</v>
      </c>
      <c r="F131" s="44">
        <v>43562</v>
      </c>
      <c r="G131" s="42" t="s">
        <v>63</v>
      </c>
      <c r="H131" s="42"/>
      <c r="I131" s="45">
        <v>9.8750000000000004E-2</v>
      </c>
      <c r="J131" s="46"/>
      <c r="K131" s="46"/>
      <c r="L131" s="46"/>
      <c r="M131" s="46"/>
      <c r="N131" s="46"/>
      <c r="O131" s="46"/>
      <c r="P131" s="46"/>
      <c r="Q131" s="46"/>
      <c r="R131" s="46"/>
      <c r="S131" s="46"/>
    </row>
    <row r="132" spans="1:19" x14ac:dyDescent="0.55000000000000004">
      <c r="A132" s="42" t="s">
        <v>2</v>
      </c>
      <c r="B132" s="42">
        <v>40</v>
      </c>
      <c r="C132" s="43">
        <v>9.9664351851851851E-2</v>
      </c>
      <c r="D132" s="42" t="s">
        <v>61</v>
      </c>
      <c r="E132" s="44">
        <v>28256</v>
      </c>
      <c r="F132" s="44">
        <v>43051</v>
      </c>
      <c r="G132" s="42" t="s">
        <v>62</v>
      </c>
      <c r="H132" s="42"/>
      <c r="I132" s="45">
        <v>9.9664351851851851E-2</v>
      </c>
      <c r="J132" s="46"/>
      <c r="K132" s="46"/>
      <c r="L132" s="46"/>
      <c r="M132" s="46"/>
      <c r="N132" s="46"/>
      <c r="O132" s="46"/>
      <c r="P132" s="46"/>
      <c r="Q132" s="46"/>
      <c r="R132" s="46"/>
      <c r="S132" s="46"/>
    </row>
    <row r="133" spans="1:19" x14ac:dyDescent="0.55000000000000004">
      <c r="A133" s="42" t="s">
        <v>2</v>
      </c>
      <c r="B133" s="42">
        <v>41</v>
      </c>
      <c r="C133" s="43">
        <v>9.8738425925925924E-2</v>
      </c>
      <c r="D133" s="42" t="s">
        <v>61</v>
      </c>
      <c r="E133" s="44">
        <v>28256</v>
      </c>
      <c r="F133" s="44">
        <v>43436</v>
      </c>
      <c r="G133" s="42" t="s">
        <v>60</v>
      </c>
      <c r="H133" s="42"/>
      <c r="I133" s="45">
        <v>9.8738425925925924E-2</v>
      </c>
      <c r="J133" s="46"/>
      <c r="K133" s="46"/>
      <c r="L133" s="46"/>
      <c r="M133" s="46"/>
      <c r="N133" s="46"/>
      <c r="O133" s="46"/>
      <c r="P133" s="46"/>
      <c r="Q133" s="46"/>
      <c r="R133" s="46"/>
      <c r="S133" s="46"/>
    </row>
    <row r="134" spans="1:19" x14ac:dyDescent="0.55000000000000004">
      <c r="A134" s="42" t="s">
        <v>2</v>
      </c>
      <c r="B134" s="42">
        <v>42</v>
      </c>
      <c r="C134" s="43">
        <v>0.10012731481481481</v>
      </c>
      <c r="D134" s="42" t="s">
        <v>59</v>
      </c>
      <c r="E134" s="44">
        <v>28173</v>
      </c>
      <c r="F134" s="44">
        <v>43583</v>
      </c>
      <c r="G134" s="42" t="s">
        <v>45</v>
      </c>
      <c r="H134" s="42"/>
      <c r="I134" s="45">
        <v>0.10012731481481481</v>
      </c>
      <c r="J134" s="46"/>
      <c r="K134" s="46"/>
      <c r="L134" s="46"/>
      <c r="M134" s="46"/>
      <c r="N134" s="46"/>
      <c r="O134" s="46"/>
      <c r="P134" s="46"/>
      <c r="Q134" s="46"/>
      <c r="R134" s="46"/>
      <c r="S134" s="46"/>
    </row>
    <row r="135" spans="1:19" x14ac:dyDescent="0.55000000000000004">
      <c r="A135" s="42" t="s">
        <v>2</v>
      </c>
      <c r="B135" s="42">
        <v>43</v>
      </c>
      <c r="C135" s="43">
        <v>0.10376157407407409</v>
      </c>
      <c r="D135" s="42" t="s">
        <v>53</v>
      </c>
      <c r="E135" s="44">
        <v>20152</v>
      </c>
      <c r="F135" s="44">
        <v>36079</v>
      </c>
      <c r="G135" s="42" t="s">
        <v>25</v>
      </c>
      <c r="H135" s="42"/>
      <c r="I135" s="45">
        <v>0.10376157407407409</v>
      </c>
      <c r="J135" s="46"/>
      <c r="K135" s="46"/>
      <c r="L135" s="46"/>
      <c r="M135" s="46"/>
      <c r="N135" s="46"/>
      <c r="O135" s="46"/>
      <c r="P135" s="46"/>
      <c r="Q135" s="46"/>
      <c r="R135" s="46"/>
      <c r="S135" s="46"/>
    </row>
    <row r="136" spans="1:19" x14ac:dyDescent="0.55000000000000004">
      <c r="A136" s="42" t="s">
        <v>2</v>
      </c>
      <c r="B136" s="42">
        <v>44</v>
      </c>
      <c r="C136" s="43">
        <v>0.10396990740740741</v>
      </c>
      <c r="D136" s="42" t="s">
        <v>58</v>
      </c>
      <c r="E136" s="44">
        <v>13814</v>
      </c>
      <c r="F136" s="44">
        <v>30080</v>
      </c>
      <c r="G136" s="42" t="s">
        <v>45</v>
      </c>
      <c r="H136" s="42"/>
      <c r="I136" s="45">
        <v>0.10396990740740741</v>
      </c>
      <c r="J136" s="46"/>
      <c r="K136" s="46"/>
      <c r="L136" s="46"/>
      <c r="M136" s="46"/>
      <c r="N136" s="46"/>
      <c r="O136" s="46"/>
      <c r="P136" s="46"/>
      <c r="Q136" s="46"/>
      <c r="R136" s="46"/>
      <c r="S136" s="46"/>
    </row>
    <row r="137" spans="1:19" x14ac:dyDescent="0.55000000000000004">
      <c r="A137" s="42" t="s">
        <v>2</v>
      </c>
      <c r="B137" s="42">
        <v>45</v>
      </c>
      <c r="C137" s="43">
        <v>0.10317129629629629</v>
      </c>
      <c r="D137" s="42" t="s">
        <v>57</v>
      </c>
      <c r="E137" s="44">
        <v>26425</v>
      </c>
      <c r="F137" s="44">
        <v>43002</v>
      </c>
      <c r="G137" s="42" t="s">
        <v>11</v>
      </c>
      <c r="H137" s="42"/>
      <c r="I137" s="45">
        <v>0.10317129629629629</v>
      </c>
      <c r="J137" s="46"/>
      <c r="K137" s="46"/>
      <c r="L137" s="46"/>
      <c r="M137" s="46"/>
      <c r="N137" s="46"/>
      <c r="O137" s="46"/>
      <c r="P137" s="46"/>
      <c r="Q137" s="46"/>
      <c r="R137" s="46"/>
      <c r="S137" s="46"/>
    </row>
    <row r="138" spans="1:19" x14ac:dyDescent="0.55000000000000004">
      <c r="A138" s="42" t="s">
        <v>2</v>
      </c>
      <c r="B138" s="42">
        <v>46</v>
      </c>
      <c r="C138" s="43">
        <v>0.1044675925925926</v>
      </c>
      <c r="D138" s="42" t="s">
        <v>53</v>
      </c>
      <c r="E138" s="44">
        <v>20152</v>
      </c>
      <c r="F138" s="44">
        <v>37318</v>
      </c>
      <c r="G138" s="42" t="s">
        <v>9</v>
      </c>
      <c r="H138" s="42"/>
      <c r="I138" s="45">
        <v>0.1044675925925926</v>
      </c>
      <c r="J138" s="46"/>
      <c r="K138" s="46"/>
      <c r="L138" s="46"/>
      <c r="M138" s="46"/>
      <c r="N138" s="46"/>
      <c r="O138" s="46"/>
      <c r="P138" s="46"/>
      <c r="Q138" s="46"/>
      <c r="R138" s="46"/>
      <c r="S138" s="46"/>
    </row>
    <row r="139" spans="1:19" x14ac:dyDescent="0.55000000000000004">
      <c r="A139" s="42" t="s">
        <v>2</v>
      </c>
      <c r="B139" s="42">
        <v>47</v>
      </c>
      <c r="C139" s="43">
        <v>0.10347222222222223</v>
      </c>
      <c r="D139" s="42" t="s">
        <v>53</v>
      </c>
      <c r="E139" s="44">
        <v>20152</v>
      </c>
      <c r="F139" s="44">
        <v>37542</v>
      </c>
      <c r="G139" s="42" t="s">
        <v>56</v>
      </c>
      <c r="H139" s="42"/>
      <c r="I139" s="45">
        <v>0.10347222222222223</v>
      </c>
      <c r="J139" s="46"/>
      <c r="K139" s="46"/>
      <c r="L139" s="46"/>
      <c r="M139" s="46"/>
      <c r="N139" s="46"/>
      <c r="O139" s="46"/>
      <c r="P139" s="46"/>
      <c r="Q139" s="46"/>
      <c r="R139" s="46"/>
      <c r="S139" s="46"/>
    </row>
    <row r="140" spans="1:19" x14ac:dyDescent="0.55000000000000004">
      <c r="A140" s="42" t="s">
        <v>2</v>
      </c>
      <c r="B140" s="42">
        <v>48</v>
      </c>
      <c r="C140" s="43">
        <v>0.10956018518518518</v>
      </c>
      <c r="D140" s="42" t="s">
        <v>55</v>
      </c>
      <c r="E140" s="44">
        <v>22473</v>
      </c>
      <c r="F140" s="44">
        <v>40230</v>
      </c>
      <c r="G140" s="42" t="s">
        <v>54</v>
      </c>
      <c r="H140" s="42"/>
      <c r="I140" s="45">
        <v>0.10956018518518518</v>
      </c>
      <c r="J140" s="46"/>
      <c r="K140" s="46"/>
      <c r="L140" s="46"/>
      <c r="M140" s="46"/>
      <c r="N140" s="46"/>
      <c r="O140" s="46"/>
      <c r="P140" s="46"/>
      <c r="Q140" s="46"/>
      <c r="R140" s="46"/>
      <c r="S140" s="46"/>
    </row>
    <row r="141" spans="1:19" x14ac:dyDescent="0.55000000000000004">
      <c r="A141" s="42" t="s">
        <v>2</v>
      </c>
      <c r="B141" s="42">
        <v>49</v>
      </c>
      <c r="C141" s="43">
        <v>0.10436342592592592</v>
      </c>
      <c r="D141" s="42" t="s">
        <v>53</v>
      </c>
      <c r="E141" s="44">
        <v>20152</v>
      </c>
      <c r="F141" s="44">
        <v>38053</v>
      </c>
      <c r="G141" s="42" t="s">
        <v>9</v>
      </c>
      <c r="H141" s="42"/>
      <c r="I141" s="45">
        <v>0.10436342592592592</v>
      </c>
      <c r="J141" s="46"/>
      <c r="K141" s="46"/>
      <c r="L141" s="46"/>
      <c r="M141" s="46"/>
      <c r="N141" s="46"/>
      <c r="O141" s="46"/>
      <c r="P141" s="46"/>
      <c r="Q141" s="46"/>
      <c r="R141" s="46"/>
      <c r="S141" s="46"/>
    </row>
    <row r="142" spans="1:19" x14ac:dyDescent="0.55000000000000004">
      <c r="A142" s="42" t="s">
        <v>2</v>
      </c>
      <c r="B142" s="42">
        <v>50</v>
      </c>
      <c r="C142" s="43">
        <v>0.10491898148148149</v>
      </c>
      <c r="D142" s="42" t="s">
        <v>53</v>
      </c>
      <c r="E142" s="44">
        <v>20152</v>
      </c>
      <c r="F142" s="44">
        <v>38417</v>
      </c>
      <c r="G142" s="42" t="s">
        <v>9</v>
      </c>
      <c r="H142" s="42"/>
      <c r="I142" s="45">
        <v>0.10491898148148149</v>
      </c>
      <c r="J142" s="46"/>
      <c r="K142" s="46"/>
      <c r="L142" s="46"/>
      <c r="M142" s="46"/>
      <c r="N142" s="46"/>
      <c r="O142" s="46"/>
      <c r="P142" s="46"/>
      <c r="Q142" s="46"/>
      <c r="R142" s="46"/>
      <c r="S142" s="46"/>
    </row>
    <row r="143" spans="1:19" x14ac:dyDescent="0.55000000000000004">
      <c r="A143" s="42" t="s">
        <v>2</v>
      </c>
      <c r="B143" s="42">
        <v>51</v>
      </c>
      <c r="C143" s="43">
        <v>0.10817129629629629</v>
      </c>
      <c r="D143" s="42" t="s">
        <v>53</v>
      </c>
      <c r="E143" s="44">
        <v>20152</v>
      </c>
      <c r="F143" s="44">
        <v>38795</v>
      </c>
      <c r="G143" s="42" t="s">
        <v>9</v>
      </c>
      <c r="H143" s="42"/>
      <c r="I143" s="45">
        <v>0.10817129629629629</v>
      </c>
      <c r="J143" s="46"/>
      <c r="K143" s="46"/>
      <c r="L143" s="46"/>
      <c r="M143" s="46"/>
      <c r="N143" s="46"/>
      <c r="O143" s="46"/>
      <c r="P143" s="46"/>
      <c r="Q143" s="46"/>
      <c r="R143" s="46"/>
      <c r="S143" s="46"/>
    </row>
    <row r="144" spans="1:19" x14ac:dyDescent="0.55000000000000004">
      <c r="A144" s="42" t="s">
        <v>2</v>
      </c>
      <c r="B144" s="42">
        <v>52</v>
      </c>
      <c r="C144" s="43">
        <v>0.11721064814814815</v>
      </c>
      <c r="D144" s="42" t="s">
        <v>52</v>
      </c>
      <c r="E144" s="44">
        <v>13345</v>
      </c>
      <c r="F144" s="44">
        <v>32446</v>
      </c>
      <c r="G144" s="42" t="s">
        <v>51</v>
      </c>
      <c r="H144" s="42"/>
      <c r="I144" s="45">
        <v>0.11721064814814815</v>
      </c>
      <c r="J144" s="46"/>
      <c r="K144" s="46"/>
      <c r="L144" s="46"/>
      <c r="M144" s="46"/>
      <c r="N144" s="46"/>
      <c r="O144" s="46"/>
      <c r="P144" s="46"/>
      <c r="Q144" s="46"/>
      <c r="R144" s="46"/>
      <c r="S144" s="46"/>
    </row>
    <row r="145" spans="1:20" x14ac:dyDescent="0.55000000000000004">
      <c r="A145" s="42" t="s">
        <v>2</v>
      </c>
      <c r="B145" s="42">
        <v>53</v>
      </c>
      <c r="C145" s="43">
        <v>0.11655092592592593</v>
      </c>
      <c r="D145" s="42" t="s">
        <v>50</v>
      </c>
      <c r="E145" s="44">
        <v>20956</v>
      </c>
      <c r="F145" s="44">
        <v>40461</v>
      </c>
      <c r="G145" s="42" t="s">
        <v>25</v>
      </c>
      <c r="H145" s="42"/>
      <c r="I145" s="45">
        <v>0.11655092592592593</v>
      </c>
      <c r="J145" s="46"/>
      <c r="K145" s="46"/>
      <c r="L145" s="46"/>
      <c r="M145" s="46"/>
      <c r="N145" s="46"/>
      <c r="O145" s="46"/>
      <c r="P145" s="46"/>
      <c r="Q145" s="46"/>
      <c r="R145" s="46"/>
      <c r="S145" s="46"/>
    </row>
    <row r="146" spans="1:20" x14ac:dyDescent="0.55000000000000004">
      <c r="A146" s="42" t="s">
        <v>2</v>
      </c>
      <c r="B146" s="42">
        <v>54</v>
      </c>
      <c r="C146" s="43">
        <v>0.12070601851851852</v>
      </c>
      <c r="D146" s="42" t="s">
        <v>49</v>
      </c>
      <c r="E146" s="44">
        <v>23167</v>
      </c>
      <c r="F146" s="44">
        <v>42904</v>
      </c>
      <c r="G146" s="42" t="s">
        <v>48</v>
      </c>
      <c r="H146" s="42"/>
      <c r="I146" s="45">
        <v>0.12070601851851852</v>
      </c>
      <c r="J146" s="46"/>
      <c r="K146" s="46"/>
      <c r="L146" s="46"/>
      <c r="M146" s="46"/>
      <c r="N146" s="46"/>
      <c r="O146" s="46"/>
      <c r="P146" s="46"/>
      <c r="Q146" s="46"/>
      <c r="R146" s="46"/>
      <c r="S146" s="46"/>
    </row>
    <row r="147" spans="1:20" x14ac:dyDescent="0.55000000000000004">
      <c r="A147" s="42" t="s">
        <v>2</v>
      </c>
      <c r="B147" s="42">
        <v>55</v>
      </c>
      <c r="C147" s="43">
        <v>0.11960648148148149</v>
      </c>
      <c r="D147" s="42" t="s">
        <v>47</v>
      </c>
      <c r="E147" s="44">
        <v>15914</v>
      </c>
      <c r="F147" s="44">
        <v>36079</v>
      </c>
      <c r="G147" s="42" t="s">
        <v>25</v>
      </c>
      <c r="H147" s="42"/>
      <c r="I147" s="45">
        <v>0.11960648148148149</v>
      </c>
      <c r="J147" s="46"/>
      <c r="K147" s="46"/>
      <c r="L147" s="46"/>
      <c r="M147" s="46"/>
      <c r="N147" s="46"/>
      <c r="O147" s="46"/>
      <c r="P147" s="46"/>
      <c r="Q147" s="46"/>
      <c r="R147" s="46"/>
      <c r="S147" s="46"/>
    </row>
    <row r="148" spans="1:20" x14ac:dyDescent="0.55000000000000004">
      <c r="A148" s="42" t="s">
        <v>2</v>
      </c>
      <c r="B148" s="42">
        <v>56</v>
      </c>
      <c r="C148" s="43">
        <v>0.12157407407407407</v>
      </c>
      <c r="D148" s="42" t="s">
        <v>46</v>
      </c>
      <c r="E148" s="44">
        <v>22370</v>
      </c>
      <c r="F148" s="44">
        <v>42848</v>
      </c>
      <c r="G148" s="42" t="s">
        <v>45</v>
      </c>
      <c r="H148" s="42"/>
      <c r="I148" s="45">
        <v>0.12157407407407407</v>
      </c>
      <c r="J148" s="46"/>
      <c r="K148" s="46"/>
      <c r="L148" s="46"/>
      <c r="M148" s="46"/>
      <c r="N148" s="46"/>
      <c r="O148" s="46"/>
      <c r="P148" s="46"/>
      <c r="Q148" s="46"/>
      <c r="R148" s="46"/>
      <c r="S148" s="46"/>
    </row>
    <row r="149" spans="1:20" x14ac:dyDescent="0.55000000000000004">
      <c r="A149" s="42" t="s">
        <v>2</v>
      </c>
      <c r="B149" s="42">
        <v>57</v>
      </c>
      <c r="C149" s="43">
        <v>0.12116898148148147</v>
      </c>
      <c r="D149" s="42" t="s">
        <v>44</v>
      </c>
      <c r="E149" s="44">
        <v>20650</v>
      </c>
      <c r="F149" s="44">
        <v>41581</v>
      </c>
      <c r="G149" s="42" t="s">
        <v>43</v>
      </c>
      <c r="H149" s="42"/>
      <c r="I149" s="45">
        <v>0.12116898148148147</v>
      </c>
      <c r="J149" s="46"/>
      <c r="K149" s="46"/>
      <c r="L149" s="46"/>
      <c r="M149" s="46"/>
      <c r="N149" s="46"/>
      <c r="O149" s="46"/>
      <c r="P149" s="46"/>
      <c r="Q149" s="46"/>
      <c r="R149" s="46"/>
      <c r="S149" s="46"/>
    </row>
    <row r="150" spans="1:20" x14ac:dyDescent="0.55000000000000004">
      <c r="A150" s="42" t="s">
        <v>2</v>
      </c>
      <c r="B150" s="42">
        <v>58</v>
      </c>
      <c r="C150" s="43">
        <v>0.12403935185185185</v>
      </c>
      <c r="D150" s="42" t="s">
        <v>42</v>
      </c>
      <c r="E150" s="44">
        <v>20087</v>
      </c>
      <c r="F150" s="44">
        <v>41553</v>
      </c>
      <c r="G150" s="42" t="s">
        <v>41</v>
      </c>
      <c r="H150" s="42"/>
      <c r="I150" s="45">
        <v>0.12403935185185185</v>
      </c>
      <c r="J150" s="46"/>
      <c r="K150" s="46"/>
      <c r="L150" s="46"/>
      <c r="M150" s="46"/>
      <c r="N150" s="46"/>
      <c r="O150" s="46"/>
      <c r="P150" s="46"/>
      <c r="Q150" s="46"/>
      <c r="R150" s="46"/>
      <c r="S150" s="46"/>
    </row>
    <row r="151" spans="1:20" x14ac:dyDescent="0.55000000000000004">
      <c r="A151" s="42" t="s">
        <v>2</v>
      </c>
      <c r="B151" s="42">
        <v>59</v>
      </c>
      <c r="C151" s="43">
        <v>0.12480324074074074</v>
      </c>
      <c r="D151" s="42" t="s">
        <v>42</v>
      </c>
      <c r="E151" s="44">
        <v>20087</v>
      </c>
      <c r="F151" s="44">
        <v>41917</v>
      </c>
      <c r="G151" s="42" t="s">
        <v>41</v>
      </c>
      <c r="H151" s="42"/>
      <c r="I151" s="45">
        <v>0.12480324074074074</v>
      </c>
      <c r="J151" s="46"/>
      <c r="K151" s="46"/>
      <c r="L151" s="46"/>
      <c r="M151" s="46"/>
      <c r="N151" s="46"/>
      <c r="O151" s="46"/>
      <c r="P151" s="46"/>
      <c r="Q151" s="46"/>
      <c r="R151" s="46"/>
      <c r="S151" s="46"/>
    </row>
    <row r="152" spans="1:20" x14ac:dyDescent="0.55000000000000004">
      <c r="A152" s="42" t="s">
        <v>2</v>
      </c>
      <c r="B152" s="42">
        <v>60</v>
      </c>
      <c r="C152" s="43">
        <v>0.12604166666666666</v>
      </c>
      <c r="D152" s="42" t="s">
        <v>40</v>
      </c>
      <c r="E152" s="44">
        <v>18136</v>
      </c>
      <c r="F152" s="44">
        <v>40363</v>
      </c>
      <c r="G152" s="42" t="s">
        <v>39</v>
      </c>
      <c r="H152" s="42"/>
      <c r="I152" s="45">
        <v>0.12604166666666666</v>
      </c>
      <c r="J152" s="46"/>
      <c r="K152" s="46"/>
      <c r="L152" s="46"/>
      <c r="M152" s="46"/>
      <c r="N152" s="46"/>
      <c r="O152" s="46"/>
      <c r="P152" s="46"/>
      <c r="Q152" s="46"/>
      <c r="R152" s="46"/>
      <c r="S152" s="46"/>
    </row>
    <row r="153" spans="1:20" x14ac:dyDescent="0.55000000000000004">
      <c r="A153" s="42" t="s">
        <v>2</v>
      </c>
      <c r="B153" s="42">
        <v>61</v>
      </c>
      <c r="C153" s="43">
        <v>0.12958333333333333</v>
      </c>
      <c r="D153" s="42" t="s">
        <v>38</v>
      </c>
      <c r="E153" s="44">
        <v>19783</v>
      </c>
      <c r="F153" s="44">
        <v>42414</v>
      </c>
      <c r="G153" s="42" t="s">
        <v>37</v>
      </c>
      <c r="H153" s="42"/>
      <c r="I153" s="45">
        <v>0.12958333333333333</v>
      </c>
      <c r="J153" s="46"/>
      <c r="K153" s="46"/>
      <c r="L153" s="46"/>
      <c r="M153" s="46"/>
      <c r="N153" s="46"/>
      <c r="O153" s="46"/>
      <c r="P153" s="46"/>
      <c r="Q153" s="46"/>
      <c r="R153" s="46"/>
      <c r="S153" s="46"/>
    </row>
    <row r="154" spans="1:20" x14ac:dyDescent="0.55000000000000004">
      <c r="A154" s="42" t="s">
        <v>2</v>
      </c>
      <c r="B154" s="42">
        <v>62</v>
      </c>
      <c r="C154" s="43">
        <v>0.12644675925925927</v>
      </c>
      <c r="D154" s="42" t="s">
        <v>36</v>
      </c>
      <c r="E154" s="44">
        <v>21020</v>
      </c>
      <c r="F154" s="44">
        <v>43737</v>
      </c>
      <c r="G154" s="42" t="s">
        <v>11</v>
      </c>
      <c r="H154" s="42"/>
      <c r="I154" s="45">
        <v>0.13515046296296296</v>
      </c>
      <c r="J154" s="46" t="s">
        <v>573</v>
      </c>
      <c r="K154" s="33" t="s">
        <v>546</v>
      </c>
      <c r="L154" s="50" t="s">
        <v>547</v>
      </c>
      <c r="M154" s="50" t="s">
        <v>287</v>
      </c>
      <c r="N154" s="51">
        <v>19269</v>
      </c>
      <c r="O154" s="49"/>
      <c r="P154" s="50" t="s">
        <v>548</v>
      </c>
      <c r="Q154" s="51">
        <v>42267</v>
      </c>
      <c r="R154" s="46"/>
      <c r="S154" s="46"/>
    </row>
    <row r="155" spans="1:20" x14ac:dyDescent="0.55000000000000004">
      <c r="A155" s="42" t="s">
        <v>2</v>
      </c>
      <c r="B155" s="42">
        <v>63</v>
      </c>
      <c r="C155" s="43">
        <v>0.13041666666666665</v>
      </c>
      <c r="D155" s="42" t="s">
        <v>32</v>
      </c>
      <c r="E155" s="44">
        <v>16132</v>
      </c>
      <c r="F155" s="44">
        <v>39383</v>
      </c>
      <c r="G155" s="42" t="s">
        <v>35</v>
      </c>
      <c r="H155" s="42"/>
      <c r="I155" s="45">
        <v>0.13041666666666665</v>
      </c>
      <c r="J155" s="46"/>
      <c r="K155" s="46"/>
      <c r="L155" s="50"/>
      <c r="M155" s="49"/>
      <c r="N155" s="50"/>
      <c r="O155" s="50"/>
      <c r="P155" s="50"/>
      <c r="Q155" s="51"/>
      <c r="R155" s="49"/>
      <c r="S155" s="50"/>
      <c r="T155" s="35"/>
    </row>
    <row r="156" spans="1:20" x14ac:dyDescent="0.55000000000000004">
      <c r="A156" s="42" t="s">
        <v>2</v>
      </c>
      <c r="B156" s="42">
        <v>64</v>
      </c>
      <c r="C156" s="43">
        <v>0.13840277777777779</v>
      </c>
      <c r="D156" s="42" t="s">
        <v>34</v>
      </c>
      <c r="E156" s="44">
        <v>16284</v>
      </c>
      <c r="F156" s="44">
        <v>39768</v>
      </c>
      <c r="G156" s="42" t="s">
        <v>33</v>
      </c>
      <c r="H156" s="42"/>
      <c r="I156" s="45">
        <v>0.13840277777777779</v>
      </c>
      <c r="J156" s="46"/>
      <c r="K156" s="46"/>
      <c r="L156" s="50"/>
      <c r="M156" s="49"/>
      <c r="N156" s="50"/>
      <c r="O156" s="50"/>
      <c r="P156" s="50"/>
      <c r="Q156" s="51"/>
      <c r="R156" s="49"/>
      <c r="S156" s="50"/>
      <c r="T156" s="35"/>
    </row>
    <row r="157" spans="1:20" x14ac:dyDescent="0.55000000000000004">
      <c r="A157" s="42" t="s">
        <v>2</v>
      </c>
      <c r="B157" s="42">
        <v>65</v>
      </c>
      <c r="C157" s="43">
        <v>0.13399305555555555</v>
      </c>
      <c r="D157" s="42" t="s">
        <v>32</v>
      </c>
      <c r="E157" s="44">
        <v>16132</v>
      </c>
      <c r="F157" s="44">
        <v>39929</v>
      </c>
      <c r="G157" s="42" t="s">
        <v>31</v>
      </c>
      <c r="H157" s="42"/>
      <c r="I157" s="45">
        <v>0.13399305555555555</v>
      </c>
      <c r="J157" s="46"/>
      <c r="K157" s="46"/>
      <c r="L157" s="50"/>
      <c r="M157" s="49"/>
      <c r="N157" s="50"/>
      <c r="O157" s="50"/>
      <c r="P157" s="50"/>
      <c r="Q157" s="51"/>
      <c r="R157" s="49"/>
      <c r="S157" s="50"/>
      <c r="T157" s="35"/>
    </row>
    <row r="158" spans="1:20" x14ac:dyDescent="0.55000000000000004">
      <c r="A158" s="42" t="s">
        <v>2</v>
      </c>
      <c r="B158" s="42">
        <v>66</v>
      </c>
      <c r="C158" s="43">
        <v>0.13825231481481481</v>
      </c>
      <c r="D158" s="42" t="s">
        <v>30</v>
      </c>
      <c r="E158" s="44">
        <v>17277</v>
      </c>
      <c r="F158" s="44">
        <v>41546</v>
      </c>
      <c r="G158" s="42" t="s">
        <v>11</v>
      </c>
      <c r="H158" s="42"/>
      <c r="I158" s="45">
        <v>0.13825231481481481</v>
      </c>
      <c r="J158" s="46"/>
      <c r="K158" s="46"/>
      <c r="L158" s="50"/>
      <c r="M158" s="49"/>
      <c r="N158" s="50"/>
      <c r="O158" s="50"/>
      <c r="P158" s="50"/>
      <c r="Q158" s="51"/>
      <c r="R158" s="49"/>
      <c r="S158" s="50"/>
      <c r="T158" s="35"/>
    </row>
    <row r="159" spans="1:20" x14ac:dyDescent="0.55000000000000004">
      <c r="A159" s="42" t="s">
        <v>2</v>
      </c>
      <c r="B159" s="42">
        <v>67</v>
      </c>
      <c r="C159" s="43">
        <v>0.13813657407407406</v>
      </c>
      <c r="D159" s="42" t="s">
        <v>29</v>
      </c>
      <c r="E159" s="44">
        <v>18644</v>
      </c>
      <c r="F159" s="44">
        <v>43394</v>
      </c>
      <c r="G159" s="42" t="s">
        <v>28</v>
      </c>
      <c r="H159" s="42"/>
      <c r="I159" s="45">
        <v>0.14295138888888889</v>
      </c>
      <c r="J159" s="46" t="s">
        <v>573</v>
      </c>
      <c r="K159" s="33" t="s">
        <v>551</v>
      </c>
      <c r="L159" s="50" t="s">
        <v>552</v>
      </c>
      <c r="M159" s="50" t="s">
        <v>326</v>
      </c>
      <c r="N159" s="51">
        <v>17783</v>
      </c>
      <c r="O159" s="49" t="s">
        <v>553</v>
      </c>
      <c r="P159" s="50" t="s">
        <v>45</v>
      </c>
      <c r="Q159" s="51">
        <v>42484</v>
      </c>
      <c r="R159" s="46"/>
      <c r="S159" s="46"/>
    </row>
    <row r="160" spans="1:20" x14ac:dyDescent="0.55000000000000004">
      <c r="A160" s="42" t="s">
        <v>2</v>
      </c>
      <c r="B160" s="42">
        <v>68</v>
      </c>
      <c r="C160" s="43">
        <v>0.1386226851851852</v>
      </c>
      <c r="D160" s="42" t="s">
        <v>27</v>
      </c>
      <c r="E160" s="44">
        <v>18682</v>
      </c>
      <c r="F160" s="44">
        <v>43737</v>
      </c>
      <c r="G160" s="42" t="s">
        <v>11</v>
      </c>
      <c r="H160" s="42"/>
      <c r="I160" s="45">
        <v>0.14229166666666668</v>
      </c>
      <c r="J160" s="46" t="s">
        <v>573</v>
      </c>
      <c r="K160" s="33" t="s">
        <v>549</v>
      </c>
      <c r="L160" s="50" t="s">
        <v>550</v>
      </c>
      <c r="M160" s="50" t="s">
        <v>326</v>
      </c>
      <c r="N160" s="51">
        <v>17277</v>
      </c>
      <c r="O160" s="49"/>
      <c r="P160" s="50" t="s">
        <v>554</v>
      </c>
      <c r="Q160" s="51">
        <v>42470</v>
      </c>
      <c r="R160" s="46"/>
      <c r="S160" s="46"/>
    </row>
    <row r="161" spans="1:20" x14ac:dyDescent="0.55000000000000004">
      <c r="A161" s="42" t="s">
        <v>2</v>
      </c>
      <c r="B161" s="42">
        <v>69</v>
      </c>
      <c r="C161" s="43">
        <v>0.14561342592592594</v>
      </c>
      <c r="D161" s="42" t="s">
        <v>24</v>
      </c>
      <c r="E161" s="44">
        <v>17637</v>
      </c>
      <c r="F161" s="44">
        <v>43023</v>
      </c>
      <c r="G161" s="42" t="s">
        <v>26</v>
      </c>
      <c r="H161" s="42"/>
      <c r="I161" s="45">
        <v>0.14561342592592594</v>
      </c>
      <c r="J161" s="46"/>
      <c r="K161" s="46"/>
      <c r="L161" s="46"/>
      <c r="M161" s="46"/>
      <c r="N161" s="46"/>
      <c r="O161" s="46"/>
      <c r="P161" s="46"/>
      <c r="Q161" s="46"/>
      <c r="R161" s="46"/>
      <c r="S161" s="46"/>
    </row>
    <row r="162" spans="1:20" x14ac:dyDescent="0.55000000000000004">
      <c r="A162" s="42" t="s">
        <v>2</v>
      </c>
      <c r="B162" s="42">
        <v>70</v>
      </c>
      <c r="C162" s="43">
        <v>0.14432870370370371</v>
      </c>
      <c r="D162" s="42" t="s">
        <v>24</v>
      </c>
      <c r="E162" s="44">
        <v>17637</v>
      </c>
      <c r="F162" s="44">
        <v>43380</v>
      </c>
      <c r="G162" s="42" t="s">
        <v>25</v>
      </c>
      <c r="H162" s="42"/>
      <c r="I162" s="45">
        <v>0.14432870370370371</v>
      </c>
      <c r="J162" s="46"/>
      <c r="K162" s="46"/>
      <c r="L162" s="46"/>
      <c r="M162" s="46"/>
      <c r="N162" s="46"/>
      <c r="O162" s="46"/>
      <c r="P162" s="46"/>
      <c r="Q162" s="46"/>
      <c r="R162" s="46"/>
      <c r="S162" s="46"/>
    </row>
    <row r="163" spans="1:20" x14ac:dyDescent="0.55000000000000004">
      <c r="A163" s="42" t="s">
        <v>2</v>
      </c>
      <c r="B163" s="42">
        <v>71</v>
      </c>
      <c r="C163" s="43">
        <v>0.14222222222222222</v>
      </c>
      <c r="D163" s="42" t="s">
        <v>24</v>
      </c>
      <c r="E163" s="44">
        <v>17637</v>
      </c>
      <c r="F163" s="44">
        <v>43737</v>
      </c>
      <c r="G163" s="42" t="s">
        <v>11</v>
      </c>
      <c r="H163" s="42"/>
      <c r="I163" s="45">
        <v>0.14222222222222222</v>
      </c>
      <c r="J163" s="46"/>
      <c r="K163" s="46"/>
      <c r="L163" s="46"/>
      <c r="M163" s="46"/>
      <c r="N163" s="46"/>
      <c r="O163" s="46"/>
      <c r="P163" s="46"/>
      <c r="Q163" s="46"/>
      <c r="R163" s="46"/>
      <c r="S163" s="46"/>
    </row>
    <row r="164" spans="1:20" x14ac:dyDescent="0.55000000000000004">
      <c r="A164" s="42" t="s">
        <v>2</v>
      </c>
      <c r="B164" s="42">
        <v>72</v>
      </c>
      <c r="C164" s="43">
        <v>0.14964120370370371</v>
      </c>
      <c r="D164" s="42" t="s">
        <v>21</v>
      </c>
      <c r="E164" s="44">
        <v>15058</v>
      </c>
      <c r="F164" s="44">
        <v>41560</v>
      </c>
      <c r="G164" s="42" t="s">
        <v>23</v>
      </c>
      <c r="H164" s="42"/>
      <c r="I164" s="45">
        <v>0.14964120370370371</v>
      </c>
      <c r="J164" s="46"/>
      <c r="K164" s="46"/>
      <c r="L164" s="46"/>
      <c r="M164" s="46"/>
      <c r="N164" s="46"/>
      <c r="O164" s="46"/>
      <c r="P164" s="46"/>
      <c r="Q164" s="46"/>
      <c r="R164" s="46"/>
      <c r="S164" s="46"/>
    </row>
    <row r="165" spans="1:20" x14ac:dyDescent="0.55000000000000004">
      <c r="A165" s="42" t="s">
        <v>2</v>
      </c>
      <c r="B165" s="42">
        <v>73</v>
      </c>
      <c r="C165" s="43">
        <v>0.15438657407407408</v>
      </c>
      <c r="D165" s="42" t="s">
        <v>22</v>
      </c>
      <c r="E165" s="44">
        <v>16789</v>
      </c>
      <c r="F165" s="44">
        <v>43737</v>
      </c>
      <c r="G165" s="42" t="s">
        <v>11</v>
      </c>
      <c r="H165" s="42"/>
      <c r="I165" s="45">
        <v>0.15438657407407408</v>
      </c>
      <c r="J165" s="46"/>
      <c r="K165" s="46"/>
      <c r="L165" s="46"/>
      <c r="M165" s="46"/>
      <c r="N165" s="46"/>
      <c r="O165" s="46"/>
      <c r="P165" s="46"/>
      <c r="Q165" s="46"/>
      <c r="R165" s="46"/>
      <c r="S165" s="46"/>
    </row>
    <row r="166" spans="1:20" x14ac:dyDescent="0.55000000000000004">
      <c r="A166" s="42" t="s">
        <v>2</v>
      </c>
      <c r="B166" s="42">
        <v>74</v>
      </c>
      <c r="C166" s="43">
        <v>0.15938657407407408</v>
      </c>
      <c r="D166" s="42" t="s">
        <v>21</v>
      </c>
      <c r="E166" s="44">
        <v>15058</v>
      </c>
      <c r="F166" s="44">
        <v>42232</v>
      </c>
      <c r="G166" s="42" t="s">
        <v>20</v>
      </c>
      <c r="H166" s="42"/>
      <c r="I166" s="45">
        <v>0.15938657407407408</v>
      </c>
      <c r="J166" s="46"/>
      <c r="K166" s="46"/>
      <c r="L166" s="46"/>
      <c r="M166" s="46"/>
      <c r="N166" s="46"/>
      <c r="O166" s="46"/>
      <c r="P166" s="46"/>
      <c r="Q166" s="46"/>
      <c r="R166" s="46"/>
      <c r="S166" s="46"/>
    </row>
    <row r="167" spans="1:20" x14ac:dyDescent="0.55000000000000004">
      <c r="A167" s="42" t="s">
        <v>2</v>
      </c>
      <c r="B167" s="42">
        <v>75</v>
      </c>
      <c r="C167" s="43">
        <v>0.17059027777777777</v>
      </c>
      <c r="D167" s="42" t="s">
        <v>4</v>
      </c>
      <c r="E167" s="44">
        <v>13161</v>
      </c>
      <c r="F167" s="44">
        <v>40573</v>
      </c>
      <c r="G167" s="42" t="s">
        <v>19</v>
      </c>
      <c r="H167" s="42"/>
      <c r="I167" s="45">
        <v>0.17059027777777777</v>
      </c>
      <c r="J167" s="46"/>
      <c r="K167" s="46"/>
      <c r="L167" s="46"/>
      <c r="M167" s="46"/>
      <c r="N167" s="46"/>
      <c r="O167" s="46"/>
      <c r="P167" s="46"/>
      <c r="Q167" s="46"/>
      <c r="R167" s="46"/>
      <c r="S167" s="46"/>
    </row>
    <row r="168" spans="1:20" x14ac:dyDescent="0.55000000000000004">
      <c r="A168" s="42" t="s">
        <v>2</v>
      </c>
      <c r="B168" s="42">
        <v>76</v>
      </c>
      <c r="C168" s="43">
        <v>0.16229166666666667</v>
      </c>
      <c r="D168" s="42" t="s">
        <v>4</v>
      </c>
      <c r="E168" s="44">
        <v>13161</v>
      </c>
      <c r="F168" s="44">
        <v>41236</v>
      </c>
      <c r="G168" s="42" t="s">
        <v>18</v>
      </c>
      <c r="H168" s="42"/>
      <c r="I168" s="45">
        <v>0.16229166666666667</v>
      </c>
      <c r="J168" s="46"/>
      <c r="K168" s="46"/>
      <c r="L168" s="46"/>
      <c r="M168" s="46"/>
      <c r="N168" s="46"/>
      <c r="O168" s="46"/>
      <c r="P168" s="46"/>
      <c r="Q168" s="46"/>
      <c r="R168" s="46"/>
      <c r="S168" s="46"/>
    </row>
    <row r="169" spans="1:20" x14ac:dyDescent="0.55000000000000004">
      <c r="A169" s="42" t="s">
        <v>2</v>
      </c>
      <c r="B169" s="42">
        <v>77</v>
      </c>
      <c r="C169" s="43">
        <v>0.18364583333333331</v>
      </c>
      <c r="D169" s="42" t="s">
        <v>17</v>
      </c>
      <c r="E169" s="44">
        <v>13446</v>
      </c>
      <c r="F169" s="44">
        <v>41784</v>
      </c>
      <c r="G169" s="42" t="s">
        <v>16</v>
      </c>
      <c r="H169" s="42"/>
      <c r="I169" s="45">
        <v>0.18365740740740741</v>
      </c>
      <c r="J169" s="46" t="s">
        <v>570</v>
      </c>
      <c r="K169" s="46"/>
      <c r="L169" s="50"/>
      <c r="M169" s="49"/>
      <c r="N169" s="50"/>
      <c r="O169" s="50"/>
      <c r="P169" s="50"/>
      <c r="Q169" s="51"/>
      <c r="R169" s="49"/>
      <c r="S169" s="50"/>
      <c r="T169" s="35"/>
    </row>
    <row r="170" spans="1:20" x14ac:dyDescent="0.55000000000000004">
      <c r="A170" s="42" t="s">
        <v>2</v>
      </c>
      <c r="B170" s="42">
        <v>78</v>
      </c>
      <c r="C170" s="43">
        <v>0.18046296296296296</v>
      </c>
      <c r="D170" s="42" t="s">
        <v>17</v>
      </c>
      <c r="E170" s="44">
        <v>13446</v>
      </c>
      <c r="F170" s="44">
        <v>42155</v>
      </c>
      <c r="G170" s="42" t="s">
        <v>16</v>
      </c>
      <c r="H170" s="42"/>
      <c r="I170" s="45">
        <v>0.18046296296296296</v>
      </c>
      <c r="J170" s="46"/>
      <c r="K170" s="46"/>
      <c r="L170" s="46"/>
      <c r="M170" s="46"/>
      <c r="N170" s="46"/>
      <c r="O170" s="46"/>
      <c r="P170" s="46"/>
      <c r="Q170" s="46"/>
      <c r="R170" s="46"/>
      <c r="S170" s="46"/>
    </row>
    <row r="171" spans="1:20" x14ac:dyDescent="0.55000000000000004">
      <c r="A171" s="42" t="s">
        <v>2</v>
      </c>
      <c r="B171" s="42">
        <v>79</v>
      </c>
      <c r="C171" s="43">
        <v>0.17488425925925924</v>
      </c>
      <c r="D171" s="42" t="s">
        <v>4</v>
      </c>
      <c r="E171" s="44">
        <v>13161</v>
      </c>
      <c r="F171" s="44">
        <v>42078</v>
      </c>
      <c r="G171" s="42" t="s">
        <v>15</v>
      </c>
      <c r="H171" s="42"/>
      <c r="I171" s="45">
        <v>0.17488425925925924</v>
      </c>
      <c r="J171" s="46"/>
      <c r="K171" s="46"/>
      <c r="L171" s="46"/>
      <c r="M171" s="46"/>
      <c r="N171" s="46"/>
      <c r="O171" s="46"/>
      <c r="P171" s="46"/>
      <c r="Q171" s="46"/>
      <c r="R171" s="46"/>
      <c r="S171" s="46"/>
    </row>
    <row r="172" spans="1:20" x14ac:dyDescent="0.55000000000000004">
      <c r="A172" s="42" t="s">
        <v>2</v>
      </c>
      <c r="B172" s="42">
        <v>80</v>
      </c>
      <c r="C172" s="43">
        <v>0.17550925925925928</v>
      </c>
      <c r="D172" s="42" t="s">
        <v>14</v>
      </c>
      <c r="E172" s="44">
        <v>12513</v>
      </c>
      <c r="F172" s="44">
        <v>41784</v>
      </c>
      <c r="G172" s="42" t="s">
        <v>13</v>
      </c>
      <c r="H172" s="42"/>
      <c r="I172" s="45">
        <v>0.17550925925925928</v>
      </c>
      <c r="J172" s="46"/>
      <c r="K172" s="46"/>
      <c r="L172" s="46"/>
      <c r="M172" s="46"/>
      <c r="N172" s="46"/>
      <c r="O172" s="46"/>
      <c r="P172" s="46"/>
      <c r="Q172" s="46"/>
      <c r="R172" s="46"/>
      <c r="S172" s="46"/>
    </row>
    <row r="173" spans="1:20" x14ac:dyDescent="0.55000000000000004">
      <c r="A173" s="42" t="s">
        <v>2</v>
      </c>
      <c r="B173" s="42">
        <v>81</v>
      </c>
      <c r="C173" s="43">
        <v>0.17188657407407407</v>
      </c>
      <c r="D173" s="42" t="s">
        <v>4</v>
      </c>
      <c r="E173" s="44">
        <v>13161</v>
      </c>
      <c r="F173" s="44">
        <v>42792</v>
      </c>
      <c r="G173" s="42" t="s">
        <v>3</v>
      </c>
      <c r="H173" s="42"/>
      <c r="I173" s="45">
        <v>0.17188657407407407</v>
      </c>
      <c r="J173" s="47"/>
      <c r="K173" s="47"/>
      <c r="L173" s="46"/>
      <c r="M173" s="46"/>
      <c r="N173" s="46"/>
      <c r="O173" s="46"/>
      <c r="P173" s="46"/>
      <c r="Q173" s="46"/>
      <c r="R173" s="46"/>
      <c r="S173" s="46"/>
    </row>
    <row r="174" spans="1:20" x14ac:dyDescent="0.55000000000000004">
      <c r="A174" s="42" t="s">
        <v>2</v>
      </c>
      <c r="B174" s="42">
        <v>82</v>
      </c>
      <c r="C174" s="43">
        <v>0.19032407407407406</v>
      </c>
      <c r="D174" s="42" t="s">
        <v>4</v>
      </c>
      <c r="E174" s="44">
        <v>13161</v>
      </c>
      <c r="F174" s="44">
        <v>43156</v>
      </c>
      <c r="G174" s="42" t="s">
        <v>3</v>
      </c>
      <c r="H174" s="43">
        <v>0.19285879629629629</v>
      </c>
      <c r="I174" s="45">
        <v>0.19032407407407406</v>
      </c>
      <c r="J174" s="47"/>
      <c r="K174" s="47"/>
      <c r="L174" s="46"/>
      <c r="M174" s="46"/>
      <c r="N174" s="46"/>
      <c r="O174" s="46"/>
      <c r="P174" s="46"/>
      <c r="Q174" s="46"/>
      <c r="R174" s="46"/>
      <c r="S174" s="46"/>
    </row>
    <row r="175" spans="1:20" x14ac:dyDescent="0.55000000000000004">
      <c r="A175" s="42" t="s">
        <v>2</v>
      </c>
      <c r="B175" s="42">
        <v>83</v>
      </c>
      <c r="C175" s="43">
        <v>0.2023611111111111</v>
      </c>
      <c r="D175" s="42" t="s">
        <v>4</v>
      </c>
      <c r="E175" s="44">
        <v>13161</v>
      </c>
      <c r="F175" s="44">
        <v>43530</v>
      </c>
      <c r="G175" s="42" t="s">
        <v>3</v>
      </c>
      <c r="H175" s="43">
        <v>0.20849537037037036</v>
      </c>
      <c r="I175" s="45">
        <v>0.2023611111111111</v>
      </c>
      <c r="J175" s="46"/>
      <c r="K175" s="46"/>
      <c r="L175" s="46"/>
      <c r="M175" s="46"/>
      <c r="N175" s="46"/>
      <c r="O175" s="46"/>
      <c r="P175" s="46"/>
      <c r="Q175" s="46"/>
      <c r="R175" s="46"/>
      <c r="S175" s="46"/>
    </row>
    <row r="176" spans="1:20" x14ac:dyDescent="0.55000000000000004">
      <c r="A176" s="42" t="s">
        <v>2</v>
      </c>
      <c r="B176" s="42">
        <v>84</v>
      </c>
      <c r="C176" s="43">
        <v>0.23914351851851853</v>
      </c>
      <c r="D176" s="42" t="s">
        <v>12</v>
      </c>
      <c r="E176" s="44">
        <v>10407</v>
      </c>
      <c r="F176" s="44">
        <v>41182</v>
      </c>
      <c r="G176" s="42" t="s">
        <v>11</v>
      </c>
      <c r="H176" s="42"/>
      <c r="I176" s="45">
        <v>0.23914351851851853</v>
      </c>
      <c r="J176" s="46"/>
      <c r="K176" s="46"/>
      <c r="L176" s="46"/>
      <c r="M176" s="46"/>
      <c r="N176" s="46"/>
      <c r="O176" s="46"/>
      <c r="P176" s="46"/>
      <c r="Q176" s="46"/>
      <c r="R176" s="46"/>
      <c r="S176" s="46"/>
    </row>
    <row r="177" spans="1:19" x14ac:dyDescent="0.55000000000000004">
      <c r="A177" s="42" t="s">
        <v>2</v>
      </c>
      <c r="B177" s="42">
        <v>85</v>
      </c>
      <c r="C177" s="43">
        <v>0.2167013888888889</v>
      </c>
      <c r="D177" s="42" t="s">
        <v>1</v>
      </c>
      <c r="E177" s="44">
        <v>10173</v>
      </c>
      <c r="F177" s="44">
        <v>41252</v>
      </c>
      <c r="G177" s="42" t="s">
        <v>0</v>
      </c>
      <c r="H177" s="42"/>
      <c r="I177" s="45">
        <v>0.2167013888888889</v>
      </c>
      <c r="J177" s="46"/>
      <c r="K177" s="46"/>
      <c r="L177" s="47"/>
      <c r="M177" s="46"/>
      <c r="N177" s="46"/>
      <c r="O177" s="46"/>
      <c r="P177" s="46"/>
      <c r="Q177" s="46"/>
      <c r="R177" s="46"/>
      <c r="S177" s="46"/>
    </row>
    <row r="178" spans="1:19" x14ac:dyDescent="0.55000000000000004">
      <c r="A178" s="42" t="s">
        <v>2</v>
      </c>
      <c r="B178" s="42">
        <v>86</v>
      </c>
      <c r="C178" s="43">
        <v>0.27201388888888889</v>
      </c>
      <c r="D178" s="42" t="s">
        <v>10</v>
      </c>
      <c r="E178" s="44">
        <v>8261</v>
      </c>
      <c r="F178" s="44">
        <v>39958</v>
      </c>
      <c r="G178" s="42" t="s">
        <v>9</v>
      </c>
      <c r="H178" s="42"/>
      <c r="I178" s="45">
        <v>0.27201388888888889</v>
      </c>
      <c r="J178" s="46"/>
      <c r="K178" s="46"/>
      <c r="L178" s="47"/>
      <c r="M178" s="46"/>
      <c r="N178" s="46"/>
      <c r="O178" s="46"/>
      <c r="P178" s="46"/>
      <c r="Q178" s="46"/>
      <c r="R178" s="46"/>
      <c r="S178" s="46"/>
    </row>
    <row r="179" spans="1:19" x14ac:dyDescent="0.55000000000000004">
      <c r="A179" s="42" t="s">
        <v>2</v>
      </c>
      <c r="B179" s="42">
        <v>87</v>
      </c>
      <c r="C179" s="43">
        <v>0.29638888888888887</v>
      </c>
      <c r="D179" s="42" t="s">
        <v>8</v>
      </c>
      <c r="E179" s="44">
        <v>2649</v>
      </c>
      <c r="F179" s="44">
        <v>34609</v>
      </c>
      <c r="G179" s="42" t="s">
        <v>7</v>
      </c>
      <c r="H179" s="42"/>
      <c r="I179" s="45">
        <v>0.29638888888888887</v>
      </c>
      <c r="J179" s="46"/>
      <c r="K179" s="46"/>
      <c r="L179" s="46"/>
      <c r="M179" s="46"/>
      <c r="N179" s="46"/>
      <c r="O179" s="46"/>
      <c r="P179" s="46"/>
      <c r="Q179" s="46"/>
      <c r="R179" s="46"/>
      <c r="S179" s="46"/>
    </row>
    <row r="180" spans="1:19" x14ac:dyDescent="0.55000000000000004">
      <c r="A180" s="42" t="s">
        <v>2</v>
      </c>
      <c r="B180" s="42">
        <v>88</v>
      </c>
      <c r="C180" s="43">
        <v>0.27189814814814817</v>
      </c>
      <c r="D180" s="42" t="s">
        <v>1</v>
      </c>
      <c r="E180" s="44">
        <v>10173</v>
      </c>
      <c r="F180" s="44">
        <v>42351</v>
      </c>
      <c r="G180" s="42" t="s">
        <v>0</v>
      </c>
      <c r="H180" s="42"/>
      <c r="I180" s="45">
        <v>0.27189814814814817</v>
      </c>
      <c r="J180" s="46"/>
      <c r="K180" s="46"/>
      <c r="L180" s="46"/>
      <c r="M180" s="46"/>
      <c r="N180" s="46"/>
      <c r="O180" s="46"/>
      <c r="P180" s="46"/>
      <c r="Q180" s="46"/>
      <c r="R180" s="46"/>
      <c r="S180" s="46"/>
    </row>
    <row r="181" spans="1:19" x14ac:dyDescent="0.55000000000000004">
      <c r="A181" s="42" t="s">
        <v>2</v>
      </c>
      <c r="B181" s="42">
        <v>89</v>
      </c>
      <c r="C181" s="43">
        <v>0.33984953703703707</v>
      </c>
      <c r="D181" s="42" t="s">
        <v>8</v>
      </c>
      <c r="E181" s="44">
        <v>2649</v>
      </c>
      <c r="F181" s="44">
        <v>35337</v>
      </c>
      <c r="G181" s="42" t="s">
        <v>7</v>
      </c>
      <c r="H181" s="42"/>
      <c r="I181" s="45">
        <v>0.33984953703703707</v>
      </c>
      <c r="J181" s="46"/>
      <c r="K181" s="46"/>
      <c r="L181" s="46"/>
      <c r="M181" s="46"/>
      <c r="N181" s="46"/>
      <c r="O181" s="46"/>
      <c r="P181" s="46"/>
      <c r="Q181" s="46"/>
      <c r="R181" s="46"/>
      <c r="S181" s="46"/>
    </row>
    <row r="182" spans="1:19" x14ac:dyDescent="0.55000000000000004">
      <c r="A182" s="42" t="s">
        <v>2</v>
      </c>
      <c r="B182" s="42">
        <v>90</v>
      </c>
      <c r="C182" s="43">
        <v>0.2829976851851852</v>
      </c>
      <c r="D182" s="42" t="s">
        <v>1</v>
      </c>
      <c r="E182" s="44">
        <v>10173</v>
      </c>
      <c r="F182" s="44">
        <v>43079</v>
      </c>
      <c r="G182" s="42" t="s">
        <v>0</v>
      </c>
      <c r="H182" s="42"/>
      <c r="I182" s="45">
        <v>0.2829976851851852</v>
      </c>
      <c r="J182" s="46"/>
      <c r="K182" s="46"/>
      <c r="L182" s="46"/>
      <c r="M182" s="46"/>
      <c r="N182" s="46"/>
      <c r="O182" s="46"/>
      <c r="P182" s="46"/>
      <c r="Q182" s="46"/>
      <c r="R182" s="46"/>
      <c r="S182" s="46"/>
    </row>
    <row r="183" spans="1:19" x14ac:dyDescent="0.55000000000000004">
      <c r="A183" s="42" t="s">
        <v>2</v>
      </c>
      <c r="B183" s="42">
        <v>92</v>
      </c>
      <c r="C183" s="43">
        <v>0.41236111111111112</v>
      </c>
      <c r="D183" s="42" t="s">
        <v>6</v>
      </c>
      <c r="E183" s="44">
        <v>6902</v>
      </c>
      <c r="F183" s="44">
        <v>40524</v>
      </c>
      <c r="G183" s="42" t="s">
        <v>0</v>
      </c>
      <c r="H183" s="42"/>
      <c r="I183" s="45">
        <v>0.41236111111111112</v>
      </c>
      <c r="J183" s="46"/>
      <c r="K183" s="46"/>
      <c r="L183" s="46"/>
      <c r="M183" s="46"/>
      <c r="N183" s="46"/>
      <c r="O183" s="46"/>
      <c r="P183" s="46"/>
      <c r="Q183" s="46"/>
      <c r="R183" s="46"/>
      <c r="S183" s="46"/>
    </row>
  </sheetData>
  <mergeCells count="1">
    <mergeCell ref="K9:Q9"/>
  </mergeCells>
  <conditionalFormatting sqref="C11:C183 I11:I183">
    <cfRule type="expression" dxfId="0" priority="1">
      <formula>$C11&lt;&gt;$I11</formula>
    </cfRule>
  </conditionalFormatting>
  <hyperlinks>
    <hyperlink ref="A6" r:id="rId1" xr:uid="{71569896-84B9-4182-996F-A96A9C784FB5}"/>
  </hyperlinks>
  <pageMargins left="0.7" right="0.7" top="0.75" bottom="0.75" header="0.3" footer="0.3"/>
  <pageSetup orientation="portrait" horizontalDpi="0" verticalDpi="0"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3F15-B5AB-4081-84C2-83CAFAF6C8CB}">
  <sheetPr codeName="Sheet3"/>
  <dimension ref="A1:N122"/>
  <sheetViews>
    <sheetView zoomScale="50" zoomScaleNormal="50" workbookViewId="0">
      <selection activeCell="R17" sqref="R17"/>
    </sheetView>
  </sheetViews>
  <sheetFormatPr defaultRowHeight="29.1" customHeight="1" x14ac:dyDescent="0.55000000000000004"/>
  <cols>
    <col min="1" max="1" width="9.578125" customWidth="1"/>
    <col min="2" max="2" width="18.578125" customWidth="1"/>
    <col min="4" max="4" width="9.578125" customWidth="1"/>
    <col min="5" max="5" width="18.578125" customWidth="1"/>
    <col min="7" max="7" width="9.578125" customWidth="1"/>
    <col min="8" max="8" width="18.578125" customWidth="1"/>
    <col min="10" max="10" width="9.578125" customWidth="1"/>
    <col min="11" max="11" width="18.578125" customWidth="1"/>
    <col min="13" max="13" width="9.578125" customWidth="1"/>
    <col min="14" max="14" width="18.578125" customWidth="1"/>
    <col min="22" max="22" width="11.83984375" bestFit="1" customWidth="1"/>
  </cols>
  <sheetData>
    <row r="1" spans="1:14" ht="29.1" customHeight="1" thickBot="1" x14ac:dyDescent="0.6">
      <c r="A1" s="11" t="s">
        <v>183</v>
      </c>
      <c r="B1" s="11" t="s">
        <v>182</v>
      </c>
      <c r="C1" s="12"/>
      <c r="D1" s="11" t="s">
        <v>183</v>
      </c>
      <c r="E1" s="11" t="s">
        <v>182</v>
      </c>
      <c r="F1" s="12"/>
      <c r="G1" s="11" t="s">
        <v>183</v>
      </c>
      <c r="H1" s="11" t="s">
        <v>182</v>
      </c>
      <c r="I1" s="12"/>
      <c r="J1" s="11" t="s">
        <v>183</v>
      </c>
      <c r="K1" s="11" t="s">
        <v>182</v>
      </c>
      <c r="L1" s="12"/>
      <c r="M1" s="11" t="s">
        <v>183</v>
      </c>
      <c r="N1" s="11" t="s">
        <v>182</v>
      </c>
    </row>
    <row r="2" spans="1:14" ht="29.1" customHeight="1" thickBot="1" x14ac:dyDescent="0.75">
      <c r="A2" s="13">
        <v>18</v>
      </c>
      <c r="B2" s="14">
        <v>9.9050925925925917E-2</v>
      </c>
      <c r="C2" s="15"/>
      <c r="D2" s="16">
        <v>32</v>
      </c>
      <c r="E2" s="17">
        <v>9.6192129629629627E-2</v>
      </c>
      <c r="F2" s="15"/>
      <c r="G2" s="13">
        <v>46</v>
      </c>
      <c r="H2" s="14">
        <v>0.1044675925925926</v>
      </c>
      <c r="I2" s="15"/>
      <c r="J2" s="13">
        <v>59</v>
      </c>
      <c r="K2" s="14">
        <v>0.12480324074074074</v>
      </c>
      <c r="L2" s="15"/>
      <c r="M2" s="13">
        <v>72</v>
      </c>
      <c r="N2" s="14">
        <v>0.14964120370370371</v>
      </c>
    </row>
    <row r="3" spans="1:14" ht="29.1" customHeight="1" thickBot="1" x14ac:dyDescent="0.75">
      <c r="A3" s="16">
        <v>19</v>
      </c>
      <c r="B3" s="17">
        <v>9.7905092592592599E-2</v>
      </c>
      <c r="C3" s="15"/>
      <c r="D3" s="16">
        <v>33</v>
      </c>
      <c r="E3" s="17">
        <v>9.6238425925925922E-2</v>
      </c>
      <c r="F3" s="15"/>
      <c r="G3" s="13">
        <v>47</v>
      </c>
      <c r="H3" s="14">
        <v>0.10347222222222223</v>
      </c>
      <c r="I3" s="15"/>
      <c r="J3" s="13">
        <v>60</v>
      </c>
      <c r="K3" s="14">
        <v>0.12604166666666666</v>
      </c>
      <c r="L3" s="15"/>
      <c r="M3" s="16">
        <v>73</v>
      </c>
      <c r="N3" s="17">
        <v>0.15438657407407408</v>
      </c>
    </row>
    <row r="4" spans="1:14" ht="29.1" customHeight="1" thickBot="1" x14ac:dyDescent="0.75">
      <c r="A4" s="16">
        <v>20</v>
      </c>
      <c r="B4" s="17">
        <v>9.6724537037037039E-2</v>
      </c>
      <c r="C4" s="15"/>
      <c r="D4" s="16">
        <v>34</v>
      </c>
      <c r="E4" s="17">
        <v>9.6192129629629627E-2</v>
      </c>
      <c r="F4" s="15"/>
      <c r="G4" s="13">
        <v>48</v>
      </c>
      <c r="H4" s="14">
        <v>0.10956018518518518</v>
      </c>
      <c r="I4" s="15"/>
      <c r="J4" s="16">
        <v>61</v>
      </c>
      <c r="K4" s="17">
        <v>0.12958333333333333</v>
      </c>
      <c r="L4" s="15"/>
      <c r="M4" s="16">
        <v>74</v>
      </c>
      <c r="N4" s="17">
        <v>0.15938657407407408</v>
      </c>
    </row>
    <row r="5" spans="1:14" ht="29.1" customHeight="1" thickBot="1" x14ac:dyDescent="0.75">
      <c r="A5" s="16">
        <v>21</v>
      </c>
      <c r="B5" s="17">
        <v>9.7812500000000011E-2</v>
      </c>
      <c r="C5" s="15"/>
      <c r="D5" s="16">
        <v>35</v>
      </c>
      <c r="E5" s="17">
        <v>9.5150462962962964E-2</v>
      </c>
      <c r="F5" s="15"/>
      <c r="G5" s="13">
        <v>49</v>
      </c>
      <c r="H5" s="14">
        <v>0.10436342592592592</v>
      </c>
      <c r="I5" s="15"/>
      <c r="J5" s="16">
        <v>62</v>
      </c>
      <c r="K5" s="17">
        <v>0.12644675925925927</v>
      </c>
      <c r="L5" s="15"/>
      <c r="M5" s="13">
        <v>75</v>
      </c>
      <c r="N5" s="14">
        <v>0.17059027777777777</v>
      </c>
    </row>
    <row r="6" spans="1:14" ht="29.1" customHeight="1" thickBot="1" x14ac:dyDescent="0.75">
      <c r="A6" s="13">
        <v>22</v>
      </c>
      <c r="B6" s="14">
        <v>9.7129629629629635E-2</v>
      </c>
      <c r="C6" s="15"/>
      <c r="D6" s="13">
        <v>36</v>
      </c>
      <c r="E6" s="14">
        <v>9.673611111111112E-2</v>
      </c>
      <c r="F6" s="15"/>
      <c r="G6" s="13">
        <v>50</v>
      </c>
      <c r="H6" s="14">
        <v>0.10491898148148149</v>
      </c>
      <c r="I6" s="15"/>
      <c r="J6" s="13">
        <v>63</v>
      </c>
      <c r="K6" s="14">
        <v>0.13041666666666665</v>
      </c>
      <c r="L6" s="15"/>
      <c r="M6" s="13">
        <v>76</v>
      </c>
      <c r="N6" s="14">
        <v>0.16229166666666667</v>
      </c>
    </row>
    <row r="7" spans="1:14" ht="29.1" customHeight="1" thickBot="1" x14ac:dyDescent="0.75">
      <c r="A7" s="16">
        <v>23</v>
      </c>
      <c r="B7" s="17">
        <v>9.7372685185185173E-2</v>
      </c>
      <c r="C7" s="15"/>
      <c r="D7" s="13">
        <v>37</v>
      </c>
      <c r="E7" s="14">
        <v>9.825231481481482E-2</v>
      </c>
      <c r="F7" s="15"/>
      <c r="G7" s="13">
        <v>51</v>
      </c>
      <c r="H7" s="14">
        <v>0.10817129629629629</v>
      </c>
      <c r="I7" s="15"/>
      <c r="J7" s="13">
        <v>64</v>
      </c>
      <c r="K7" s="14">
        <v>0.13840277777777779</v>
      </c>
      <c r="L7" s="15"/>
      <c r="M7" s="13">
        <v>77</v>
      </c>
      <c r="N7" s="14">
        <v>0.18364583333333331</v>
      </c>
    </row>
    <row r="8" spans="1:14" ht="29.1" customHeight="1" thickBot="1" x14ac:dyDescent="0.75">
      <c r="A8" s="16">
        <v>24</v>
      </c>
      <c r="B8" s="17">
        <v>9.5231481481481486E-2</v>
      </c>
      <c r="C8" s="15"/>
      <c r="D8" s="16">
        <v>38</v>
      </c>
      <c r="E8" s="17">
        <v>9.8125000000000004E-2</v>
      </c>
      <c r="F8" s="15"/>
      <c r="G8" s="13">
        <v>52</v>
      </c>
      <c r="H8" s="14">
        <v>0.11721064814814815</v>
      </c>
      <c r="I8" s="15"/>
      <c r="J8" s="13">
        <v>65</v>
      </c>
      <c r="K8" s="14">
        <v>0.13399305555555555</v>
      </c>
      <c r="L8" s="15"/>
      <c r="M8" s="16">
        <v>78</v>
      </c>
      <c r="N8" s="17">
        <v>0.18046296296296296</v>
      </c>
    </row>
    <row r="9" spans="1:14" ht="29.1" customHeight="1" thickBot="1" x14ac:dyDescent="0.75">
      <c r="A9" s="16">
        <v>25</v>
      </c>
      <c r="B9" s="18">
        <v>9.3101851851851838E-2</v>
      </c>
      <c r="C9" s="15"/>
      <c r="D9" s="16">
        <v>39</v>
      </c>
      <c r="E9" s="17">
        <v>9.8750000000000004E-2</v>
      </c>
      <c r="F9" s="15"/>
      <c r="G9" s="13">
        <v>53</v>
      </c>
      <c r="H9" s="14">
        <v>0.11655092592592593</v>
      </c>
      <c r="I9" s="15"/>
      <c r="J9" s="13">
        <v>66</v>
      </c>
      <c r="K9" s="14">
        <v>0.13825231481481481</v>
      </c>
      <c r="L9" s="15"/>
      <c r="M9" s="16">
        <v>79</v>
      </c>
      <c r="N9" s="17">
        <v>0.17488425925925924</v>
      </c>
    </row>
    <row r="10" spans="1:14" ht="29.1" customHeight="1" thickBot="1" x14ac:dyDescent="0.75">
      <c r="A10" s="13">
        <v>26</v>
      </c>
      <c r="B10" s="14">
        <v>9.7719907407407394E-2</v>
      </c>
      <c r="C10" s="15"/>
      <c r="D10" s="16">
        <v>40</v>
      </c>
      <c r="E10" s="17">
        <v>9.9664351851851851E-2</v>
      </c>
      <c r="F10" s="15"/>
      <c r="G10" s="16">
        <v>54</v>
      </c>
      <c r="H10" s="17">
        <v>0.12070601851851852</v>
      </c>
      <c r="I10" s="15"/>
      <c r="J10" s="16">
        <v>67</v>
      </c>
      <c r="K10" s="17">
        <v>0.13813657407407406</v>
      </c>
      <c r="L10" s="15"/>
      <c r="M10" s="13">
        <v>80</v>
      </c>
      <c r="N10" s="14">
        <v>0.17550925925925928</v>
      </c>
    </row>
    <row r="11" spans="1:14" ht="29.1" customHeight="1" thickBot="1" x14ac:dyDescent="0.75">
      <c r="A11" s="13">
        <v>27</v>
      </c>
      <c r="B11" s="14">
        <v>9.6666666666666665E-2</v>
      </c>
      <c r="C11" s="15"/>
      <c r="D11" s="16">
        <v>41</v>
      </c>
      <c r="E11" s="17">
        <v>9.8738425925925924E-2</v>
      </c>
      <c r="F11" s="15"/>
      <c r="G11" s="13">
        <v>55</v>
      </c>
      <c r="H11" s="14">
        <v>0.11960648148148149</v>
      </c>
      <c r="I11" s="15"/>
      <c r="J11" s="16">
        <v>68</v>
      </c>
      <c r="K11" s="17">
        <v>0.1386226851851852</v>
      </c>
      <c r="L11" s="15"/>
      <c r="M11" s="16">
        <v>81</v>
      </c>
      <c r="N11" s="17">
        <v>0.17188657407407407</v>
      </c>
    </row>
    <row r="12" spans="1:14" ht="29.1" customHeight="1" thickBot="1" x14ac:dyDescent="0.75">
      <c r="A12" s="13">
        <v>28</v>
      </c>
      <c r="B12" s="14">
        <v>9.5347222222222208E-2</v>
      </c>
      <c r="C12" s="15"/>
      <c r="D12" s="16">
        <v>42</v>
      </c>
      <c r="E12" s="17">
        <v>0.10012731481481481</v>
      </c>
      <c r="F12" s="15"/>
      <c r="G12" s="16">
        <v>56</v>
      </c>
      <c r="H12" s="17">
        <v>0.12157407407407407</v>
      </c>
      <c r="I12" s="15"/>
      <c r="J12" s="16">
        <v>69</v>
      </c>
      <c r="K12" s="17">
        <v>0.14561342592592594</v>
      </c>
      <c r="L12" s="15"/>
      <c r="M12" s="16">
        <v>82</v>
      </c>
      <c r="N12" s="17">
        <v>0.19032407407407406</v>
      </c>
    </row>
    <row r="13" spans="1:14" ht="29.1" customHeight="1" thickBot="1" x14ac:dyDescent="0.75">
      <c r="A13" s="13">
        <v>29</v>
      </c>
      <c r="B13" s="14">
        <v>9.403935185185186E-2</v>
      </c>
      <c r="C13" s="15"/>
      <c r="D13" s="13">
        <v>43</v>
      </c>
      <c r="E13" s="14">
        <v>0.10376157407407409</v>
      </c>
      <c r="F13" s="15"/>
      <c r="G13" s="13">
        <v>57</v>
      </c>
      <c r="H13" s="14">
        <v>0.12116898148148147</v>
      </c>
      <c r="I13" s="15"/>
      <c r="J13" s="16">
        <v>70</v>
      </c>
      <c r="K13" s="17">
        <v>0.14432870370370371</v>
      </c>
      <c r="L13" s="15"/>
      <c r="M13" s="16">
        <v>83</v>
      </c>
      <c r="N13" s="17">
        <v>0.2023611111111111</v>
      </c>
    </row>
    <row r="14" spans="1:14" ht="29.1" customHeight="1" thickBot="1" x14ac:dyDescent="0.75">
      <c r="A14" s="13">
        <v>30</v>
      </c>
      <c r="B14" s="14">
        <v>9.6261574074074083E-2</v>
      </c>
      <c r="C14" s="15"/>
      <c r="D14" s="13">
        <v>44</v>
      </c>
      <c r="E14" s="14">
        <v>0.10396990740740741</v>
      </c>
      <c r="F14" s="15"/>
      <c r="G14" s="13">
        <v>58</v>
      </c>
      <c r="H14" s="14">
        <v>0.12403935185185185</v>
      </c>
      <c r="I14" s="15"/>
      <c r="J14" s="16">
        <v>71</v>
      </c>
      <c r="K14" s="17">
        <v>0.14222222222222222</v>
      </c>
      <c r="L14" s="15"/>
      <c r="M14" s="13">
        <v>84</v>
      </c>
      <c r="N14" s="14">
        <v>0.23914351851851853</v>
      </c>
    </row>
    <row r="15" spans="1:14" ht="29.1" customHeight="1" thickBot="1" x14ac:dyDescent="1">
      <c r="A15" s="13">
        <v>31</v>
      </c>
      <c r="B15" s="14">
        <v>9.5625000000000002E-2</v>
      </c>
      <c r="C15" s="19"/>
      <c r="D15" s="16">
        <v>45</v>
      </c>
      <c r="E15" s="17">
        <v>0.10317129629629629</v>
      </c>
      <c r="F15" s="22"/>
      <c r="G15" s="23"/>
      <c r="H15" s="24"/>
      <c r="I15" s="25"/>
      <c r="J15" s="20"/>
      <c r="K15" s="24"/>
      <c r="L15" s="25"/>
      <c r="M15" s="26"/>
      <c r="N15" s="23"/>
    </row>
    <row r="16" spans="1:14" ht="34.799999999999997" customHeight="1" thickBot="1" x14ac:dyDescent="1">
      <c r="A16" s="20"/>
      <c r="B16" s="21"/>
      <c r="C16" s="22"/>
      <c r="D16" s="22"/>
      <c r="E16" s="22"/>
      <c r="F16" s="27"/>
      <c r="G16" s="74" t="s">
        <v>332</v>
      </c>
      <c r="H16" s="75"/>
      <c r="I16" s="76"/>
      <c r="J16" s="28"/>
      <c r="K16" s="77" t="s">
        <v>345</v>
      </c>
      <c r="L16" s="78"/>
      <c r="M16" s="78"/>
      <c r="N16" s="79"/>
    </row>
    <row r="105" spans="4:5" ht="29.1" customHeight="1" x14ac:dyDescent="0.55000000000000004">
      <c r="D105" s="2"/>
      <c r="E105" s="2"/>
    </row>
    <row r="106" spans="4:5" s="2" customFormat="1" ht="29.1" customHeight="1" x14ac:dyDescent="0.55000000000000004">
      <c r="D106"/>
      <c r="E106"/>
    </row>
    <row r="122" ht="30.9" customHeight="1" x14ac:dyDescent="0.55000000000000004"/>
  </sheetData>
  <mergeCells count="2">
    <mergeCell ref="G16:I16"/>
    <mergeCell ref="K16:N16"/>
  </mergeCells>
  <phoneticPr fontId="6"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68E1F-C863-455F-850D-BE3FAC6246EB}">
  <sheetPr codeName="Sheet1"/>
  <dimension ref="A1:K88"/>
  <sheetViews>
    <sheetView workbookViewId="0">
      <selection activeCell="C29" sqref="C29"/>
    </sheetView>
  </sheetViews>
  <sheetFormatPr defaultRowHeight="14.4" x14ac:dyDescent="0.55000000000000004"/>
  <cols>
    <col min="1" max="1" width="10.26171875" customWidth="1"/>
    <col min="2" max="2" width="12.05078125" customWidth="1"/>
    <col min="3" max="3" width="35.68359375" bestFit="1" customWidth="1"/>
    <col min="4" max="4" width="20.20703125" bestFit="1" customWidth="1"/>
    <col min="5" max="5" width="27.47265625" bestFit="1" customWidth="1"/>
    <col min="6" max="6" width="6" customWidth="1"/>
    <col min="7" max="7" width="18.47265625" customWidth="1"/>
    <col min="8" max="8" width="14.578125" bestFit="1" customWidth="1"/>
    <col min="9" max="9" width="12.1015625" customWidth="1"/>
    <col min="10" max="10" width="16" bestFit="1" customWidth="1"/>
    <col min="11" max="11" width="9.7890625" customWidth="1"/>
    <col min="12" max="12" width="7.20703125" bestFit="1" customWidth="1"/>
    <col min="13" max="13" width="5.26171875" bestFit="1" customWidth="1"/>
    <col min="14" max="14" width="4.68359375" bestFit="1" customWidth="1"/>
    <col min="15" max="15" width="10.68359375" customWidth="1"/>
    <col min="16" max="16" width="13.5234375" customWidth="1"/>
    <col min="17" max="17" width="9.3671875" bestFit="1" customWidth="1"/>
    <col min="18" max="18" width="16.68359375" bestFit="1" customWidth="1"/>
    <col min="19" max="19" width="11.83984375" customWidth="1"/>
    <col min="20" max="20" width="6.734375" bestFit="1" customWidth="1"/>
    <col min="21" max="21" width="13.68359375" bestFit="1" customWidth="1"/>
    <col min="22" max="22" width="4.83984375" bestFit="1" customWidth="1"/>
    <col min="23" max="23" width="6.734375" bestFit="1" customWidth="1"/>
    <col min="24" max="24" width="18" bestFit="1" customWidth="1"/>
    <col min="25" max="25" width="4" bestFit="1" customWidth="1"/>
    <col min="26" max="26" width="2.68359375" bestFit="1" customWidth="1"/>
    <col min="27" max="27" width="8.15625" bestFit="1" customWidth="1"/>
    <col min="28" max="28" width="14" bestFit="1" customWidth="1"/>
    <col min="29" max="29" width="4.83984375" bestFit="1" customWidth="1"/>
    <col min="30" max="30" width="6.734375" bestFit="1" customWidth="1"/>
    <col min="31" max="31" width="12.7890625" bestFit="1" customWidth="1"/>
    <col min="32" max="32" width="3.9453125" bestFit="1" customWidth="1"/>
    <col min="33" max="33" width="2.68359375" bestFit="1" customWidth="1"/>
    <col min="34" max="34" width="9.15625" bestFit="1" customWidth="1"/>
    <col min="35" max="35" width="12.41796875" bestFit="1" customWidth="1"/>
    <col min="36" max="36" width="4.83984375" bestFit="1" customWidth="1"/>
    <col min="37" max="37" width="6.68359375" bestFit="1" customWidth="1"/>
    <col min="38" max="38" width="12.15625" bestFit="1" customWidth="1"/>
    <col min="39" max="39" width="3.578125" bestFit="1" customWidth="1"/>
    <col min="40" max="40" width="2.68359375" bestFit="1" customWidth="1"/>
    <col min="41" max="41" width="9.15625" bestFit="1" customWidth="1"/>
    <col min="42" max="42" width="10.83984375" bestFit="1" customWidth="1"/>
    <col min="43" max="43" width="4.83984375" bestFit="1" customWidth="1"/>
    <col min="44" max="44" width="6.734375" bestFit="1" customWidth="1"/>
    <col min="45" max="45" width="11.62890625" bestFit="1" customWidth="1"/>
    <col min="46" max="46" width="3.578125" bestFit="1" customWidth="1"/>
    <col min="47" max="47" width="2.68359375" bestFit="1" customWidth="1"/>
    <col min="48" max="48" width="8.15625" bestFit="1" customWidth="1"/>
    <col min="49" max="49" width="9.3125" bestFit="1" customWidth="1"/>
    <col min="50" max="50" width="4.83984375" bestFit="1" customWidth="1"/>
    <col min="51" max="51" width="6.734375" bestFit="1" customWidth="1"/>
    <col min="52" max="52" width="11.68359375" bestFit="1" customWidth="1"/>
    <col min="53" max="53" width="3.89453125" bestFit="1" customWidth="1"/>
    <col min="54" max="54" width="2.68359375" bestFit="1" customWidth="1"/>
    <col min="55" max="55" width="8.15625" bestFit="1" customWidth="1"/>
    <col min="56" max="56" width="9.15625" bestFit="1" customWidth="1"/>
    <col min="57" max="57" width="4.83984375" bestFit="1" customWidth="1"/>
    <col min="58" max="58" width="6.734375" bestFit="1" customWidth="1"/>
    <col min="59" max="59" width="11.15625" bestFit="1" customWidth="1"/>
    <col min="60" max="60" width="3.578125" bestFit="1" customWidth="1"/>
    <col min="61" max="61" width="2.68359375" bestFit="1" customWidth="1"/>
    <col min="62" max="62" width="8.15625" bestFit="1" customWidth="1"/>
    <col min="63" max="63" width="11.3125" bestFit="1" customWidth="1"/>
    <col min="64" max="64" width="4.83984375" bestFit="1" customWidth="1"/>
    <col min="65" max="65" width="6.734375" bestFit="1" customWidth="1"/>
    <col min="66" max="66" width="11.15625" bestFit="1" customWidth="1"/>
    <col min="67" max="67" width="3.578125" bestFit="1" customWidth="1"/>
    <col min="68" max="68" width="2.68359375" bestFit="1" customWidth="1"/>
    <col min="69" max="69" width="8.15625" bestFit="1" customWidth="1"/>
    <col min="70" max="70" width="9.3125" bestFit="1" customWidth="1"/>
    <col min="71" max="71" width="4.83984375" bestFit="1" customWidth="1"/>
    <col min="72" max="72" width="6.734375" bestFit="1" customWidth="1"/>
    <col min="73" max="73" width="15.89453125" bestFit="1" customWidth="1"/>
    <col min="74" max="74" width="4.1015625" bestFit="1" customWidth="1"/>
    <col min="75" max="75" width="2.68359375" bestFit="1" customWidth="1"/>
    <col min="76" max="76" width="9.15625" bestFit="1" customWidth="1"/>
    <col min="77" max="77" width="12" bestFit="1" customWidth="1"/>
    <col min="78" max="78" width="4.83984375" bestFit="1" customWidth="1"/>
    <col min="79" max="79" width="6.734375" bestFit="1" customWidth="1"/>
    <col min="80" max="80" width="12.578125" bestFit="1" customWidth="1"/>
    <col min="81" max="81" width="3.9453125" bestFit="1" customWidth="1"/>
    <col min="82" max="82" width="2.68359375" bestFit="1" customWidth="1"/>
    <col min="83" max="83" width="8.15625" bestFit="1" customWidth="1"/>
    <col min="84" max="84" width="11.578125" bestFit="1" customWidth="1"/>
  </cols>
  <sheetData>
    <row r="1" spans="1:8" x14ac:dyDescent="0.55000000000000004">
      <c r="A1" t="s">
        <v>325</v>
      </c>
    </row>
    <row r="2" spans="1:8" x14ac:dyDescent="0.55000000000000004">
      <c r="A2" s="3" t="s">
        <v>324</v>
      </c>
    </row>
    <row r="3" spans="1:8" x14ac:dyDescent="0.55000000000000004">
      <c r="A3" t="s">
        <v>344</v>
      </c>
    </row>
    <row r="4" spans="1:8" x14ac:dyDescent="0.55000000000000004">
      <c r="A4" t="s">
        <v>343</v>
      </c>
    </row>
    <row r="6" spans="1:8" x14ac:dyDescent="0.55000000000000004">
      <c r="A6" s="80" t="s">
        <v>323</v>
      </c>
      <c r="B6" s="80"/>
      <c r="C6" s="80"/>
      <c r="D6" s="80"/>
      <c r="E6" s="80"/>
      <c r="F6" s="80"/>
      <c r="G6" s="80"/>
      <c r="H6" s="80"/>
    </row>
    <row r="7" spans="1:8" x14ac:dyDescent="0.55000000000000004">
      <c r="A7" t="s">
        <v>184</v>
      </c>
      <c r="B7" t="s">
        <v>322</v>
      </c>
      <c r="C7" t="s">
        <v>182</v>
      </c>
      <c r="D7" t="s">
        <v>265</v>
      </c>
      <c r="E7" t="s">
        <v>321</v>
      </c>
      <c r="F7" t="s">
        <v>183</v>
      </c>
      <c r="G7" t="s">
        <v>320</v>
      </c>
      <c r="H7" t="s">
        <v>319</v>
      </c>
    </row>
    <row r="8" spans="1:8" x14ac:dyDescent="0.55000000000000004">
      <c r="A8" t="s">
        <v>2</v>
      </c>
      <c r="B8">
        <v>35</v>
      </c>
      <c r="C8" s="8">
        <v>9.6759259259259253E-2</v>
      </c>
      <c r="D8" t="s">
        <v>318</v>
      </c>
      <c r="E8" t="s">
        <v>304</v>
      </c>
      <c r="F8">
        <v>36</v>
      </c>
      <c r="G8" s="7">
        <v>39719</v>
      </c>
      <c r="H8" t="s">
        <v>289</v>
      </c>
    </row>
    <row r="9" spans="1:8" x14ac:dyDescent="0.55000000000000004">
      <c r="A9" t="s">
        <v>2</v>
      </c>
      <c r="B9">
        <v>40</v>
      </c>
      <c r="C9" s="8">
        <v>9.8923611111111101E-2</v>
      </c>
      <c r="D9" t="s">
        <v>317</v>
      </c>
      <c r="E9" t="s">
        <v>316</v>
      </c>
      <c r="F9">
        <v>40</v>
      </c>
      <c r="G9" s="7">
        <v>42071</v>
      </c>
      <c r="H9" t="s">
        <v>315</v>
      </c>
    </row>
    <row r="10" spans="1:8" x14ac:dyDescent="0.55000000000000004">
      <c r="A10" t="s">
        <v>2</v>
      </c>
      <c r="B10">
        <v>45</v>
      </c>
      <c r="C10" s="8">
        <v>0.10347222222222223</v>
      </c>
      <c r="D10" t="s">
        <v>313</v>
      </c>
      <c r="E10" t="s">
        <v>312</v>
      </c>
      <c r="F10">
        <v>46</v>
      </c>
      <c r="G10" s="7">
        <v>37542</v>
      </c>
      <c r="H10" t="s">
        <v>314</v>
      </c>
    </row>
    <row r="11" spans="1:8" x14ac:dyDescent="0.55000000000000004">
      <c r="A11" t="s">
        <v>2</v>
      </c>
      <c r="B11">
        <v>50</v>
      </c>
      <c r="C11" s="8">
        <v>0.10491898148148149</v>
      </c>
      <c r="D11" t="s">
        <v>313</v>
      </c>
      <c r="E11" t="s">
        <v>312</v>
      </c>
      <c r="F11">
        <v>50</v>
      </c>
      <c r="G11" s="7">
        <v>38417</v>
      </c>
      <c r="H11" t="s">
        <v>271</v>
      </c>
    </row>
    <row r="12" spans="1:8" x14ac:dyDescent="0.55000000000000004">
      <c r="A12" t="s">
        <v>2</v>
      </c>
      <c r="B12">
        <v>55</v>
      </c>
      <c r="C12" s="8">
        <v>0.11851851851851852</v>
      </c>
      <c r="D12" t="s">
        <v>311</v>
      </c>
      <c r="E12" t="s">
        <v>272</v>
      </c>
      <c r="F12">
        <v>56</v>
      </c>
      <c r="G12" s="7">
        <v>43772</v>
      </c>
      <c r="H12" t="s">
        <v>310</v>
      </c>
    </row>
    <row r="13" spans="1:8" x14ac:dyDescent="0.55000000000000004">
      <c r="A13" t="s">
        <v>2</v>
      </c>
      <c r="B13">
        <v>60</v>
      </c>
      <c r="C13" s="8">
        <v>0.12284722222222222</v>
      </c>
      <c r="D13" t="s">
        <v>309</v>
      </c>
      <c r="E13" t="s">
        <v>282</v>
      </c>
      <c r="F13">
        <v>61</v>
      </c>
      <c r="G13" s="7">
        <v>43807</v>
      </c>
      <c r="H13" t="s">
        <v>308</v>
      </c>
    </row>
    <row r="14" spans="1:8" x14ac:dyDescent="0.55000000000000004">
      <c r="A14" t="s">
        <v>2</v>
      </c>
      <c r="B14">
        <v>65</v>
      </c>
      <c r="C14" s="8">
        <v>0.13045138888888888</v>
      </c>
      <c r="D14" t="s">
        <v>307</v>
      </c>
      <c r="E14" t="s">
        <v>282</v>
      </c>
      <c r="F14">
        <v>65</v>
      </c>
      <c r="G14" s="7">
        <v>43814</v>
      </c>
      <c r="H14" t="s">
        <v>306</v>
      </c>
    </row>
    <row r="15" spans="1:8" x14ac:dyDescent="0.55000000000000004">
      <c r="A15" t="s">
        <v>2</v>
      </c>
      <c r="B15">
        <v>70</v>
      </c>
      <c r="C15" s="8">
        <v>0.14964120370370371</v>
      </c>
      <c r="D15" t="s">
        <v>305</v>
      </c>
      <c r="E15" t="s">
        <v>304</v>
      </c>
      <c r="F15">
        <v>71</v>
      </c>
      <c r="G15" s="7">
        <v>41560</v>
      </c>
      <c r="H15" t="s">
        <v>303</v>
      </c>
    </row>
    <row r="16" spans="1:8" x14ac:dyDescent="0.55000000000000004">
      <c r="A16" t="s">
        <v>2</v>
      </c>
      <c r="B16">
        <v>75</v>
      </c>
      <c r="C16" s="8">
        <v>0.16229166666666667</v>
      </c>
      <c r="D16" t="s">
        <v>301</v>
      </c>
      <c r="E16" t="s">
        <v>282</v>
      </c>
      <c r="F16">
        <v>76</v>
      </c>
      <c r="G16" s="7">
        <v>41236</v>
      </c>
      <c r="H16" t="s">
        <v>302</v>
      </c>
    </row>
    <row r="17" spans="1:8" x14ac:dyDescent="0.55000000000000004">
      <c r="A17" t="s">
        <v>2</v>
      </c>
      <c r="B17">
        <v>80</v>
      </c>
      <c r="C17" s="8">
        <v>0.17482638888888891</v>
      </c>
      <c r="D17" t="s">
        <v>301</v>
      </c>
      <c r="E17" t="s">
        <v>282</v>
      </c>
      <c r="F17">
        <v>80</v>
      </c>
      <c r="G17" s="7">
        <v>42792</v>
      </c>
      <c r="H17" t="s">
        <v>300</v>
      </c>
    </row>
    <row r="18" spans="1:8" x14ac:dyDescent="0.55000000000000004">
      <c r="A18" t="s">
        <v>2</v>
      </c>
      <c r="B18">
        <v>85</v>
      </c>
      <c r="C18" s="8">
        <v>0.21835648148148148</v>
      </c>
      <c r="D18" t="s">
        <v>299</v>
      </c>
      <c r="E18" t="s">
        <v>275</v>
      </c>
      <c r="F18">
        <v>85</v>
      </c>
      <c r="G18" s="7">
        <v>41252</v>
      </c>
      <c r="H18" t="s">
        <v>298</v>
      </c>
    </row>
    <row r="19" spans="1:8" x14ac:dyDescent="0.55000000000000004">
      <c r="A19" t="s">
        <v>2</v>
      </c>
      <c r="B19">
        <v>90</v>
      </c>
      <c r="C19" s="8">
        <v>0.37023148148148149</v>
      </c>
      <c r="D19" t="s">
        <v>297</v>
      </c>
      <c r="E19" t="s">
        <v>272</v>
      </c>
      <c r="F19">
        <v>90</v>
      </c>
      <c r="G19" s="7">
        <v>35701</v>
      </c>
      <c r="H19" t="s">
        <v>296</v>
      </c>
    </row>
    <row r="20" spans="1:8" x14ac:dyDescent="0.55000000000000004">
      <c r="A20" t="s">
        <v>98</v>
      </c>
      <c r="B20">
        <v>35</v>
      </c>
      <c r="C20" s="8">
        <v>8.6099537037037044E-2</v>
      </c>
      <c r="D20" t="s">
        <v>295</v>
      </c>
      <c r="E20" t="s">
        <v>294</v>
      </c>
      <c r="F20">
        <v>35</v>
      </c>
      <c r="G20" s="7">
        <v>39719</v>
      </c>
      <c r="H20" t="s">
        <v>289</v>
      </c>
    </row>
    <row r="21" spans="1:8" x14ac:dyDescent="0.55000000000000004">
      <c r="A21" t="s">
        <v>98</v>
      </c>
      <c r="B21">
        <v>40</v>
      </c>
      <c r="C21" s="8">
        <v>8.9421296296296304E-2</v>
      </c>
      <c r="D21" t="s">
        <v>293</v>
      </c>
      <c r="E21" t="s">
        <v>292</v>
      </c>
      <c r="F21">
        <v>40</v>
      </c>
      <c r="G21" s="7">
        <v>37892</v>
      </c>
      <c r="H21" t="s">
        <v>289</v>
      </c>
    </row>
    <row r="22" spans="1:8" x14ac:dyDescent="0.55000000000000004">
      <c r="A22" t="s">
        <v>98</v>
      </c>
      <c r="B22">
        <v>45</v>
      </c>
      <c r="C22" s="8">
        <v>9.4340277777777773E-2</v>
      </c>
      <c r="D22" t="s">
        <v>291</v>
      </c>
      <c r="E22" t="s">
        <v>290</v>
      </c>
      <c r="F22">
        <v>45</v>
      </c>
      <c r="G22" s="7">
        <v>33510</v>
      </c>
      <c r="H22" t="s">
        <v>289</v>
      </c>
    </row>
    <row r="23" spans="1:8" x14ac:dyDescent="0.55000000000000004">
      <c r="A23" t="s">
        <v>98</v>
      </c>
      <c r="B23">
        <v>50</v>
      </c>
      <c r="C23" s="8">
        <v>9.6863425925925936E-2</v>
      </c>
      <c r="D23" t="s">
        <v>288</v>
      </c>
      <c r="E23" t="s">
        <v>287</v>
      </c>
      <c r="F23">
        <v>50</v>
      </c>
      <c r="G23" s="7">
        <v>33439</v>
      </c>
      <c r="H23" t="s">
        <v>286</v>
      </c>
    </row>
    <row r="24" spans="1:8" x14ac:dyDescent="0.55000000000000004">
      <c r="A24" t="s">
        <v>98</v>
      </c>
      <c r="B24">
        <v>55</v>
      </c>
      <c r="C24" s="8">
        <v>0.1013425925925926</v>
      </c>
      <c r="D24" t="s">
        <v>285</v>
      </c>
      <c r="E24" t="s">
        <v>284</v>
      </c>
      <c r="F24">
        <v>55</v>
      </c>
      <c r="G24" s="7">
        <v>31521</v>
      </c>
      <c r="H24" t="s">
        <v>277</v>
      </c>
    </row>
    <row r="25" spans="1:8" x14ac:dyDescent="0.55000000000000004">
      <c r="A25" t="s">
        <v>98</v>
      </c>
      <c r="B25">
        <v>60</v>
      </c>
      <c r="C25" s="8">
        <v>0.10868055555555556</v>
      </c>
      <c r="D25" t="s">
        <v>283</v>
      </c>
      <c r="E25" t="s">
        <v>282</v>
      </c>
      <c r="F25">
        <v>60</v>
      </c>
      <c r="G25" s="7">
        <v>39845</v>
      </c>
      <c r="H25" t="s">
        <v>281</v>
      </c>
    </row>
    <row r="26" spans="1:8" x14ac:dyDescent="0.55000000000000004">
      <c r="A26" t="s">
        <v>98</v>
      </c>
      <c r="B26">
        <v>65</v>
      </c>
      <c r="C26" s="8">
        <v>0.11246527777777778</v>
      </c>
      <c r="D26" t="s">
        <v>280</v>
      </c>
      <c r="E26" t="s">
        <v>279</v>
      </c>
      <c r="F26">
        <v>65</v>
      </c>
      <c r="G26" s="7">
        <v>33706</v>
      </c>
      <c r="H26" t="s">
        <v>278</v>
      </c>
    </row>
    <row r="27" spans="1:8" x14ac:dyDescent="0.55000000000000004">
      <c r="A27" t="s">
        <v>98</v>
      </c>
      <c r="B27">
        <v>70</v>
      </c>
      <c r="C27" s="8">
        <v>0.12138888888888888</v>
      </c>
      <c r="D27" t="s">
        <v>276</v>
      </c>
      <c r="E27" t="s">
        <v>275</v>
      </c>
      <c r="F27">
        <v>73</v>
      </c>
      <c r="G27" s="7">
        <v>38256</v>
      </c>
      <c r="H27" t="s">
        <v>274</v>
      </c>
    </row>
    <row r="28" spans="1:8" x14ac:dyDescent="0.55000000000000004">
      <c r="A28" t="s">
        <v>98</v>
      </c>
      <c r="B28">
        <v>75</v>
      </c>
      <c r="C28" s="8">
        <v>0.12840277777777778</v>
      </c>
      <c r="D28" t="s">
        <v>276</v>
      </c>
      <c r="E28" t="s">
        <v>275</v>
      </c>
      <c r="F28">
        <v>76</v>
      </c>
      <c r="G28" s="7">
        <v>39187</v>
      </c>
      <c r="H28" t="s">
        <v>277</v>
      </c>
    </row>
    <row r="29" spans="1:8" x14ac:dyDescent="0.55000000000000004">
      <c r="A29" t="s">
        <v>98</v>
      </c>
      <c r="B29">
        <v>80</v>
      </c>
      <c r="C29" s="8">
        <v>0.13604166666666667</v>
      </c>
      <c r="D29" t="s">
        <v>276</v>
      </c>
      <c r="E29" t="s">
        <v>275</v>
      </c>
      <c r="F29">
        <v>80</v>
      </c>
      <c r="G29" s="7">
        <v>40832</v>
      </c>
      <c r="H29" t="s">
        <v>274</v>
      </c>
    </row>
    <row r="30" spans="1:8" x14ac:dyDescent="0.55000000000000004">
      <c r="A30" t="s">
        <v>98</v>
      </c>
      <c r="B30">
        <v>85</v>
      </c>
      <c r="C30" s="8">
        <v>0.1642824074074074</v>
      </c>
      <c r="D30" t="s">
        <v>276</v>
      </c>
      <c r="E30" t="s">
        <v>275</v>
      </c>
      <c r="F30">
        <v>85</v>
      </c>
      <c r="G30" s="7">
        <v>42659</v>
      </c>
      <c r="H30" t="s">
        <v>274</v>
      </c>
    </row>
    <row r="31" spans="1:8" x14ac:dyDescent="0.55000000000000004">
      <c r="A31" t="s">
        <v>98</v>
      </c>
      <c r="B31">
        <v>90</v>
      </c>
      <c r="C31" s="8">
        <v>0.28233796296296299</v>
      </c>
      <c r="D31" t="s">
        <v>273</v>
      </c>
      <c r="E31" t="s">
        <v>272</v>
      </c>
      <c r="F31">
        <v>92</v>
      </c>
      <c r="G31" s="7">
        <v>38417</v>
      </c>
      <c r="H31" t="s">
        <v>271</v>
      </c>
    </row>
    <row r="33" spans="1:11" x14ac:dyDescent="0.55000000000000004">
      <c r="A33" t="s">
        <v>270</v>
      </c>
    </row>
    <row r="34" spans="1:11" x14ac:dyDescent="0.55000000000000004">
      <c r="A34" s="3" t="s">
        <v>269</v>
      </c>
    </row>
    <row r="35" spans="1:11" x14ac:dyDescent="0.55000000000000004">
      <c r="A35" t="s">
        <v>268</v>
      </c>
    </row>
    <row r="37" spans="1:11" x14ac:dyDescent="0.55000000000000004">
      <c r="A37" s="6" t="s">
        <v>267</v>
      </c>
      <c r="G37" s="6" t="s">
        <v>266</v>
      </c>
    </row>
    <row r="38" spans="1:11" x14ac:dyDescent="0.55000000000000004">
      <c r="A38" s="5" t="s">
        <v>265</v>
      </c>
      <c r="B38" s="5" t="s">
        <v>182</v>
      </c>
      <c r="C38" s="5" t="s">
        <v>208</v>
      </c>
      <c r="D38" s="5" t="s">
        <v>207</v>
      </c>
      <c r="E38" s="5" t="s">
        <v>264</v>
      </c>
      <c r="G38" s="5" t="s">
        <v>210</v>
      </c>
      <c r="H38" s="5" t="s">
        <v>182</v>
      </c>
      <c r="I38" s="5" t="s">
        <v>208</v>
      </c>
      <c r="J38" s="5" t="s">
        <v>207</v>
      </c>
      <c r="K38" t="s">
        <v>206</v>
      </c>
    </row>
    <row r="39" spans="1:11" x14ac:dyDescent="0.55000000000000004">
      <c r="A39" t="s">
        <v>263</v>
      </c>
      <c r="B39" s="1">
        <v>8.4479166666666661E-2</v>
      </c>
      <c r="C39" s="4">
        <v>3.2222222222222218E-3</v>
      </c>
      <c r="D39" t="s">
        <v>187</v>
      </c>
      <c r="E39">
        <v>2018</v>
      </c>
      <c r="G39" t="s">
        <v>193</v>
      </c>
      <c r="H39" s="1">
        <v>9.3101851851851838E-2</v>
      </c>
      <c r="I39" s="4">
        <v>3.5509259259259261E-3</v>
      </c>
      <c r="J39" t="s">
        <v>192</v>
      </c>
      <c r="K39">
        <v>2019</v>
      </c>
    </row>
    <row r="40" spans="1:11" x14ac:dyDescent="0.55000000000000004">
      <c r="A40" t="s">
        <v>262</v>
      </c>
      <c r="B40" s="1">
        <v>8.4502314814814808E-2</v>
      </c>
      <c r="C40" s="4">
        <v>3.2233796296296299E-3</v>
      </c>
      <c r="D40" t="s">
        <v>187</v>
      </c>
      <c r="E40">
        <v>2019</v>
      </c>
      <c r="G40" t="s">
        <v>261</v>
      </c>
      <c r="H40" s="1">
        <v>9.403935185185186E-2</v>
      </c>
      <c r="I40" s="4">
        <v>3.5868055555555553E-3</v>
      </c>
      <c r="J40" t="s">
        <v>195</v>
      </c>
      <c r="K40">
        <v>2003</v>
      </c>
    </row>
    <row r="41" spans="1:11" x14ac:dyDescent="0.55000000000000004">
      <c r="A41" t="s">
        <v>223</v>
      </c>
      <c r="B41" s="1">
        <v>8.5277777777777786E-2</v>
      </c>
      <c r="C41" s="4">
        <v>3.2523148148148151E-3</v>
      </c>
      <c r="D41" t="s">
        <v>187</v>
      </c>
      <c r="E41">
        <v>2019</v>
      </c>
      <c r="G41" t="s">
        <v>260</v>
      </c>
      <c r="H41" s="1">
        <v>9.5150462962962964E-2</v>
      </c>
      <c r="I41" s="4">
        <v>3.6296296296296298E-3</v>
      </c>
      <c r="J41" t="s">
        <v>195</v>
      </c>
      <c r="K41">
        <v>2017</v>
      </c>
    </row>
    <row r="42" spans="1:11" x14ac:dyDescent="0.55000000000000004">
      <c r="A42" t="s">
        <v>221</v>
      </c>
      <c r="B42" s="1">
        <v>8.5358796296296294E-2</v>
      </c>
      <c r="C42" s="4">
        <v>3.2557870370370375E-3</v>
      </c>
      <c r="D42" t="s">
        <v>195</v>
      </c>
      <c r="E42">
        <v>2019</v>
      </c>
      <c r="G42" t="s">
        <v>222</v>
      </c>
      <c r="H42" s="1">
        <v>9.5231481481481486E-2</v>
      </c>
      <c r="I42" s="4">
        <v>3.6319444444444446E-3</v>
      </c>
      <c r="J42" t="s">
        <v>219</v>
      </c>
      <c r="K42">
        <v>2019</v>
      </c>
    </row>
    <row r="43" spans="1:11" x14ac:dyDescent="0.55000000000000004">
      <c r="A43" t="s">
        <v>189</v>
      </c>
      <c r="B43" s="1">
        <v>8.5381944444444455E-2</v>
      </c>
      <c r="C43" s="4">
        <v>3.2569444444444443E-3</v>
      </c>
      <c r="D43" t="s">
        <v>187</v>
      </c>
      <c r="E43">
        <v>2014</v>
      </c>
      <c r="G43" t="s">
        <v>220</v>
      </c>
      <c r="H43" s="1">
        <v>9.5613425925925921E-2</v>
      </c>
      <c r="I43" s="4">
        <v>3.646990740740741E-3</v>
      </c>
      <c r="J43" t="s">
        <v>219</v>
      </c>
      <c r="K43">
        <v>2019</v>
      </c>
    </row>
    <row r="44" spans="1:11" x14ac:dyDescent="0.55000000000000004">
      <c r="A44" t="s">
        <v>259</v>
      </c>
      <c r="B44" s="1">
        <v>8.5567129629629632E-2</v>
      </c>
      <c r="C44" s="4">
        <v>3.2638888888888891E-3</v>
      </c>
      <c r="D44" t="s">
        <v>187</v>
      </c>
      <c r="E44">
        <v>2016</v>
      </c>
      <c r="G44" t="s">
        <v>217</v>
      </c>
      <c r="H44" s="1">
        <v>9.5659722222222229E-2</v>
      </c>
      <c r="I44" s="4">
        <v>3.6481481481481482E-3</v>
      </c>
      <c r="J44" t="s">
        <v>216</v>
      </c>
      <c r="K44">
        <v>2020</v>
      </c>
    </row>
    <row r="45" spans="1:11" x14ac:dyDescent="0.55000000000000004">
      <c r="A45" t="s">
        <v>214</v>
      </c>
      <c r="B45" s="1">
        <v>8.5567129629629632E-2</v>
      </c>
      <c r="C45" s="4">
        <v>3.2638888888888891E-3</v>
      </c>
      <c r="D45" t="s">
        <v>187</v>
      </c>
      <c r="E45">
        <v>2014</v>
      </c>
      <c r="G45" t="s">
        <v>215</v>
      </c>
      <c r="H45" s="1">
        <v>9.5787037037037046E-2</v>
      </c>
      <c r="I45" s="4">
        <v>3.6539351851851854E-3</v>
      </c>
      <c r="J45" t="s">
        <v>195</v>
      </c>
      <c r="K45">
        <v>2017</v>
      </c>
    </row>
    <row r="46" spans="1:11" x14ac:dyDescent="0.55000000000000004">
      <c r="A46" t="s">
        <v>258</v>
      </c>
      <c r="B46" s="1">
        <v>8.560185185185186E-2</v>
      </c>
      <c r="C46" s="4">
        <v>3.2650462962962958E-3</v>
      </c>
      <c r="D46" t="s">
        <v>195</v>
      </c>
      <c r="E46">
        <v>2019</v>
      </c>
      <c r="G46" t="s">
        <v>213</v>
      </c>
      <c r="H46" s="1">
        <v>9.5960648148148142E-2</v>
      </c>
      <c r="I46" s="4">
        <v>3.6597222222222222E-3</v>
      </c>
      <c r="J46" t="s">
        <v>187</v>
      </c>
      <c r="K46">
        <v>2018</v>
      </c>
    </row>
    <row r="47" spans="1:11" x14ac:dyDescent="0.55000000000000004">
      <c r="A47" t="s">
        <v>257</v>
      </c>
      <c r="B47" s="1">
        <v>8.5810185185185184E-2</v>
      </c>
      <c r="C47" s="4">
        <v>3.2638888888888891E-3</v>
      </c>
      <c r="D47" t="s">
        <v>219</v>
      </c>
      <c r="E47">
        <v>2019</v>
      </c>
      <c r="G47" t="s">
        <v>256</v>
      </c>
      <c r="H47" s="1">
        <v>9.6180555555555561E-2</v>
      </c>
      <c r="I47" s="4">
        <v>3.670138888888889E-3</v>
      </c>
      <c r="J47" t="s">
        <v>255</v>
      </c>
      <c r="K47">
        <v>2019</v>
      </c>
    </row>
    <row r="48" spans="1:11" x14ac:dyDescent="0.55000000000000004">
      <c r="A48" t="s">
        <v>254</v>
      </c>
      <c r="B48" s="1">
        <v>8.5833333333333331E-2</v>
      </c>
      <c r="C48" s="4">
        <v>3.274305555555555E-3</v>
      </c>
      <c r="D48" t="s">
        <v>187</v>
      </c>
      <c r="E48">
        <v>2019</v>
      </c>
      <c r="G48" t="s">
        <v>253</v>
      </c>
      <c r="H48" s="1">
        <v>9.6192129629629627E-2</v>
      </c>
      <c r="I48" s="4">
        <v>3.670138888888889E-3</v>
      </c>
      <c r="J48" t="s">
        <v>195</v>
      </c>
      <c r="K48">
        <v>2018</v>
      </c>
    </row>
    <row r="50" spans="1:11" x14ac:dyDescent="0.55000000000000004">
      <c r="A50" s="6" t="s">
        <v>252</v>
      </c>
      <c r="G50" s="6" t="s">
        <v>251</v>
      </c>
    </row>
    <row r="51" spans="1:11" x14ac:dyDescent="0.55000000000000004">
      <c r="A51" s="5" t="s">
        <v>210</v>
      </c>
      <c r="B51" s="5" t="s">
        <v>209</v>
      </c>
      <c r="C51" s="5" t="s">
        <v>208</v>
      </c>
      <c r="D51" s="5" t="s">
        <v>207</v>
      </c>
      <c r="E51" s="5" t="s">
        <v>206</v>
      </c>
      <c r="G51" s="5" t="s">
        <v>210</v>
      </c>
      <c r="H51" s="5" t="s">
        <v>209</v>
      </c>
      <c r="I51" s="5" t="s">
        <v>208</v>
      </c>
      <c r="J51" s="5" t="s">
        <v>207</v>
      </c>
      <c r="K51" s="5" t="s">
        <v>206</v>
      </c>
    </row>
    <row r="52" spans="1:11" x14ac:dyDescent="0.55000000000000004">
      <c r="A52" t="s">
        <v>250</v>
      </c>
      <c r="B52" s="1">
        <v>8.7245370370370376E-2</v>
      </c>
      <c r="C52" s="4">
        <v>3.3275462962962968E-3</v>
      </c>
      <c r="D52" t="s">
        <v>195</v>
      </c>
      <c r="E52">
        <v>2002</v>
      </c>
      <c r="G52" t="s">
        <v>249</v>
      </c>
      <c r="H52" s="1">
        <v>9.6944444444444444E-2</v>
      </c>
      <c r="I52" s="4">
        <v>3.6979166666666671E-3</v>
      </c>
      <c r="J52" t="s">
        <v>195</v>
      </c>
      <c r="K52">
        <v>2006</v>
      </c>
    </row>
    <row r="53" spans="1:11" x14ac:dyDescent="0.55000000000000004">
      <c r="A53" t="s">
        <v>248</v>
      </c>
      <c r="B53" s="1">
        <v>8.7581018518518516E-2</v>
      </c>
      <c r="C53" s="4">
        <v>3.3402777777777784E-3</v>
      </c>
      <c r="D53" t="s">
        <v>247</v>
      </c>
      <c r="E53">
        <v>2018</v>
      </c>
      <c r="G53" t="s">
        <v>246</v>
      </c>
      <c r="H53" s="1">
        <v>9.7881944444444438E-2</v>
      </c>
      <c r="I53" s="4">
        <v>3.7349537037037034E-3</v>
      </c>
      <c r="J53" t="s">
        <v>192</v>
      </c>
      <c r="K53">
        <v>2017</v>
      </c>
    </row>
    <row r="54" spans="1:11" x14ac:dyDescent="0.55000000000000004">
      <c r="A54" t="s">
        <v>245</v>
      </c>
      <c r="B54" s="1">
        <v>8.7696759259259252E-2</v>
      </c>
      <c r="C54" s="4">
        <v>3.3449074074074071E-3</v>
      </c>
      <c r="D54" t="s">
        <v>195</v>
      </c>
      <c r="E54">
        <v>2008</v>
      </c>
      <c r="G54" t="s">
        <v>244</v>
      </c>
      <c r="H54" s="1">
        <v>9.807870370370371E-2</v>
      </c>
      <c r="I54" s="4">
        <v>3.7407407407407407E-3</v>
      </c>
      <c r="J54" t="s">
        <v>187</v>
      </c>
      <c r="K54">
        <v>2014</v>
      </c>
    </row>
    <row r="55" spans="1:11" x14ac:dyDescent="0.55000000000000004">
      <c r="A55" t="s">
        <v>243</v>
      </c>
      <c r="B55" s="1">
        <v>8.8738425925925915E-2</v>
      </c>
      <c r="C55" s="4">
        <v>3.3842592592592592E-3</v>
      </c>
      <c r="D55" t="s">
        <v>192</v>
      </c>
      <c r="E55">
        <v>2012</v>
      </c>
      <c r="G55" t="s">
        <v>242</v>
      </c>
      <c r="H55" s="1">
        <v>9.8159722222222232E-2</v>
      </c>
      <c r="I55" s="4">
        <v>3.7442129629629631E-3</v>
      </c>
      <c r="J55" t="s">
        <v>192</v>
      </c>
      <c r="K55">
        <v>1985</v>
      </c>
    </row>
    <row r="56" spans="1:11" x14ac:dyDescent="0.55000000000000004">
      <c r="A56" t="s">
        <v>241</v>
      </c>
      <c r="B56" s="1">
        <v>8.8842592592592584E-2</v>
      </c>
      <c r="C56" s="4">
        <v>3.3877314814814816E-3</v>
      </c>
      <c r="D56" t="s">
        <v>240</v>
      </c>
      <c r="E56">
        <v>2019</v>
      </c>
      <c r="G56" t="s">
        <v>239</v>
      </c>
      <c r="H56" s="1">
        <v>9.8402777777777783E-2</v>
      </c>
      <c r="I56" s="4">
        <v>3.7534722222222223E-3</v>
      </c>
      <c r="J56" t="s">
        <v>216</v>
      </c>
      <c r="K56">
        <v>2018</v>
      </c>
    </row>
    <row r="57" spans="1:11" x14ac:dyDescent="0.55000000000000004">
      <c r="A57" t="s">
        <v>238</v>
      </c>
      <c r="B57" s="1">
        <v>8.953703703703704E-2</v>
      </c>
      <c r="C57" s="4">
        <v>3.414351851851852E-3</v>
      </c>
      <c r="D57" t="s">
        <v>192</v>
      </c>
      <c r="E57">
        <v>2006</v>
      </c>
      <c r="G57" t="s">
        <v>237</v>
      </c>
      <c r="H57" s="1">
        <v>9.8796296296296285E-2</v>
      </c>
      <c r="I57" s="4">
        <v>3.7685185185185187E-3</v>
      </c>
      <c r="J57" t="s">
        <v>187</v>
      </c>
      <c r="K57">
        <v>2019</v>
      </c>
    </row>
    <row r="58" spans="1:11" x14ac:dyDescent="0.55000000000000004">
      <c r="A58" t="s">
        <v>236</v>
      </c>
      <c r="B58" s="1">
        <v>8.9675925925925923E-2</v>
      </c>
      <c r="C58" s="4">
        <v>3.4201388888888888E-3</v>
      </c>
      <c r="D58" t="s">
        <v>235</v>
      </c>
      <c r="E58">
        <v>2012</v>
      </c>
      <c r="G58" t="s">
        <v>234</v>
      </c>
      <c r="H58" s="1">
        <v>9.9398148148148138E-2</v>
      </c>
      <c r="I58" s="4">
        <v>3.7905092592592591E-3</v>
      </c>
      <c r="J58" t="s">
        <v>195</v>
      </c>
      <c r="K58">
        <v>2019</v>
      </c>
    </row>
    <row r="59" spans="1:11" x14ac:dyDescent="0.55000000000000004">
      <c r="A59" t="s">
        <v>233</v>
      </c>
      <c r="B59" s="1">
        <v>8.9826388888888886E-2</v>
      </c>
      <c r="C59" s="4">
        <v>3.425925925925926E-3</v>
      </c>
      <c r="D59" t="s">
        <v>232</v>
      </c>
      <c r="E59">
        <v>1983</v>
      </c>
      <c r="G59" t="s">
        <v>231</v>
      </c>
      <c r="H59" s="1">
        <v>0.10081018518518518</v>
      </c>
      <c r="I59" s="4">
        <v>3.8449074074074076E-3</v>
      </c>
      <c r="J59" t="s">
        <v>187</v>
      </c>
      <c r="K59">
        <v>2019</v>
      </c>
    </row>
    <row r="60" spans="1:11" x14ac:dyDescent="0.55000000000000004">
      <c r="A60" t="s">
        <v>230</v>
      </c>
      <c r="B60" s="1">
        <v>8.9953703703703702E-2</v>
      </c>
      <c r="C60" s="4">
        <v>3.4305555555555552E-3</v>
      </c>
      <c r="D60" t="s">
        <v>192</v>
      </c>
      <c r="E60">
        <v>1999</v>
      </c>
      <c r="G60" t="s">
        <v>229</v>
      </c>
      <c r="H60" s="1">
        <v>0.10100694444444445</v>
      </c>
      <c r="I60" s="4">
        <v>3.8518518518518524E-3</v>
      </c>
      <c r="J60" t="s">
        <v>192</v>
      </c>
      <c r="K60">
        <v>2019</v>
      </c>
    </row>
    <row r="61" spans="1:11" x14ac:dyDescent="0.55000000000000004">
      <c r="A61" t="s">
        <v>228</v>
      </c>
      <c r="B61" s="1">
        <v>8.998842592592593E-2</v>
      </c>
      <c r="C61" s="4">
        <v>3.4317129629629628E-3</v>
      </c>
      <c r="D61" t="s">
        <v>192</v>
      </c>
      <c r="E61">
        <v>1997</v>
      </c>
      <c r="G61" t="s">
        <v>227</v>
      </c>
      <c r="H61" s="1">
        <v>0.10113425925925927</v>
      </c>
      <c r="I61" s="4">
        <v>3.8576388888888883E-3</v>
      </c>
      <c r="J61" t="s">
        <v>195</v>
      </c>
      <c r="K61">
        <v>2017</v>
      </c>
    </row>
    <row r="63" spans="1:11" x14ac:dyDescent="0.55000000000000004">
      <c r="A63" s="6" t="s">
        <v>226</v>
      </c>
      <c r="G63" s="6" t="s">
        <v>225</v>
      </c>
    </row>
    <row r="64" spans="1:11" x14ac:dyDescent="0.55000000000000004">
      <c r="A64" s="5" t="s">
        <v>210</v>
      </c>
      <c r="B64" s="5" t="s">
        <v>209</v>
      </c>
      <c r="C64" s="5" t="s">
        <v>208</v>
      </c>
      <c r="D64" s="5" t="s">
        <v>207</v>
      </c>
      <c r="E64" s="5" t="s">
        <v>206</v>
      </c>
      <c r="G64" s="5" t="s">
        <v>210</v>
      </c>
      <c r="H64" s="5" t="s">
        <v>209</v>
      </c>
      <c r="I64" s="5" t="s">
        <v>208</v>
      </c>
      <c r="J64" s="5" t="s">
        <v>207</v>
      </c>
      <c r="K64" s="5" t="s">
        <v>206</v>
      </c>
    </row>
    <row r="65" spans="1:11" x14ac:dyDescent="0.55000000000000004">
      <c r="A65" t="s">
        <v>188</v>
      </c>
      <c r="B65" s="1">
        <v>8.4479166666666661E-2</v>
      </c>
      <c r="C65" s="4">
        <v>3.2222222222222218E-3</v>
      </c>
      <c r="D65" t="s">
        <v>187</v>
      </c>
      <c r="E65">
        <v>2018</v>
      </c>
      <c r="G65" t="s">
        <v>193</v>
      </c>
      <c r="H65" s="1">
        <v>9.3101851851851838E-2</v>
      </c>
      <c r="I65" s="4">
        <v>3.5509259259259261E-3</v>
      </c>
      <c r="J65" t="s">
        <v>192</v>
      </c>
      <c r="K65">
        <v>2019</v>
      </c>
    </row>
    <row r="66" spans="1:11" x14ac:dyDescent="0.55000000000000004">
      <c r="A66" t="s">
        <v>218</v>
      </c>
      <c r="B66" s="1">
        <v>8.4502314814814808E-2</v>
      </c>
      <c r="C66" s="4">
        <v>3.2233796296296299E-3</v>
      </c>
      <c r="D66" t="s">
        <v>187</v>
      </c>
      <c r="E66">
        <v>2019</v>
      </c>
      <c r="G66" t="s">
        <v>196</v>
      </c>
      <c r="H66" s="1">
        <v>9.403935185185186E-2</v>
      </c>
      <c r="I66" s="4">
        <v>3.5868055555555553E-3</v>
      </c>
      <c r="J66" t="s">
        <v>195</v>
      </c>
      <c r="K66">
        <v>2003</v>
      </c>
    </row>
    <row r="67" spans="1:11" x14ac:dyDescent="0.55000000000000004">
      <c r="A67" t="s">
        <v>188</v>
      </c>
      <c r="B67" s="1">
        <v>8.5150462962962969E-2</v>
      </c>
      <c r="C67" s="4">
        <v>3.2476851851851851E-3</v>
      </c>
      <c r="D67" t="s">
        <v>195</v>
      </c>
      <c r="E67">
        <v>2019</v>
      </c>
      <c r="G67" t="s">
        <v>224</v>
      </c>
      <c r="H67" s="1">
        <v>9.5150462962962964E-2</v>
      </c>
      <c r="I67" s="4">
        <v>3.6296296296296298E-3</v>
      </c>
      <c r="J67" t="s">
        <v>195</v>
      </c>
      <c r="K67">
        <v>2017</v>
      </c>
    </row>
    <row r="68" spans="1:11" x14ac:dyDescent="0.55000000000000004">
      <c r="A68" t="s">
        <v>223</v>
      </c>
      <c r="B68" s="1">
        <v>8.5277777777777786E-2</v>
      </c>
      <c r="C68" s="4">
        <v>3.2523148148148151E-3</v>
      </c>
      <c r="D68" t="s">
        <v>187</v>
      </c>
      <c r="E68">
        <v>2019</v>
      </c>
      <c r="G68" t="s">
        <v>222</v>
      </c>
      <c r="H68" s="1">
        <v>9.5231481481481486E-2</v>
      </c>
      <c r="I68" s="4">
        <v>3.6319444444444446E-3</v>
      </c>
      <c r="J68" t="s">
        <v>219</v>
      </c>
      <c r="K68">
        <v>2019</v>
      </c>
    </row>
    <row r="69" spans="1:11" x14ac:dyDescent="0.55000000000000004">
      <c r="A69" t="s">
        <v>221</v>
      </c>
      <c r="B69" s="1">
        <v>8.5358796296296294E-2</v>
      </c>
      <c r="C69" s="4">
        <v>3.2557870370370375E-3</v>
      </c>
      <c r="D69" t="s">
        <v>195</v>
      </c>
      <c r="E69">
        <v>2019</v>
      </c>
      <c r="G69" t="s">
        <v>196</v>
      </c>
      <c r="H69" s="1">
        <v>9.5347222222222208E-2</v>
      </c>
      <c r="I69" s="4">
        <v>3.6365740740740738E-3</v>
      </c>
      <c r="J69" t="s">
        <v>192</v>
      </c>
      <c r="K69">
        <v>2002</v>
      </c>
    </row>
    <row r="70" spans="1:11" x14ac:dyDescent="0.55000000000000004">
      <c r="A70" t="s">
        <v>189</v>
      </c>
      <c r="B70" s="1">
        <v>8.5381944444444455E-2</v>
      </c>
      <c r="C70" s="4">
        <v>3.2569444444444443E-3</v>
      </c>
      <c r="D70" t="s">
        <v>187</v>
      </c>
      <c r="E70">
        <v>2014</v>
      </c>
      <c r="G70" t="s">
        <v>220</v>
      </c>
      <c r="H70" s="1">
        <v>9.5613425925925921E-2</v>
      </c>
      <c r="I70" s="4">
        <v>3.646990740740741E-3</v>
      </c>
      <c r="J70" t="s">
        <v>219</v>
      </c>
      <c r="K70">
        <v>2019</v>
      </c>
    </row>
    <row r="71" spans="1:11" x14ac:dyDescent="0.55000000000000004">
      <c r="A71" t="s">
        <v>218</v>
      </c>
      <c r="B71" s="1">
        <v>8.5451388888888882E-2</v>
      </c>
      <c r="C71" s="4">
        <v>3.2592592592592591E-3</v>
      </c>
      <c r="D71" t="s">
        <v>187</v>
      </c>
      <c r="E71">
        <v>2016</v>
      </c>
      <c r="G71" t="s">
        <v>196</v>
      </c>
      <c r="H71" s="1">
        <v>9.5625000000000002E-2</v>
      </c>
      <c r="I71" s="4">
        <v>3.646990740740741E-3</v>
      </c>
      <c r="J71" t="s">
        <v>195</v>
      </c>
      <c r="K71">
        <v>2005</v>
      </c>
    </row>
    <row r="72" spans="1:11" x14ac:dyDescent="0.55000000000000004">
      <c r="A72" t="s">
        <v>188</v>
      </c>
      <c r="B72" s="1">
        <v>8.5474537037037043E-2</v>
      </c>
      <c r="C72" s="4">
        <v>3.2604166666666667E-3</v>
      </c>
      <c r="D72" t="s">
        <v>195</v>
      </c>
      <c r="E72">
        <v>2016</v>
      </c>
      <c r="G72" t="s">
        <v>217</v>
      </c>
      <c r="H72" s="1">
        <v>9.5659722222222229E-2</v>
      </c>
      <c r="I72" s="4">
        <v>3.6481481481481482E-3</v>
      </c>
      <c r="J72" t="s">
        <v>216</v>
      </c>
      <c r="K72">
        <v>2020</v>
      </c>
    </row>
    <row r="73" spans="1:11" x14ac:dyDescent="0.55000000000000004">
      <c r="A73" t="s">
        <v>190</v>
      </c>
      <c r="B73" s="1">
        <v>8.5567129629629632E-2</v>
      </c>
      <c r="C73" s="4">
        <v>3.2638888888888891E-3</v>
      </c>
      <c r="D73" t="s">
        <v>187</v>
      </c>
      <c r="E73">
        <v>2016</v>
      </c>
      <c r="G73" t="s">
        <v>215</v>
      </c>
      <c r="H73" s="1">
        <v>9.5787037037037046E-2</v>
      </c>
      <c r="I73" s="4">
        <v>3.6539351851851854E-3</v>
      </c>
      <c r="J73" t="s">
        <v>195</v>
      </c>
      <c r="K73">
        <v>2017</v>
      </c>
    </row>
    <row r="74" spans="1:11" x14ac:dyDescent="0.55000000000000004">
      <c r="A74" t="s">
        <v>214</v>
      </c>
      <c r="B74" s="1">
        <v>8.5567129629629632E-2</v>
      </c>
      <c r="C74" s="4">
        <v>3.2638888888888891E-3</v>
      </c>
      <c r="D74" t="s">
        <v>187</v>
      </c>
      <c r="E74">
        <v>2014</v>
      </c>
      <c r="G74" t="s">
        <v>213</v>
      </c>
      <c r="H74" s="1">
        <v>9.5960648148148142E-2</v>
      </c>
      <c r="I74" s="4">
        <v>3.6597222222222222E-3</v>
      </c>
      <c r="J74" t="s">
        <v>187</v>
      </c>
      <c r="K74">
        <v>2018</v>
      </c>
    </row>
    <row r="76" spans="1:11" x14ac:dyDescent="0.55000000000000004">
      <c r="A76" s="6" t="s">
        <v>212</v>
      </c>
      <c r="G76" s="6" t="s">
        <v>211</v>
      </c>
    </row>
    <row r="77" spans="1:11" s="5" customFormat="1" x14ac:dyDescent="0.55000000000000004">
      <c r="A77" s="5" t="s">
        <v>210</v>
      </c>
      <c r="B77" s="5" t="s">
        <v>209</v>
      </c>
      <c r="C77" s="5" t="s">
        <v>208</v>
      </c>
      <c r="D77" s="5" t="s">
        <v>207</v>
      </c>
      <c r="E77" s="5" t="s">
        <v>206</v>
      </c>
      <c r="G77" s="5" t="s">
        <v>210</v>
      </c>
      <c r="H77" s="5" t="s">
        <v>209</v>
      </c>
      <c r="I77" s="5" t="s">
        <v>208</v>
      </c>
      <c r="J77" s="5" t="s">
        <v>207</v>
      </c>
      <c r="K77" s="5" t="s">
        <v>206</v>
      </c>
    </row>
    <row r="78" spans="1:11" x14ac:dyDescent="0.55000000000000004">
      <c r="A78" t="s">
        <v>205</v>
      </c>
      <c r="B78" s="1">
        <v>8.8078703703703701E-2</v>
      </c>
      <c r="C78" s="4">
        <v>3.3599537037037035E-3</v>
      </c>
      <c r="D78" t="s">
        <v>204</v>
      </c>
      <c r="E78">
        <v>1988</v>
      </c>
      <c r="G78" t="s">
        <v>202</v>
      </c>
      <c r="H78" s="1">
        <v>9.7766203703703702E-2</v>
      </c>
      <c r="I78" s="4">
        <v>3.7291666666666667E-3</v>
      </c>
      <c r="J78" t="s">
        <v>204</v>
      </c>
      <c r="K78">
        <v>1998</v>
      </c>
    </row>
    <row r="79" spans="1:11" x14ac:dyDescent="0.55000000000000004">
      <c r="A79" t="s">
        <v>203</v>
      </c>
      <c r="B79" s="1">
        <v>8.7569444444444436E-2</v>
      </c>
      <c r="C79" s="4">
        <v>3.3402777777777784E-3</v>
      </c>
      <c r="D79" t="s">
        <v>187</v>
      </c>
      <c r="E79">
        <v>1998</v>
      </c>
      <c r="G79" t="s">
        <v>202</v>
      </c>
      <c r="H79" s="1">
        <v>9.7719907407407394E-2</v>
      </c>
      <c r="I79" s="4">
        <v>3.7268518518518514E-3</v>
      </c>
      <c r="J79" t="s">
        <v>187</v>
      </c>
      <c r="K79">
        <v>1999</v>
      </c>
    </row>
    <row r="80" spans="1:11" x14ac:dyDescent="0.55000000000000004">
      <c r="A80" t="s">
        <v>201</v>
      </c>
      <c r="B80" s="1">
        <v>8.729166666666667E-2</v>
      </c>
      <c r="C80" s="4">
        <v>3.3298611111111111E-3</v>
      </c>
      <c r="D80" t="s">
        <v>192</v>
      </c>
      <c r="E80">
        <v>1999</v>
      </c>
      <c r="G80" t="s">
        <v>200</v>
      </c>
      <c r="H80" s="1">
        <v>9.706018518518518E-2</v>
      </c>
      <c r="I80" s="4">
        <v>3.701388888888889E-3</v>
      </c>
      <c r="J80" t="s">
        <v>187</v>
      </c>
      <c r="K80">
        <v>2001</v>
      </c>
    </row>
    <row r="81" spans="1:11" x14ac:dyDescent="0.55000000000000004">
      <c r="A81" t="s">
        <v>199</v>
      </c>
      <c r="B81" s="1">
        <v>8.7245370370370376E-2</v>
      </c>
      <c r="C81" s="4">
        <v>3.3275462962962968E-3</v>
      </c>
      <c r="D81" t="s">
        <v>195</v>
      </c>
      <c r="E81">
        <v>2002</v>
      </c>
      <c r="G81" t="s">
        <v>198</v>
      </c>
      <c r="H81" s="1">
        <v>9.6377314814814818E-2</v>
      </c>
      <c r="I81" s="4">
        <v>3.6759259259259258E-3</v>
      </c>
      <c r="J81" t="s">
        <v>192</v>
      </c>
      <c r="K81">
        <v>2001</v>
      </c>
    </row>
    <row r="82" spans="1:11" x14ac:dyDescent="0.55000000000000004">
      <c r="A82" t="s">
        <v>197</v>
      </c>
      <c r="B82" s="1">
        <v>8.6747685185185178E-2</v>
      </c>
      <c r="C82" s="4">
        <v>3.3090277777777775E-3</v>
      </c>
      <c r="D82" t="s">
        <v>187</v>
      </c>
      <c r="E82">
        <v>2003</v>
      </c>
      <c r="G82" t="s">
        <v>196</v>
      </c>
      <c r="H82" s="1">
        <v>9.5347222222222208E-2</v>
      </c>
      <c r="I82" s="4">
        <v>3.6365740740740738E-3</v>
      </c>
      <c r="J82" t="s">
        <v>192</v>
      </c>
      <c r="K82">
        <v>2002</v>
      </c>
    </row>
    <row r="83" spans="1:11" x14ac:dyDescent="0.55000000000000004">
      <c r="A83" t="s">
        <v>194</v>
      </c>
      <c r="B83" s="1">
        <v>8.6412037037037037E-2</v>
      </c>
      <c r="C83" s="4">
        <v>3.2962962962962959E-3</v>
      </c>
      <c r="D83" t="s">
        <v>187</v>
      </c>
      <c r="E83">
        <v>2007</v>
      </c>
      <c r="G83" t="s">
        <v>196</v>
      </c>
      <c r="H83" s="1">
        <v>9.403935185185186E-2</v>
      </c>
      <c r="I83" s="4">
        <v>3.5868055555555553E-3</v>
      </c>
      <c r="J83" t="s">
        <v>195</v>
      </c>
      <c r="K83">
        <v>2003</v>
      </c>
    </row>
    <row r="84" spans="1:11" x14ac:dyDescent="0.55000000000000004">
      <c r="A84" t="s">
        <v>194</v>
      </c>
      <c r="B84" s="1">
        <v>8.6099537037037044E-2</v>
      </c>
      <c r="C84" s="4">
        <v>3.2835648148148151E-3</v>
      </c>
      <c r="D84" t="s">
        <v>187</v>
      </c>
      <c r="E84">
        <v>2008</v>
      </c>
      <c r="G84" t="s">
        <v>193</v>
      </c>
      <c r="H84" s="1">
        <v>9.3101851851851838E-2</v>
      </c>
      <c r="I84" s="4">
        <v>3.5509259259259261E-3</v>
      </c>
      <c r="J84" t="s">
        <v>192</v>
      </c>
      <c r="K84">
        <v>2019</v>
      </c>
    </row>
    <row r="85" spans="1:11" x14ac:dyDescent="0.55000000000000004">
      <c r="A85" t="s">
        <v>191</v>
      </c>
      <c r="B85" s="1">
        <v>8.5856481481481492E-2</v>
      </c>
      <c r="C85" s="4">
        <v>3.2754629629629631E-3</v>
      </c>
      <c r="D85" t="s">
        <v>187</v>
      </c>
      <c r="E85">
        <v>2011</v>
      </c>
    </row>
    <row r="86" spans="1:11" x14ac:dyDescent="0.55000000000000004">
      <c r="A86" t="s">
        <v>190</v>
      </c>
      <c r="B86" s="1">
        <v>8.5682870370370368E-2</v>
      </c>
      <c r="C86" s="4">
        <v>3.2685185185185191E-3</v>
      </c>
      <c r="D86" t="s">
        <v>187</v>
      </c>
      <c r="E86">
        <v>2013</v>
      </c>
    </row>
    <row r="87" spans="1:11" x14ac:dyDescent="0.55000000000000004">
      <c r="A87" t="s">
        <v>189</v>
      </c>
      <c r="B87" s="1">
        <v>8.5381944444444455E-2</v>
      </c>
      <c r="C87" s="4">
        <v>3.2569444444444443E-3</v>
      </c>
      <c r="D87" t="s">
        <v>187</v>
      </c>
      <c r="E87">
        <v>2014</v>
      </c>
    </row>
    <row r="88" spans="1:11" x14ac:dyDescent="0.55000000000000004">
      <c r="A88" t="s">
        <v>188</v>
      </c>
      <c r="B88" s="1">
        <v>8.4479166666666661E-2</v>
      </c>
      <c r="C88" s="4">
        <v>3.2222222222222218E-3</v>
      </c>
      <c r="D88" t="s">
        <v>187</v>
      </c>
      <c r="E88">
        <v>2018</v>
      </c>
    </row>
  </sheetData>
  <mergeCells count="1">
    <mergeCell ref="A6:H6"/>
  </mergeCells>
  <hyperlinks>
    <hyperlink ref="A34" r:id="rId1" xr:uid="{F3A8F53B-76B0-4F75-88EC-8C4C3AAE833D}"/>
    <hyperlink ref="A2" r:id="rId2" xr:uid="{C75A9B0D-64F4-4C7A-8B21-0F7684D25E8B}"/>
  </hyperlinks>
  <pageMargins left="0.7" right="0.7" top="0.75" bottom="0.75" header="0.3" footer="0.3"/>
  <pageSetup orientation="portrait" horizontalDpi="0" verticalDpi="0" r:id="rId3"/>
  <tableParts count="9">
    <tablePart r:id="rId4"/>
    <tablePart r:id="rId5"/>
    <tablePart r:id="rId6"/>
    <tablePart r:id="rId7"/>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0323-02A2-4720-8887-78CACA7DB05E}">
  <dimension ref="A1:J194"/>
  <sheetViews>
    <sheetView workbookViewId="0">
      <selection activeCell="P85" sqref="P85"/>
    </sheetView>
  </sheetViews>
  <sheetFormatPr defaultRowHeight="14.4" x14ac:dyDescent="0.55000000000000004"/>
  <sheetData>
    <row r="1" spans="1:10" x14ac:dyDescent="0.55000000000000004">
      <c r="A1" s="5" t="s">
        <v>185</v>
      </c>
    </row>
    <row r="2" spans="1:10" x14ac:dyDescent="0.55000000000000004">
      <c r="A2" s="30" t="s">
        <v>527</v>
      </c>
    </row>
    <row r="3" spans="1:10" x14ac:dyDescent="0.55000000000000004">
      <c r="A3" s="3" t="s">
        <v>186</v>
      </c>
    </row>
    <row r="4" spans="1:10" x14ac:dyDescent="0.55000000000000004">
      <c r="A4" t="s">
        <v>528</v>
      </c>
    </row>
    <row r="5" spans="1:10" x14ac:dyDescent="0.55000000000000004">
      <c r="A5" t="s">
        <v>522</v>
      </c>
    </row>
    <row r="6" spans="1:10" x14ac:dyDescent="0.55000000000000004">
      <c r="A6" s="81" t="s">
        <v>523</v>
      </c>
      <c r="B6" s="81"/>
      <c r="C6" s="81"/>
    </row>
    <row r="7" spans="1:10" ht="87.9" customHeight="1" x14ac:dyDescent="0.55000000000000004">
      <c r="A7" s="82" t="s">
        <v>524</v>
      </c>
      <c r="B7" s="82"/>
      <c r="C7" s="82"/>
      <c r="D7" s="82"/>
      <c r="E7" s="82"/>
      <c r="F7" s="82"/>
      <c r="G7" s="82"/>
      <c r="H7" s="82"/>
      <c r="I7" s="82"/>
      <c r="J7" s="82"/>
    </row>
    <row r="8" spans="1:10" ht="46.5" customHeight="1" x14ac:dyDescent="0.55000000000000004">
      <c r="A8" s="82" t="s">
        <v>525</v>
      </c>
      <c r="B8" s="82"/>
      <c r="C8" s="82"/>
      <c r="D8" s="82"/>
      <c r="E8" s="82"/>
      <c r="F8" s="82"/>
      <c r="G8" s="82"/>
      <c r="H8" s="82"/>
      <c r="I8" s="82"/>
      <c r="J8" s="82"/>
    </row>
    <row r="9" spans="1:10" ht="45.6" customHeight="1" x14ac:dyDescent="0.55000000000000004">
      <c r="A9" s="82" t="s">
        <v>526</v>
      </c>
      <c r="B9" s="82"/>
      <c r="C9" s="82"/>
      <c r="D9" s="82"/>
      <c r="E9" s="82"/>
      <c r="F9" s="82"/>
      <c r="G9" s="82"/>
      <c r="H9" s="82"/>
      <c r="I9" s="82"/>
      <c r="J9" s="82"/>
    </row>
    <row r="11" spans="1:10" x14ac:dyDescent="0.55000000000000004">
      <c r="A11" t="s">
        <v>346</v>
      </c>
    </row>
    <row r="12" spans="1:10" x14ac:dyDescent="0.55000000000000004">
      <c r="A12" t="s">
        <v>349</v>
      </c>
    </row>
    <row r="13" spans="1:10" x14ac:dyDescent="0.55000000000000004">
      <c r="A13" t="s">
        <v>347</v>
      </c>
    </row>
    <row r="14" spans="1:10" x14ac:dyDescent="0.55000000000000004">
      <c r="A14" t="s">
        <v>350</v>
      </c>
    </row>
    <row r="15" spans="1:10" x14ac:dyDescent="0.55000000000000004">
      <c r="A15" t="s">
        <v>351</v>
      </c>
    </row>
    <row r="16" spans="1:10" x14ac:dyDescent="0.55000000000000004">
      <c r="A16" t="s">
        <v>352</v>
      </c>
    </row>
    <row r="17" spans="1:1" x14ac:dyDescent="0.55000000000000004">
      <c r="A17" t="s">
        <v>347</v>
      </c>
    </row>
    <row r="18" spans="1:1" x14ac:dyDescent="0.55000000000000004">
      <c r="A18" t="s">
        <v>353</v>
      </c>
    </row>
    <row r="19" spans="1:1" x14ac:dyDescent="0.55000000000000004">
      <c r="A19" t="s">
        <v>354</v>
      </c>
    </row>
    <row r="20" spans="1:1" x14ac:dyDescent="0.55000000000000004">
      <c r="A20" t="s">
        <v>355</v>
      </c>
    </row>
    <row r="21" spans="1:1" x14ac:dyDescent="0.55000000000000004">
      <c r="A21" t="s">
        <v>356</v>
      </c>
    </row>
    <row r="22" spans="1:1" x14ac:dyDescent="0.55000000000000004">
      <c r="A22" t="s">
        <v>357</v>
      </c>
    </row>
    <row r="23" spans="1:1" x14ac:dyDescent="0.55000000000000004">
      <c r="A23" t="s">
        <v>358</v>
      </c>
    </row>
    <row r="24" spans="1:1" x14ac:dyDescent="0.55000000000000004">
      <c r="A24" t="s">
        <v>359</v>
      </c>
    </row>
    <row r="25" spans="1:1" x14ac:dyDescent="0.55000000000000004">
      <c r="A25" t="s">
        <v>360</v>
      </c>
    </row>
    <row r="26" spans="1:1" x14ac:dyDescent="0.55000000000000004">
      <c r="A26" t="s">
        <v>361</v>
      </c>
    </row>
    <row r="27" spans="1:1" x14ac:dyDescent="0.55000000000000004">
      <c r="A27" t="s">
        <v>362</v>
      </c>
    </row>
    <row r="28" spans="1:1" x14ac:dyDescent="0.55000000000000004">
      <c r="A28" t="s">
        <v>363</v>
      </c>
    </row>
    <row r="29" spans="1:1" x14ac:dyDescent="0.55000000000000004">
      <c r="A29" t="s">
        <v>364</v>
      </c>
    </row>
    <row r="30" spans="1:1" x14ac:dyDescent="0.55000000000000004">
      <c r="A30" t="s">
        <v>365</v>
      </c>
    </row>
    <row r="31" spans="1:1" x14ac:dyDescent="0.55000000000000004">
      <c r="A31" t="s">
        <v>366</v>
      </c>
    </row>
    <row r="32" spans="1:1" x14ac:dyDescent="0.55000000000000004">
      <c r="A32" t="s">
        <v>367</v>
      </c>
    </row>
    <row r="33" spans="1:1" x14ac:dyDescent="0.55000000000000004">
      <c r="A33" t="s">
        <v>368</v>
      </c>
    </row>
    <row r="34" spans="1:1" x14ac:dyDescent="0.55000000000000004">
      <c r="A34" t="s">
        <v>369</v>
      </c>
    </row>
    <row r="35" spans="1:1" x14ac:dyDescent="0.55000000000000004">
      <c r="A35" t="s">
        <v>370</v>
      </c>
    </row>
    <row r="36" spans="1:1" x14ac:dyDescent="0.55000000000000004">
      <c r="A36" t="s">
        <v>371</v>
      </c>
    </row>
    <row r="37" spans="1:1" x14ac:dyDescent="0.55000000000000004">
      <c r="A37" t="s">
        <v>372</v>
      </c>
    </row>
    <row r="38" spans="1:1" x14ac:dyDescent="0.55000000000000004">
      <c r="A38" t="s">
        <v>373</v>
      </c>
    </row>
    <row r="39" spans="1:1" x14ac:dyDescent="0.55000000000000004">
      <c r="A39" t="s">
        <v>374</v>
      </c>
    </row>
    <row r="40" spans="1:1" x14ac:dyDescent="0.55000000000000004">
      <c r="A40" t="s">
        <v>375</v>
      </c>
    </row>
    <row r="41" spans="1:1" x14ac:dyDescent="0.55000000000000004">
      <c r="A41" t="s">
        <v>376</v>
      </c>
    </row>
    <row r="42" spans="1:1" x14ac:dyDescent="0.55000000000000004">
      <c r="A42" t="s">
        <v>377</v>
      </c>
    </row>
    <row r="43" spans="1:1" x14ac:dyDescent="0.55000000000000004">
      <c r="A43" t="s">
        <v>378</v>
      </c>
    </row>
    <row r="44" spans="1:1" x14ac:dyDescent="0.55000000000000004">
      <c r="A44" t="s">
        <v>379</v>
      </c>
    </row>
    <row r="45" spans="1:1" x14ac:dyDescent="0.55000000000000004">
      <c r="A45" t="s">
        <v>380</v>
      </c>
    </row>
    <row r="46" spans="1:1" x14ac:dyDescent="0.55000000000000004">
      <c r="A46" t="s">
        <v>381</v>
      </c>
    </row>
    <row r="47" spans="1:1" x14ac:dyDescent="0.55000000000000004">
      <c r="A47" t="s">
        <v>382</v>
      </c>
    </row>
    <row r="48" spans="1:1" x14ac:dyDescent="0.55000000000000004">
      <c r="A48" t="s">
        <v>383</v>
      </c>
    </row>
    <row r="49" spans="1:1" x14ac:dyDescent="0.55000000000000004">
      <c r="A49" t="s">
        <v>384</v>
      </c>
    </row>
    <row r="50" spans="1:1" x14ac:dyDescent="0.55000000000000004">
      <c r="A50" t="s">
        <v>385</v>
      </c>
    </row>
    <row r="51" spans="1:1" x14ac:dyDescent="0.55000000000000004">
      <c r="A51" t="s">
        <v>386</v>
      </c>
    </row>
    <row r="52" spans="1:1" x14ac:dyDescent="0.55000000000000004">
      <c r="A52" t="s">
        <v>387</v>
      </c>
    </row>
    <row r="53" spans="1:1" x14ac:dyDescent="0.55000000000000004">
      <c r="A53" t="s">
        <v>388</v>
      </c>
    </row>
    <row r="54" spans="1:1" x14ac:dyDescent="0.55000000000000004">
      <c r="A54" t="s">
        <v>389</v>
      </c>
    </row>
    <row r="55" spans="1:1" x14ac:dyDescent="0.55000000000000004">
      <c r="A55" t="s">
        <v>390</v>
      </c>
    </row>
    <row r="56" spans="1:1" x14ac:dyDescent="0.55000000000000004">
      <c r="A56" t="s">
        <v>391</v>
      </c>
    </row>
    <row r="57" spans="1:1" x14ac:dyDescent="0.55000000000000004">
      <c r="A57" t="s">
        <v>392</v>
      </c>
    </row>
    <row r="58" spans="1:1" x14ac:dyDescent="0.55000000000000004">
      <c r="A58" t="s">
        <v>393</v>
      </c>
    </row>
    <row r="59" spans="1:1" x14ac:dyDescent="0.55000000000000004">
      <c r="A59" t="s">
        <v>394</v>
      </c>
    </row>
    <row r="60" spans="1:1" x14ac:dyDescent="0.55000000000000004">
      <c r="A60" t="s">
        <v>395</v>
      </c>
    </row>
    <row r="61" spans="1:1" x14ac:dyDescent="0.55000000000000004">
      <c r="A61" t="s">
        <v>396</v>
      </c>
    </row>
    <row r="62" spans="1:1" x14ac:dyDescent="0.55000000000000004">
      <c r="A62" t="s">
        <v>397</v>
      </c>
    </row>
    <row r="63" spans="1:1" x14ac:dyDescent="0.55000000000000004">
      <c r="A63" t="s">
        <v>398</v>
      </c>
    </row>
    <row r="64" spans="1:1" x14ac:dyDescent="0.55000000000000004">
      <c r="A64" t="s">
        <v>399</v>
      </c>
    </row>
    <row r="65" spans="1:1" x14ac:dyDescent="0.55000000000000004">
      <c r="A65" t="s">
        <v>400</v>
      </c>
    </row>
    <row r="66" spans="1:1" x14ac:dyDescent="0.55000000000000004">
      <c r="A66" t="s">
        <v>401</v>
      </c>
    </row>
    <row r="67" spans="1:1" x14ac:dyDescent="0.55000000000000004">
      <c r="A67" t="s">
        <v>402</v>
      </c>
    </row>
    <row r="68" spans="1:1" x14ac:dyDescent="0.55000000000000004">
      <c r="A68" t="s">
        <v>403</v>
      </c>
    </row>
    <row r="69" spans="1:1" x14ac:dyDescent="0.55000000000000004">
      <c r="A69" t="s">
        <v>404</v>
      </c>
    </row>
    <row r="70" spans="1:1" x14ac:dyDescent="0.55000000000000004">
      <c r="A70" t="s">
        <v>405</v>
      </c>
    </row>
    <row r="71" spans="1:1" x14ac:dyDescent="0.55000000000000004">
      <c r="A71" t="s">
        <v>406</v>
      </c>
    </row>
    <row r="72" spans="1:1" x14ac:dyDescent="0.55000000000000004">
      <c r="A72" t="s">
        <v>407</v>
      </c>
    </row>
    <row r="73" spans="1:1" x14ac:dyDescent="0.55000000000000004">
      <c r="A73" t="s">
        <v>408</v>
      </c>
    </row>
    <row r="74" spans="1:1" x14ac:dyDescent="0.55000000000000004">
      <c r="A74" t="s">
        <v>409</v>
      </c>
    </row>
    <row r="75" spans="1:1" x14ac:dyDescent="0.55000000000000004">
      <c r="A75" t="s">
        <v>410</v>
      </c>
    </row>
    <row r="76" spans="1:1" x14ac:dyDescent="0.55000000000000004">
      <c r="A76" t="s">
        <v>411</v>
      </c>
    </row>
    <row r="77" spans="1:1" x14ac:dyDescent="0.55000000000000004">
      <c r="A77" t="s">
        <v>412</v>
      </c>
    </row>
    <row r="78" spans="1:1" x14ac:dyDescent="0.55000000000000004">
      <c r="A78" t="s">
        <v>413</v>
      </c>
    </row>
    <row r="79" spans="1:1" x14ac:dyDescent="0.55000000000000004">
      <c r="A79" t="s">
        <v>414</v>
      </c>
    </row>
    <row r="80" spans="1:1" x14ac:dyDescent="0.55000000000000004">
      <c r="A80" t="s">
        <v>415</v>
      </c>
    </row>
    <row r="81" spans="1:1" x14ac:dyDescent="0.55000000000000004">
      <c r="A81" t="s">
        <v>416</v>
      </c>
    </row>
    <row r="82" spans="1:1" x14ac:dyDescent="0.55000000000000004">
      <c r="A82" t="s">
        <v>417</v>
      </c>
    </row>
    <row r="83" spans="1:1" x14ac:dyDescent="0.55000000000000004">
      <c r="A83" t="s">
        <v>418</v>
      </c>
    </row>
    <row r="84" spans="1:1" x14ac:dyDescent="0.55000000000000004">
      <c r="A84" t="s">
        <v>419</v>
      </c>
    </row>
    <row r="85" spans="1:1" x14ac:dyDescent="0.55000000000000004">
      <c r="A85" t="s">
        <v>420</v>
      </c>
    </row>
    <row r="86" spans="1:1" x14ac:dyDescent="0.55000000000000004">
      <c r="A86" t="s">
        <v>421</v>
      </c>
    </row>
    <row r="87" spans="1:1" x14ac:dyDescent="0.55000000000000004">
      <c r="A87" t="s">
        <v>422</v>
      </c>
    </row>
    <row r="88" spans="1:1" x14ac:dyDescent="0.55000000000000004">
      <c r="A88" t="s">
        <v>423</v>
      </c>
    </row>
    <row r="89" spans="1:1" x14ac:dyDescent="0.55000000000000004">
      <c r="A89" t="s">
        <v>424</v>
      </c>
    </row>
    <row r="90" spans="1:1" x14ac:dyDescent="0.55000000000000004">
      <c r="A90" t="s">
        <v>425</v>
      </c>
    </row>
    <row r="91" spans="1:1" x14ac:dyDescent="0.55000000000000004">
      <c r="A91" t="s">
        <v>426</v>
      </c>
    </row>
    <row r="92" spans="1:1" x14ac:dyDescent="0.55000000000000004">
      <c r="A92" t="s">
        <v>427</v>
      </c>
    </row>
    <row r="93" spans="1:1" x14ac:dyDescent="0.55000000000000004">
      <c r="A93" t="s">
        <v>428</v>
      </c>
    </row>
    <row r="94" spans="1:1" x14ac:dyDescent="0.55000000000000004">
      <c r="A94" t="s">
        <v>429</v>
      </c>
    </row>
    <row r="95" spans="1:1" x14ac:dyDescent="0.55000000000000004">
      <c r="A95" t="s">
        <v>430</v>
      </c>
    </row>
    <row r="96" spans="1:1" x14ac:dyDescent="0.55000000000000004">
      <c r="A96" t="s">
        <v>431</v>
      </c>
    </row>
    <row r="97" spans="1:1" x14ac:dyDescent="0.55000000000000004">
      <c r="A97" t="s">
        <v>432</v>
      </c>
    </row>
    <row r="99" spans="1:1" x14ac:dyDescent="0.55000000000000004">
      <c r="A99" t="s">
        <v>348</v>
      </c>
    </row>
    <row r="100" spans="1:1" x14ac:dyDescent="0.55000000000000004">
      <c r="A100" t="s">
        <v>433</v>
      </c>
    </row>
    <row r="101" spans="1:1" x14ac:dyDescent="0.55000000000000004">
      <c r="A101" t="s">
        <v>434</v>
      </c>
    </row>
    <row r="102" spans="1:1" x14ac:dyDescent="0.55000000000000004">
      <c r="A102" t="s">
        <v>435</v>
      </c>
    </row>
    <row r="103" spans="1:1" x14ac:dyDescent="0.55000000000000004">
      <c r="A103" t="s">
        <v>436</v>
      </c>
    </row>
    <row r="104" spans="1:1" x14ac:dyDescent="0.55000000000000004">
      <c r="A104" t="s">
        <v>437</v>
      </c>
    </row>
    <row r="105" spans="1:1" x14ac:dyDescent="0.55000000000000004">
      <c r="A105" t="s">
        <v>438</v>
      </c>
    </row>
    <row r="106" spans="1:1" x14ac:dyDescent="0.55000000000000004">
      <c r="A106" t="s">
        <v>439</v>
      </c>
    </row>
    <row r="107" spans="1:1" x14ac:dyDescent="0.55000000000000004">
      <c r="A107" t="s">
        <v>440</v>
      </c>
    </row>
    <row r="108" spans="1:1" x14ac:dyDescent="0.55000000000000004">
      <c r="A108" t="s">
        <v>441</v>
      </c>
    </row>
    <row r="109" spans="1:1" x14ac:dyDescent="0.55000000000000004">
      <c r="A109" t="s">
        <v>442</v>
      </c>
    </row>
    <row r="110" spans="1:1" x14ac:dyDescent="0.55000000000000004">
      <c r="A110" t="s">
        <v>443</v>
      </c>
    </row>
    <row r="111" spans="1:1" x14ac:dyDescent="0.55000000000000004">
      <c r="A111" t="s">
        <v>444</v>
      </c>
    </row>
    <row r="112" spans="1:1" x14ac:dyDescent="0.55000000000000004">
      <c r="A112" t="s">
        <v>445</v>
      </c>
    </row>
    <row r="113" spans="1:1" x14ac:dyDescent="0.55000000000000004">
      <c r="A113" t="s">
        <v>446</v>
      </c>
    </row>
    <row r="114" spans="1:1" x14ac:dyDescent="0.55000000000000004">
      <c r="A114" t="s">
        <v>447</v>
      </c>
    </row>
    <row r="115" spans="1:1" x14ac:dyDescent="0.55000000000000004">
      <c r="A115" t="s">
        <v>448</v>
      </c>
    </row>
    <row r="116" spans="1:1" x14ac:dyDescent="0.55000000000000004">
      <c r="A116" t="s">
        <v>449</v>
      </c>
    </row>
    <row r="117" spans="1:1" x14ac:dyDescent="0.55000000000000004">
      <c r="A117" t="s">
        <v>450</v>
      </c>
    </row>
    <row r="118" spans="1:1" x14ac:dyDescent="0.55000000000000004">
      <c r="A118" t="s">
        <v>451</v>
      </c>
    </row>
    <row r="119" spans="1:1" x14ac:dyDescent="0.55000000000000004">
      <c r="A119" t="s">
        <v>452</v>
      </c>
    </row>
    <row r="120" spans="1:1" x14ac:dyDescent="0.55000000000000004">
      <c r="A120" t="s">
        <v>453</v>
      </c>
    </row>
    <row r="121" spans="1:1" x14ac:dyDescent="0.55000000000000004">
      <c r="A121" t="s">
        <v>454</v>
      </c>
    </row>
    <row r="122" spans="1:1" x14ac:dyDescent="0.55000000000000004">
      <c r="A122" t="s">
        <v>455</v>
      </c>
    </row>
    <row r="123" spans="1:1" x14ac:dyDescent="0.55000000000000004">
      <c r="A123" t="s">
        <v>456</v>
      </c>
    </row>
    <row r="124" spans="1:1" x14ac:dyDescent="0.55000000000000004">
      <c r="A124" t="s">
        <v>457</v>
      </c>
    </row>
    <row r="125" spans="1:1" x14ac:dyDescent="0.55000000000000004">
      <c r="A125" t="s">
        <v>458</v>
      </c>
    </row>
    <row r="126" spans="1:1" x14ac:dyDescent="0.55000000000000004">
      <c r="A126" t="s">
        <v>459</v>
      </c>
    </row>
    <row r="127" spans="1:1" x14ac:dyDescent="0.55000000000000004">
      <c r="A127" t="s">
        <v>460</v>
      </c>
    </row>
    <row r="128" spans="1:1" x14ac:dyDescent="0.55000000000000004">
      <c r="A128" t="s">
        <v>461</v>
      </c>
    </row>
    <row r="129" spans="1:1" x14ac:dyDescent="0.55000000000000004">
      <c r="A129" t="s">
        <v>462</v>
      </c>
    </row>
    <row r="130" spans="1:1" x14ac:dyDescent="0.55000000000000004">
      <c r="A130" t="s">
        <v>463</v>
      </c>
    </row>
    <row r="131" spans="1:1" x14ac:dyDescent="0.55000000000000004">
      <c r="A131" t="s">
        <v>464</v>
      </c>
    </row>
    <row r="132" spans="1:1" x14ac:dyDescent="0.55000000000000004">
      <c r="A132" t="s">
        <v>465</v>
      </c>
    </row>
    <row r="133" spans="1:1" x14ac:dyDescent="0.55000000000000004">
      <c r="A133" t="s">
        <v>466</v>
      </c>
    </row>
    <row r="134" spans="1:1" x14ac:dyDescent="0.55000000000000004">
      <c r="A134" t="s">
        <v>467</v>
      </c>
    </row>
    <row r="135" spans="1:1" x14ac:dyDescent="0.55000000000000004">
      <c r="A135" t="s">
        <v>468</v>
      </c>
    </row>
    <row r="136" spans="1:1" x14ac:dyDescent="0.55000000000000004">
      <c r="A136" t="s">
        <v>469</v>
      </c>
    </row>
    <row r="137" spans="1:1" x14ac:dyDescent="0.55000000000000004">
      <c r="A137" t="s">
        <v>470</v>
      </c>
    </row>
    <row r="138" spans="1:1" x14ac:dyDescent="0.55000000000000004">
      <c r="A138" t="s">
        <v>471</v>
      </c>
    </row>
    <row r="139" spans="1:1" x14ac:dyDescent="0.55000000000000004">
      <c r="A139" t="s">
        <v>472</v>
      </c>
    </row>
    <row r="140" spans="1:1" x14ac:dyDescent="0.55000000000000004">
      <c r="A140" t="s">
        <v>473</v>
      </c>
    </row>
    <row r="141" spans="1:1" x14ac:dyDescent="0.55000000000000004">
      <c r="A141" t="s">
        <v>474</v>
      </c>
    </row>
    <row r="142" spans="1:1" x14ac:dyDescent="0.55000000000000004">
      <c r="A142" t="s">
        <v>475</v>
      </c>
    </row>
    <row r="143" spans="1:1" x14ac:dyDescent="0.55000000000000004">
      <c r="A143" t="s">
        <v>476</v>
      </c>
    </row>
    <row r="144" spans="1:1" x14ac:dyDescent="0.55000000000000004">
      <c r="A144" t="s">
        <v>477</v>
      </c>
    </row>
    <row r="145" spans="1:1" x14ac:dyDescent="0.55000000000000004">
      <c r="A145" t="s">
        <v>478</v>
      </c>
    </row>
    <row r="146" spans="1:1" x14ac:dyDescent="0.55000000000000004">
      <c r="A146" t="s">
        <v>479</v>
      </c>
    </row>
    <row r="147" spans="1:1" x14ac:dyDescent="0.55000000000000004">
      <c r="A147" t="s">
        <v>480</v>
      </c>
    </row>
    <row r="148" spans="1:1" x14ac:dyDescent="0.55000000000000004">
      <c r="A148" t="s">
        <v>481</v>
      </c>
    </row>
    <row r="149" spans="1:1" x14ac:dyDescent="0.55000000000000004">
      <c r="A149" t="s">
        <v>482</v>
      </c>
    </row>
    <row r="150" spans="1:1" x14ac:dyDescent="0.55000000000000004">
      <c r="A150" t="s">
        <v>483</v>
      </c>
    </row>
    <row r="151" spans="1:1" x14ac:dyDescent="0.55000000000000004">
      <c r="A151" t="s">
        <v>484</v>
      </c>
    </row>
    <row r="152" spans="1:1" x14ac:dyDescent="0.55000000000000004">
      <c r="A152" t="s">
        <v>485</v>
      </c>
    </row>
    <row r="153" spans="1:1" x14ac:dyDescent="0.55000000000000004">
      <c r="A153" t="s">
        <v>486</v>
      </c>
    </row>
    <row r="154" spans="1:1" x14ac:dyDescent="0.55000000000000004">
      <c r="A154" t="s">
        <v>487</v>
      </c>
    </row>
    <row r="155" spans="1:1" x14ac:dyDescent="0.55000000000000004">
      <c r="A155" t="s">
        <v>488</v>
      </c>
    </row>
    <row r="156" spans="1:1" x14ac:dyDescent="0.55000000000000004">
      <c r="A156" t="s">
        <v>489</v>
      </c>
    </row>
    <row r="157" spans="1:1" x14ac:dyDescent="0.55000000000000004">
      <c r="A157" t="s">
        <v>490</v>
      </c>
    </row>
    <row r="158" spans="1:1" x14ac:dyDescent="0.55000000000000004">
      <c r="A158" t="s">
        <v>491</v>
      </c>
    </row>
    <row r="159" spans="1:1" x14ac:dyDescent="0.55000000000000004">
      <c r="A159" t="s">
        <v>492</v>
      </c>
    </row>
    <row r="160" spans="1:1" x14ac:dyDescent="0.55000000000000004">
      <c r="A160" t="s">
        <v>493</v>
      </c>
    </row>
    <row r="161" spans="1:1" x14ac:dyDescent="0.55000000000000004">
      <c r="A161" t="s">
        <v>494</v>
      </c>
    </row>
    <row r="162" spans="1:1" x14ac:dyDescent="0.55000000000000004">
      <c r="A162" t="s">
        <v>495</v>
      </c>
    </row>
    <row r="163" spans="1:1" x14ac:dyDescent="0.55000000000000004">
      <c r="A163" t="s">
        <v>496</v>
      </c>
    </row>
    <row r="164" spans="1:1" x14ac:dyDescent="0.55000000000000004">
      <c r="A164" t="s">
        <v>497</v>
      </c>
    </row>
    <row r="165" spans="1:1" x14ac:dyDescent="0.55000000000000004">
      <c r="A165" t="s">
        <v>498</v>
      </c>
    </row>
    <row r="166" spans="1:1" x14ac:dyDescent="0.55000000000000004">
      <c r="A166" t="s">
        <v>499</v>
      </c>
    </row>
    <row r="167" spans="1:1" x14ac:dyDescent="0.55000000000000004">
      <c r="A167" t="s">
        <v>500</v>
      </c>
    </row>
    <row r="168" spans="1:1" x14ac:dyDescent="0.55000000000000004">
      <c r="A168" t="s">
        <v>501</v>
      </c>
    </row>
    <row r="169" spans="1:1" x14ac:dyDescent="0.55000000000000004">
      <c r="A169" t="s">
        <v>502</v>
      </c>
    </row>
    <row r="170" spans="1:1" x14ac:dyDescent="0.55000000000000004">
      <c r="A170" t="s">
        <v>503</v>
      </c>
    </row>
    <row r="171" spans="1:1" x14ac:dyDescent="0.55000000000000004">
      <c r="A171" t="s">
        <v>504</v>
      </c>
    </row>
    <row r="172" spans="1:1" x14ac:dyDescent="0.55000000000000004">
      <c r="A172" t="s">
        <v>505</v>
      </c>
    </row>
    <row r="173" spans="1:1" x14ac:dyDescent="0.55000000000000004">
      <c r="A173" t="s">
        <v>506</v>
      </c>
    </row>
    <row r="174" spans="1:1" x14ac:dyDescent="0.55000000000000004">
      <c r="A174" t="s">
        <v>507</v>
      </c>
    </row>
    <row r="175" spans="1:1" x14ac:dyDescent="0.55000000000000004">
      <c r="A175" t="s">
        <v>508</v>
      </c>
    </row>
    <row r="176" spans="1:1" x14ac:dyDescent="0.55000000000000004">
      <c r="A176" t="s">
        <v>509</v>
      </c>
    </row>
    <row r="177" spans="1:1" x14ac:dyDescent="0.55000000000000004">
      <c r="A177" t="s">
        <v>510</v>
      </c>
    </row>
    <row r="178" spans="1:1" x14ac:dyDescent="0.55000000000000004">
      <c r="A178" t="s">
        <v>511</v>
      </c>
    </row>
    <row r="179" spans="1:1" x14ac:dyDescent="0.55000000000000004">
      <c r="A179" t="s">
        <v>512</v>
      </c>
    </row>
    <row r="180" spans="1:1" x14ac:dyDescent="0.55000000000000004">
      <c r="A180" t="s">
        <v>513</v>
      </c>
    </row>
    <row r="181" spans="1:1" x14ac:dyDescent="0.55000000000000004">
      <c r="A181" t="s">
        <v>514</v>
      </c>
    </row>
    <row r="182" spans="1:1" x14ac:dyDescent="0.55000000000000004">
      <c r="A182" t="s">
        <v>515</v>
      </c>
    </row>
    <row r="183" spans="1:1" x14ac:dyDescent="0.55000000000000004">
      <c r="A183" t="s">
        <v>516</v>
      </c>
    </row>
    <row r="184" spans="1:1" x14ac:dyDescent="0.55000000000000004">
      <c r="A184" t="s">
        <v>517</v>
      </c>
    </row>
    <row r="185" spans="1:1" x14ac:dyDescent="0.55000000000000004">
      <c r="A185" t="s">
        <v>347</v>
      </c>
    </row>
    <row r="186" spans="1:1" x14ac:dyDescent="0.55000000000000004">
      <c r="A186" t="s">
        <v>518</v>
      </c>
    </row>
    <row r="187" spans="1:1" x14ac:dyDescent="0.55000000000000004">
      <c r="A187" t="s">
        <v>5</v>
      </c>
    </row>
    <row r="188" spans="1:1" x14ac:dyDescent="0.55000000000000004">
      <c r="A188" t="s">
        <v>508</v>
      </c>
    </row>
    <row r="189" spans="1:1" x14ac:dyDescent="0.55000000000000004">
      <c r="A189" t="s">
        <v>519</v>
      </c>
    </row>
    <row r="190" spans="1:1" x14ac:dyDescent="0.55000000000000004">
      <c r="A190" t="s">
        <v>520</v>
      </c>
    </row>
    <row r="191" spans="1:1" x14ac:dyDescent="0.55000000000000004">
      <c r="A191" t="s">
        <v>512</v>
      </c>
    </row>
    <row r="192" spans="1:1" x14ac:dyDescent="0.55000000000000004">
      <c r="A192" t="s">
        <v>517</v>
      </c>
    </row>
    <row r="194" spans="1:1" x14ac:dyDescent="0.55000000000000004">
      <c r="A194" t="s">
        <v>521</v>
      </c>
    </row>
  </sheetData>
  <mergeCells count="4">
    <mergeCell ref="A6:C6"/>
    <mergeCell ref="A7:J7"/>
    <mergeCell ref="A8:J8"/>
    <mergeCell ref="A9:J9"/>
  </mergeCells>
  <hyperlinks>
    <hyperlink ref="A3" r:id="rId1" xr:uid="{BA6D17B3-A083-4311-B921-B862BEB4D6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C4C3-85C4-4A7E-AA1C-6FF9C011CE12}">
  <dimension ref="A1:CX6"/>
  <sheetViews>
    <sheetView zoomScaleNormal="100" workbookViewId="0">
      <pane xSplit="6" ySplit="1" topLeftCell="G2" activePane="bottomRight" state="frozen"/>
      <selection activeCell="G18" sqref="G18"/>
      <selection pane="topRight" activeCell="G18" sqref="G18"/>
      <selection pane="bottomLeft" activeCell="G18" sqref="G18"/>
      <selection pane="bottomRight" activeCell="C10" sqref="C10"/>
    </sheetView>
  </sheetViews>
  <sheetFormatPr defaultRowHeight="12.3" x14ac:dyDescent="0.4"/>
  <cols>
    <col min="1" max="1" width="8.83984375" style="9"/>
    <col min="2" max="2" width="13.68359375" style="9" bestFit="1" customWidth="1"/>
    <col min="3" max="3" width="11.7890625" style="9" bestFit="1" customWidth="1"/>
    <col min="4" max="4" width="9.3125" style="10" bestFit="1" customWidth="1"/>
    <col min="5" max="5" width="9.3125" style="10" customWidth="1"/>
    <col min="6" max="6" width="11.3671875" style="9" bestFit="1" customWidth="1"/>
    <col min="7" max="7" width="8.83984375" style="9"/>
    <col min="8" max="8" width="10.3671875" style="9" bestFit="1" customWidth="1"/>
    <col min="9" max="9" width="8.83984375" style="9"/>
    <col min="10" max="10" width="9.20703125" style="9" bestFit="1" customWidth="1"/>
    <col min="11" max="16384" width="8.83984375" style="9"/>
  </cols>
  <sheetData>
    <row r="1" spans="1:102" x14ac:dyDescent="0.4">
      <c r="A1" s="9" t="s">
        <v>336</v>
      </c>
      <c r="B1" s="9" t="s">
        <v>337</v>
      </c>
      <c r="C1" s="9" t="s">
        <v>337</v>
      </c>
      <c r="D1" s="10" t="s">
        <v>338</v>
      </c>
      <c r="E1" s="10" t="s">
        <v>339</v>
      </c>
      <c r="F1" s="9" t="s">
        <v>340</v>
      </c>
      <c r="G1" s="9">
        <v>5</v>
      </c>
      <c r="H1" s="9">
        <v>6</v>
      </c>
      <c r="I1" s="9">
        <v>7</v>
      </c>
      <c r="J1" s="9">
        <v>8</v>
      </c>
      <c r="K1" s="9">
        <v>9</v>
      </c>
      <c r="L1" s="9">
        <v>10</v>
      </c>
      <c r="M1" s="9">
        <v>11</v>
      </c>
      <c r="N1" s="9">
        <v>12</v>
      </c>
      <c r="O1" s="9">
        <v>13</v>
      </c>
      <c r="P1" s="9">
        <v>14</v>
      </c>
      <c r="Q1" s="9">
        <v>15</v>
      </c>
      <c r="R1" s="9">
        <v>16</v>
      </c>
      <c r="S1" s="9">
        <v>17</v>
      </c>
      <c r="T1" s="9">
        <v>18</v>
      </c>
      <c r="U1" s="9">
        <v>19</v>
      </c>
      <c r="V1" s="9">
        <v>20</v>
      </c>
      <c r="W1" s="9">
        <v>21</v>
      </c>
      <c r="X1" s="9">
        <v>22</v>
      </c>
      <c r="Y1" s="9">
        <v>23</v>
      </c>
      <c r="Z1" s="9">
        <v>24</v>
      </c>
      <c r="AA1" s="9">
        <v>25</v>
      </c>
      <c r="AB1" s="9">
        <v>26</v>
      </c>
      <c r="AC1" s="9">
        <v>27</v>
      </c>
      <c r="AD1" s="9">
        <v>28</v>
      </c>
      <c r="AE1" s="9">
        <v>29</v>
      </c>
      <c r="AF1" s="9">
        <v>30</v>
      </c>
      <c r="AG1" s="9">
        <v>31</v>
      </c>
      <c r="AH1" s="9">
        <v>32</v>
      </c>
      <c r="AI1" s="9">
        <v>33</v>
      </c>
      <c r="AJ1" s="9">
        <v>34</v>
      </c>
      <c r="AK1" s="9">
        <v>35</v>
      </c>
      <c r="AL1" s="9">
        <v>36</v>
      </c>
      <c r="AM1" s="9">
        <v>37</v>
      </c>
      <c r="AN1" s="9">
        <v>38</v>
      </c>
      <c r="AO1" s="9">
        <v>39</v>
      </c>
      <c r="AP1" s="9">
        <v>40</v>
      </c>
      <c r="AQ1" s="9">
        <v>41</v>
      </c>
      <c r="AR1" s="9">
        <v>42</v>
      </c>
      <c r="AS1" s="9">
        <v>43</v>
      </c>
      <c r="AT1" s="9">
        <v>44</v>
      </c>
      <c r="AU1" s="9">
        <v>45</v>
      </c>
      <c r="AV1" s="9">
        <v>46</v>
      </c>
      <c r="AW1" s="9">
        <v>47</v>
      </c>
      <c r="AX1" s="9">
        <v>48</v>
      </c>
      <c r="AY1" s="9">
        <v>49</v>
      </c>
      <c r="AZ1" s="9">
        <v>50</v>
      </c>
      <c r="BA1" s="9">
        <v>51</v>
      </c>
      <c r="BB1" s="9">
        <v>52</v>
      </c>
      <c r="BC1" s="9">
        <v>53</v>
      </c>
      <c r="BD1" s="9">
        <v>54</v>
      </c>
      <c r="BE1" s="9">
        <v>55</v>
      </c>
      <c r="BF1" s="9">
        <v>56</v>
      </c>
      <c r="BG1" s="9">
        <v>57</v>
      </c>
      <c r="BH1" s="9">
        <v>58</v>
      </c>
      <c r="BI1" s="9">
        <v>59</v>
      </c>
      <c r="BJ1" s="9">
        <v>60</v>
      </c>
      <c r="BK1" s="9">
        <v>61</v>
      </c>
      <c r="BL1" s="9">
        <v>62</v>
      </c>
      <c r="BM1" s="9">
        <v>63</v>
      </c>
      <c r="BN1" s="9">
        <v>64</v>
      </c>
      <c r="BO1" s="9">
        <v>65</v>
      </c>
      <c r="BP1" s="9">
        <v>66</v>
      </c>
      <c r="BQ1" s="9">
        <v>67</v>
      </c>
      <c r="BR1" s="9">
        <v>68</v>
      </c>
      <c r="BS1" s="9">
        <v>69</v>
      </c>
      <c r="BT1" s="9">
        <v>70</v>
      </c>
      <c r="BU1" s="9">
        <v>71</v>
      </c>
      <c r="BV1" s="9">
        <v>72</v>
      </c>
      <c r="BW1" s="9">
        <v>73</v>
      </c>
      <c r="BX1" s="9">
        <v>74</v>
      </c>
      <c r="BY1" s="9">
        <v>75</v>
      </c>
      <c r="BZ1" s="9">
        <v>76</v>
      </c>
      <c r="CA1" s="9">
        <v>77</v>
      </c>
      <c r="CB1" s="9">
        <v>78</v>
      </c>
      <c r="CC1" s="9">
        <v>79</v>
      </c>
      <c r="CD1" s="9">
        <v>80</v>
      </c>
      <c r="CE1" s="9">
        <v>81</v>
      </c>
      <c r="CF1" s="9">
        <v>82</v>
      </c>
      <c r="CG1" s="9">
        <v>83</v>
      </c>
      <c r="CH1" s="9">
        <v>84</v>
      </c>
      <c r="CI1" s="9">
        <v>85</v>
      </c>
      <c r="CJ1" s="9">
        <v>86</v>
      </c>
      <c r="CK1" s="9">
        <v>87</v>
      </c>
      <c r="CL1" s="9">
        <v>88</v>
      </c>
      <c r="CM1" s="9">
        <v>89</v>
      </c>
      <c r="CN1" s="9">
        <v>90</v>
      </c>
      <c r="CO1" s="9">
        <v>91</v>
      </c>
      <c r="CP1" s="9">
        <v>92</v>
      </c>
      <c r="CQ1" s="9">
        <v>93</v>
      </c>
      <c r="CR1" s="9">
        <v>94</v>
      </c>
      <c r="CS1" s="9">
        <v>95</v>
      </c>
      <c r="CT1" s="9">
        <v>96</v>
      </c>
      <c r="CU1" s="9">
        <v>97</v>
      </c>
      <c r="CV1" s="9">
        <v>98</v>
      </c>
      <c r="CW1" s="9">
        <v>99</v>
      </c>
      <c r="CX1" s="9">
        <v>100</v>
      </c>
    </row>
    <row r="2" spans="1:102" x14ac:dyDescent="0.4">
      <c r="A2" s="9" t="s">
        <v>98</v>
      </c>
      <c r="B2" s="9" t="s">
        <v>341</v>
      </c>
      <c r="C2" s="9" t="s">
        <v>207</v>
      </c>
      <c r="D2" s="10">
        <v>42.195</v>
      </c>
      <c r="E2" s="10">
        <f>D2/(5280*0.3048/1000)</f>
        <v>26.218757456454306</v>
      </c>
      <c r="F2" s="9">
        <v>7377</v>
      </c>
      <c r="G2" s="9">
        <v>0.60560000000000003</v>
      </c>
      <c r="H2" s="9">
        <v>0.65959999999999996</v>
      </c>
      <c r="I2" s="9">
        <v>0.70960000000000001</v>
      </c>
      <c r="J2" s="9">
        <v>0.75560000000000005</v>
      </c>
      <c r="K2" s="9">
        <v>0.79759999999999998</v>
      </c>
      <c r="L2" s="9">
        <v>0.83560000000000001</v>
      </c>
      <c r="M2" s="9">
        <v>0.86960000000000004</v>
      </c>
      <c r="N2" s="9">
        <v>0.89959999999999996</v>
      </c>
      <c r="O2" s="9">
        <v>0.92559999999999998</v>
      </c>
      <c r="P2" s="9">
        <v>0.9476</v>
      </c>
      <c r="Q2" s="9">
        <v>0.96560000000000001</v>
      </c>
      <c r="R2" s="9">
        <v>0.97960000000000003</v>
      </c>
      <c r="S2" s="9">
        <v>0.99160000000000004</v>
      </c>
      <c r="T2" s="9">
        <v>0.99929999999999997</v>
      </c>
      <c r="U2" s="9">
        <v>1</v>
      </c>
      <c r="V2" s="9">
        <v>1</v>
      </c>
      <c r="W2" s="9">
        <v>1</v>
      </c>
      <c r="X2" s="9">
        <v>1</v>
      </c>
      <c r="Y2" s="9">
        <v>1</v>
      </c>
      <c r="Z2" s="9">
        <v>1</v>
      </c>
      <c r="AA2" s="9">
        <v>1</v>
      </c>
      <c r="AB2" s="9">
        <v>1</v>
      </c>
      <c r="AC2" s="9">
        <v>1</v>
      </c>
      <c r="AD2" s="9">
        <v>1</v>
      </c>
      <c r="AE2" s="9">
        <v>1</v>
      </c>
      <c r="AF2" s="9">
        <v>1</v>
      </c>
      <c r="AG2" s="9">
        <v>1</v>
      </c>
      <c r="AH2" s="9">
        <v>0.99980000000000002</v>
      </c>
      <c r="AI2" s="9">
        <v>0.99890000000000001</v>
      </c>
      <c r="AJ2" s="9">
        <v>0.99729999999999996</v>
      </c>
      <c r="AK2" s="9">
        <v>0.995</v>
      </c>
      <c r="AL2" s="9">
        <v>0.99199999999999999</v>
      </c>
      <c r="AM2" s="9">
        <v>0.98819999999999997</v>
      </c>
      <c r="AN2" s="9">
        <v>0.98370000000000002</v>
      </c>
      <c r="AO2" s="9">
        <v>0.97840000000000005</v>
      </c>
      <c r="AP2" s="9">
        <v>0.97250000000000003</v>
      </c>
      <c r="AQ2" s="9">
        <v>0.96579999999999999</v>
      </c>
      <c r="AR2" s="9">
        <v>0.95840000000000003</v>
      </c>
      <c r="AS2" s="9">
        <v>0.9506</v>
      </c>
      <c r="AT2" s="9">
        <v>0.94279999999999997</v>
      </c>
      <c r="AU2" s="9">
        <v>0.93500000000000005</v>
      </c>
      <c r="AV2" s="9">
        <v>0.92730000000000001</v>
      </c>
      <c r="AW2" s="9">
        <v>0.91949999999999998</v>
      </c>
      <c r="AX2" s="9">
        <v>0.91169999999999995</v>
      </c>
      <c r="AY2" s="9">
        <v>0.90390000000000004</v>
      </c>
      <c r="AZ2" s="9">
        <v>0.89610000000000001</v>
      </c>
      <c r="BA2" s="9">
        <v>0.88839999999999997</v>
      </c>
      <c r="BB2" s="9">
        <v>0.88060000000000005</v>
      </c>
      <c r="BC2" s="9">
        <v>0.87280000000000002</v>
      </c>
      <c r="BD2" s="9">
        <v>0.86499999999999999</v>
      </c>
      <c r="BE2" s="9">
        <v>0.85719999999999996</v>
      </c>
      <c r="BF2" s="9">
        <v>0.84950000000000003</v>
      </c>
      <c r="BG2" s="9">
        <v>0.8417</v>
      </c>
      <c r="BH2" s="9">
        <v>0.83389999999999997</v>
      </c>
      <c r="BI2" s="9">
        <v>0.82609999999999995</v>
      </c>
      <c r="BJ2" s="9">
        <v>0.81830000000000003</v>
      </c>
      <c r="BK2" s="9">
        <v>0.81059999999999999</v>
      </c>
      <c r="BL2" s="9">
        <v>0.80279999999999996</v>
      </c>
      <c r="BM2" s="9">
        <v>0.79500000000000004</v>
      </c>
      <c r="BN2" s="9">
        <v>0.78720000000000001</v>
      </c>
      <c r="BO2" s="9">
        <v>0.77939999999999998</v>
      </c>
      <c r="BP2" s="9">
        <v>0.77170000000000005</v>
      </c>
      <c r="BQ2" s="9">
        <v>0.76390000000000002</v>
      </c>
      <c r="BR2" s="9">
        <v>0.75609999999999999</v>
      </c>
      <c r="BS2" s="9">
        <v>0.74829999999999997</v>
      </c>
      <c r="BT2" s="9">
        <v>0.74050000000000005</v>
      </c>
      <c r="BU2" s="9">
        <v>0.73240000000000005</v>
      </c>
      <c r="BV2" s="9">
        <v>0.72360000000000002</v>
      </c>
      <c r="BW2" s="9">
        <v>0.71399999999999997</v>
      </c>
      <c r="BX2" s="9">
        <v>0.70379999999999998</v>
      </c>
      <c r="BY2" s="9">
        <v>0.69289999999999996</v>
      </c>
      <c r="BZ2" s="9">
        <v>0.68130000000000002</v>
      </c>
      <c r="CA2" s="9">
        <v>0.66890000000000005</v>
      </c>
      <c r="CB2" s="9">
        <v>0.65590000000000004</v>
      </c>
      <c r="CC2" s="9">
        <v>0.64219999999999999</v>
      </c>
      <c r="CD2" s="9">
        <v>0.62770000000000004</v>
      </c>
      <c r="CE2" s="9">
        <v>0.61260000000000003</v>
      </c>
      <c r="CF2" s="9">
        <v>0.5968</v>
      </c>
      <c r="CG2" s="9">
        <v>0.58020000000000005</v>
      </c>
      <c r="CH2" s="9">
        <v>0.56299999999999994</v>
      </c>
      <c r="CI2" s="9">
        <v>0.54510000000000003</v>
      </c>
      <c r="CJ2" s="9">
        <v>0.52649999999999997</v>
      </c>
      <c r="CK2" s="9">
        <v>0.5071</v>
      </c>
      <c r="CL2" s="9">
        <v>0.48709999999999998</v>
      </c>
      <c r="CM2" s="9">
        <v>0.46639999999999998</v>
      </c>
      <c r="CN2" s="9">
        <v>0.44490000000000002</v>
      </c>
      <c r="CO2" s="9">
        <v>0.42280000000000001</v>
      </c>
      <c r="CP2" s="9">
        <v>0.4</v>
      </c>
      <c r="CQ2" s="9">
        <v>0.37640000000000001</v>
      </c>
      <c r="CR2" s="9">
        <v>0.35220000000000001</v>
      </c>
      <c r="CS2" s="9">
        <v>0.32729999999999998</v>
      </c>
      <c r="CT2" s="9">
        <v>0.30170000000000002</v>
      </c>
      <c r="CU2" s="9">
        <v>0.27529999999999999</v>
      </c>
      <c r="CV2" s="9">
        <v>0.24829999999999999</v>
      </c>
      <c r="CW2" s="9">
        <v>0.22059999999999999</v>
      </c>
      <c r="CX2" s="9">
        <v>0.19209999999999999</v>
      </c>
    </row>
    <row r="3" spans="1:102" x14ac:dyDescent="0.4">
      <c r="A3" s="9" t="s">
        <v>2</v>
      </c>
      <c r="B3" s="9" t="s">
        <v>342</v>
      </c>
      <c r="C3" s="9" t="s">
        <v>207</v>
      </c>
      <c r="D3" s="10">
        <v>42.195</v>
      </c>
      <c r="E3" s="10">
        <f>D3/(5280*0.3048/1000)</f>
        <v>26.218757456454306</v>
      </c>
      <c r="F3" s="9">
        <v>8125</v>
      </c>
      <c r="G3" s="9">
        <v>0.69299999999999995</v>
      </c>
      <c r="H3" s="9">
        <v>0.72629999999999995</v>
      </c>
      <c r="I3" s="9">
        <v>0.75780000000000003</v>
      </c>
      <c r="J3" s="9">
        <v>0.78739999999999999</v>
      </c>
      <c r="K3" s="9">
        <v>0.81520000000000004</v>
      </c>
      <c r="L3" s="9">
        <v>0.84130000000000005</v>
      </c>
      <c r="M3" s="9">
        <v>0.86539999999999995</v>
      </c>
      <c r="N3" s="9">
        <v>0.88780000000000003</v>
      </c>
      <c r="O3" s="9">
        <v>0.90839999999999999</v>
      </c>
      <c r="P3" s="9">
        <v>0.92710000000000004</v>
      </c>
      <c r="Q3" s="9">
        <v>0.94399999999999995</v>
      </c>
      <c r="R3" s="9">
        <v>0.96</v>
      </c>
      <c r="S3" s="9">
        <v>0.97599999999999998</v>
      </c>
      <c r="T3" s="9">
        <v>0.98929999999999996</v>
      </c>
      <c r="U3" s="9">
        <v>0.99729999999999996</v>
      </c>
      <c r="V3" s="9">
        <v>1</v>
      </c>
      <c r="W3" s="9">
        <v>1</v>
      </c>
      <c r="X3" s="9">
        <v>1</v>
      </c>
      <c r="Y3" s="9">
        <v>1</v>
      </c>
      <c r="Z3" s="9">
        <v>1</v>
      </c>
      <c r="AA3" s="9">
        <v>1</v>
      </c>
      <c r="AB3" s="9">
        <v>1</v>
      </c>
      <c r="AC3" s="9">
        <v>1</v>
      </c>
      <c r="AD3" s="9">
        <v>1</v>
      </c>
      <c r="AE3" s="9">
        <v>1</v>
      </c>
      <c r="AF3" s="9">
        <v>1</v>
      </c>
      <c r="AG3" s="9">
        <v>0.99980000000000002</v>
      </c>
      <c r="AH3" s="9">
        <v>0.99890000000000001</v>
      </c>
      <c r="AI3" s="9">
        <v>0.99739999999999995</v>
      </c>
      <c r="AJ3" s="9">
        <v>0.99529999999999996</v>
      </c>
      <c r="AK3" s="9">
        <v>0.99260000000000004</v>
      </c>
      <c r="AL3" s="9">
        <v>0.98929999999999996</v>
      </c>
      <c r="AM3" s="9">
        <v>0.98540000000000005</v>
      </c>
      <c r="AN3" s="9">
        <v>0.98080000000000001</v>
      </c>
      <c r="AO3" s="9">
        <v>0.97570000000000001</v>
      </c>
      <c r="AP3" s="9">
        <v>0.96989999999999998</v>
      </c>
      <c r="AQ3" s="9">
        <v>0.96350000000000002</v>
      </c>
      <c r="AR3" s="9">
        <v>0.95650000000000002</v>
      </c>
      <c r="AS3" s="9">
        <v>0.94889999999999997</v>
      </c>
      <c r="AT3" s="9">
        <v>0.94059999999999999</v>
      </c>
      <c r="AU3" s="9">
        <v>0.93179999999999996</v>
      </c>
      <c r="AV3" s="9">
        <v>0.92230000000000001</v>
      </c>
      <c r="AW3" s="9">
        <v>0.91220000000000001</v>
      </c>
      <c r="AX3" s="9">
        <v>0.90159999999999996</v>
      </c>
      <c r="AY3" s="9">
        <v>0.89059999999999995</v>
      </c>
      <c r="AZ3" s="9">
        <v>0.87960000000000005</v>
      </c>
      <c r="BA3" s="9">
        <v>0.86860000000000004</v>
      </c>
      <c r="BB3" s="9">
        <v>0.85760000000000003</v>
      </c>
      <c r="BC3" s="9">
        <v>0.84660000000000002</v>
      </c>
      <c r="BD3" s="9">
        <v>0.83560000000000001</v>
      </c>
      <c r="BE3" s="9">
        <v>0.8246</v>
      </c>
      <c r="BF3" s="9">
        <v>0.81359999999999999</v>
      </c>
      <c r="BG3" s="9">
        <v>0.80259999999999998</v>
      </c>
      <c r="BH3" s="9">
        <v>0.79159999999999997</v>
      </c>
      <c r="BI3" s="9">
        <v>0.78059999999999996</v>
      </c>
      <c r="BJ3" s="9">
        <v>0.76959999999999995</v>
      </c>
      <c r="BK3" s="9">
        <v>0.75860000000000005</v>
      </c>
      <c r="BL3" s="9">
        <v>0.74760000000000004</v>
      </c>
      <c r="BM3" s="9">
        <v>0.73660000000000003</v>
      </c>
      <c r="BN3" s="9">
        <v>0.72560000000000002</v>
      </c>
      <c r="BO3" s="9">
        <v>0.71460000000000001</v>
      </c>
      <c r="BP3" s="9">
        <v>0.7036</v>
      </c>
      <c r="BQ3" s="9">
        <v>0.69259999999999999</v>
      </c>
      <c r="BR3" s="9">
        <v>0.68159999999999998</v>
      </c>
      <c r="BS3" s="9">
        <v>0.67059999999999997</v>
      </c>
      <c r="BT3" s="9">
        <v>0.65959999999999996</v>
      </c>
      <c r="BU3" s="9">
        <v>0.64859999999999995</v>
      </c>
      <c r="BV3" s="9">
        <v>0.63759999999999994</v>
      </c>
      <c r="BW3" s="9">
        <v>0.62660000000000005</v>
      </c>
      <c r="BX3" s="9">
        <v>0.61560000000000004</v>
      </c>
      <c r="BY3" s="9">
        <v>0.60419999999999996</v>
      </c>
      <c r="BZ3" s="9">
        <v>0.59199999999999997</v>
      </c>
      <c r="CA3" s="9">
        <v>0.57899999999999996</v>
      </c>
      <c r="CB3" s="9">
        <v>0.56520000000000004</v>
      </c>
      <c r="CC3" s="9">
        <v>0.55059999999999998</v>
      </c>
      <c r="CD3" s="9">
        <v>0.53520000000000001</v>
      </c>
      <c r="CE3" s="9">
        <v>0.51900000000000002</v>
      </c>
      <c r="CF3" s="9">
        <v>0.502</v>
      </c>
      <c r="CG3" s="9">
        <v>0.48420000000000002</v>
      </c>
      <c r="CH3" s="9">
        <v>0.46560000000000001</v>
      </c>
      <c r="CI3" s="9">
        <v>0.44619999999999999</v>
      </c>
      <c r="CJ3" s="9">
        <v>0.42599999999999999</v>
      </c>
      <c r="CK3" s="9">
        <v>0.40500000000000003</v>
      </c>
      <c r="CL3" s="9">
        <v>0.38319999999999999</v>
      </c>
      <c r="CM3" s="9">
        <v>0.36059999999999998</v>
      </c>
      <c r="CN3" s="9">
        <v>0.3372</v>
      </c>
      <c r="CO3" s="9">
        <v>0.313</v>
      </c>
      <c r="CP3" s="9">
        <v>0.28799999999999998</v>
      </c>
      <c r="CQ3" s="9">
        <v>0.26219999999999999</v>
      </c>
      <c r="CR3" s="9">
        <v>0.2356</v>
      </c>
      <c r="CS3" s="9">
        <v>0.2082</v>
      </c>
      <c r="CT3" s="9">
        <v>0.18</v>
      </c>
      <c r="CU3" s="9">
        <v>0.151</v>
      </c>
      <c r="CV3" s="9">
        <v>0.1212</v>
      </c>
      <c r="CW3" s="9">
        <v>9.06E-2</v>
      </c>
      <c r="CX3" s="9">
        <v>5.9200000000000003E-2</v>
      </c>
    </row>
    <row r="6" spans="1:102" ht="106.8" customHeight="1" x14ac:dyDescent="0.4">
      <c r="A6" s="92" t="s">
        <v>598</v>
      </c>
      <c r="B6" s="92"/>
      <c r="C6" s="92"/>
      <c r="D6" s="92"/>
      <c r="E6" s="92"/>
      <c r="F6" s="92"/>
    </row>
  </sheetData>
  <mergeCells count="1">
    <mergeCell ref="A6:F6"/>
  </mergeCells>
  <pageMargins left="0.75" right="0.75" top="1" bottom="1" header="0.5" footer="0.5"/>
  <pageSetup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CC782-1A17-4B19-BFC3-F9F717246276}">
  <dimension ref="A1:O140"/>
  <sheetViews>
    <sheetView tabSelected="1" workbookViewId="0">
      <selection activeCell="G19" sqref="G19"/>
    </sheetView>
  </sheetViews>
  <sheetFormatPr defaultRowHeight="14.4" x14ac:dyDescent="0.55000000000000004"/>
  <cols>
    <col min="1" max="1" width="8.9453125" bestFit="1" customWidth="1"/>
    <col min="2" max="2" width="6" bestFit="1" customWidth="1"/>
    <col min="3" max="3" width="6.734375" style="8" bestFit="1" customWidth="1"/>
    <col min="4" max="4" width="10.1015625" bestFit="1" customWidth="1"/>
    <col min="5" max="5" width="9.89453125" bestFit="1" customWidth="1"/>
    <col min="6" max="7" width="19.15625" bestFit="1" customWidth="1"/>
    <col min="8" max="8" width="20.7890625" bestFit="1" customWidth="1"/>
    <col min="9" max="9" width="7.68359375" bestFit="1" customWidth="1"/>
    <col min="10" max="10" width="11.5234375" bestFit="1" customWidth="1"/>
    <col min="11" max="11" width="12.89453125" bestFit="1" customWidth="1"/>
    <col min="12" max="13" width="9.89453125" bestFit="1" customWidth="1"/>
    <col min="14" max="14" width="13.9453125" bestFit="1" customWidth="1"/>
  </cols>
  <sheetData>
    <row r="1" spans="1:15" x14ac:dyDescent="0.55000000000000004">
      <c r="A1" t="s">
        <v>593</v>
      </c>
    </row>
    <row r="2" spans="1:15" x14ac:dyDescent="0.55000000000000004">
      <c r="D2" t="s">
        <v>596</v>
      </c>
      <c r="F2" s="71"/>
      <c r="G2" s="84">
        <v>2020</v>
      </c>
      <c r="H2" s="84">
        <v>2015</v>
      </c>
    </row>
    <row r="3" spans="1:15" x14ac:dyDescent="0.55000000000000004">
      <c r="C3" s="8" t="s">
        <v>594</v>
      </c>
      <c r="D3" s="8">
        <f>_xlfn.MINIFS(Table12[SAR],Table12[Gender],"M")</f>
        <v>8.4479166666666661E-2</v>
      </c>
      <c r="F3" s="85" t="s">
        <v>588</v>
      </c>
      <c r="G3" s="86">
        <f>[3]AgeStdFactors!$P$5</f>
        <v>8.4479166666666661E-2</v>
      </c>
      <c r="H3" s="83">
        <v>8.5381944444444455E-2</v>
      </c>
      <c r="J3" t="s">
        <v>592</v>
      </c>
      <c r="K3" s="7">
        <v>42005</v>
      </c>
    </row>
    <row r="4" spans="1:15" x14ac:dyDescent="0.55000000000000004">
      <c r="C4" s="8" t="s">
        <v>595</v>
      </c>
      <c r="D4" s="8">
        <f>_xlfn.MINIFS(Table12[SAR],Table12[Gender],"F")</f>
        <v>9.3101851851851838E-2</v>
      </c>
      <c r="F4" s="85" t="s">
        <v>589</v>
      </c>
      <c r="G4" s="86">
        <f>[4]AgeStdFactors!$P$5</f>
        <v>9.3101851851851838E-2</v>
      </c>
      <c r="H4" s="83">
        <v>9.403935185185186E-2</v>
      </c>
    </row>
    <row r="6" spans="1:15" x14ac:dyDescent="0.55000000000000004">
      <c r="A6" t="s">
        <v>531</v>
      </c>
      <c r="B6" t="s">
        <v>183</v>
      </c>
      <c r="C6" s="8" t="s">
        <v>586</v>
      </c>
      <c r="D6" t="s">
        <v>587</v>
      </c>
      <c r="E6" s="71" t="s">
        <v>597</v>
      </c>
      <c r="F6" t="s">
        <v>328</v>
      </c>
      <c r="G6" t="s">
        <v>329</v>
      </c>
      <c r="H6" t="s">
        <v>330</v>
      </c>
      <c r="I6" t="s">
        <v>590</v>
      </c>
      <c r="J6" t="s">
        <v>331</v>
      </c>
      <c r="K6" t="s">
        <v>179</v>
      </c>
      <c r="L6" t="s">
        <v>591</v>
      </c>
      <c r="M6" t="s">
        <v>333</v>
      </c>
      <c r="N6" t="s">
        <v>334</v>
      </c>
      <c r="O6" t="s">
        <v>335</v>
      </c>
    </row>
    <row r="7" spans="1:15" x14ac:dyDescent="0.55000000000000004">
      <c r="A7" s="71" t="s">
        <v>98</v>
      </c>
      <c r="B7" s="71">
        <v>18</v>
      </c>
      <c r="C7" s="87">
        <f>IF(A7="M",VLOOKUP(B7,'ARRS Marathon SARs (formatted)'!$B$11:$S$97,2),IF(A7="F",VLOOKUP(B7,'ARRS Marathon SARs (formatted)'!$B$98:$S$183,2)))</f>
        <v>8.6481481481481479E-2</v>
      </c>
      <c r="D7" s="88">
        <f t="shared" ref="D7:D60" si="0">C7*1440</f>
        <v>124.53333333333333</v>
      </c>
      <c r="E7" s="87" t="str">
        <f>IF(Table12[[#This Row],[SAR]]=$D$3,"Yes",IF(Table12[[#This Row],[SAR]]=$D$4, "Yes", "No"))</f>
        <v>No</v>
      </c>
      <c r="F7" s="71">
        <f>IF(A7="M",VLOOKUP(B7,[3]AgeStdFactors!$A$2:$V$100,16),IF(A7="F",VLOOKUP(B7,[4]AgeStdFactors!$A$2:$V$101,16)))</f>
        <v>0.99929999999999997</v>
      </c>
      <c r="G7" s="87">
        <f>IF(A7="M", Male_2020_Open_Standard/F7,IF(A7="F",Female_2020_Open_Standard/F7))</f>
        <v>8.4538343507121652E-2</v>
      </c>
      <c r="H7" s="88">
        <f>G7*1440</f>
        <v>121.73521465025517</v>
      </c>
      <c r="I7" s="88">
        <f>D7-H7</f>
        <v>2.7981186830781581</v>
      </c>
      <c r="J7" s="89">
        <f>I7/D7</f>
        <v>2.2468833108229322E-2</v>
      </c>
      <c r="K7" s="90">
        <f>IF(A7="M",VLOOKUP(B7,'ARRS Marathon SARs (formatted)'!$B$11:$S$97,5),IF(A7="F",VLOOKUP(B7,'ARRS Marathon SARs (formatted)'!$B$98:$S$183,5)))</f>
        <v>41663</v>
      </c>
      <c r="L7" s="71" t="str">
        <f>IF(K7&gt;=$K$3,"Set after","Set before")</f>
        <v>Set before</v>
      </c>
      <c r="M7" s="91">
        <f>INDEX('2015_Road Weights'!$A:$CX,MATCH(Table12[[#This Row],[Gender]],'2015_Road Weights'!$A:$A,0),MATCH(Table12[[#This Row],[Age]],'2015_Road Weights'!$1:$1,0))</f>
        <v>0.99929999999999997</v>
      </c>
      <c r="N7" s="87">
        <f>IF(A7="M", Male_2015_Open_Standard/M7,IF(A7="F",Female_2020_Open_Standard/M7))</f>
        <v>8.544175367201487E-2</v>
      </c>
      <c r="O7" s="88">
        <f>Table12[[#This Row],[2015_AS]]*1440</f>
        <v>123.03612528770141</v>
      </c>
    </row>
    <row r="8" spans="1:15" x14ac:dyDescent="0.55000000000000004">
      <c r="A8" s="71" t="s">
        <v>98</v>
      </c>
      <c r="B8" s="71">
        <v>19</v>
      </c>
      <c r="C8" s="87">
        <f>IF(A8="M",VLOOKUP(B8,'ARRS Marathon SARs (formatted)'!$B$11:$S$97,2),IF(A8="F",VLOOKUP(B8,'ARRS Marathon SARs (formatted)'!$B$98:$S$183,2)))</f>
        <v>8.666666666666667E-2</v>
      </c>
      <c r="D8" s="88">
        <f t="shared" si="0"/>
        <v>124.80000000000001</v>
      </c>
      <c r="E8" s="87" t="str">
        <f>IF(Table12[[#This Row],[SAR]]=$D$3,"Yes",IF(Table12[[#This Row],[SAR]]=$D$4, "Yes", "No"))</f>
        <v>No</v>
      </c>
      <c r="F8" s="71">
        <f>IF(A8="M",VLOOKUP(B8,[3]AgeStdFactors!$A$2:$V$100,16),IF(A8="F",VLOOKUP(B8,[4]AgeStdFactors!$A$2:$V$101,16)))</f>
        <v>1</v>
      </c>
      <c r="G8" s="87">
        <f>IF(A8="M", Male_2020_Open_Standard/F8,IF(A8="F",Female_2020_Open_Standard/F8))</f>
        <v>8.4479166666666661E-2</v>
      </c>
      <c r="H8" s="88">
        <f t="shared" ref="H8:H71" si="1">G8*1440</f>
        <v>121.64999999999999</v>
      </c>
      <c r="I8" s="88">
        <f>D8-H8</f>
        <v>3.1500000000000199</v>
      </c>
      <c r="J8" s="89">
        <f>I8/D8</f>
        <v>2.5240384615384772E-2</v>
      </c>
      <c r="K8" s="90">
        <f>IF(A8="M",VLOOKUP(B8,'ARRS Marathon SARs (formatted)'!$B$11:$S$97,5),IF(A8="F",VLOOKUP(B8,'ARRS Marathon SARs (formatted)'!$B$98:$S$183,5)))</f>
        <v>41299</v>
      </c>
      <c r="L8" s="71" t="str">
        <f t="shared" ref="L8:L71" si="2">IF(K8&gt;=$K$3,"Set after","Set before")</f>
        <v>Set before</v>
      </c>
      <c r="M8" s="91">
        <f>INDEX('2015_Road Weights'!$A:$CX,MATCH(Table12[[#This Row],[Gender]],'2015_Road Weights'!$A:$A,0),MATCH(Table12[[#This Row],[Age]],'2015_Road Weights'!$1:$1,0))</f>
        <v>1</v>
      </c>
      <c r="N8" s="87">
        <f>IF(A8="M", Male_2015_Open_Standard/M8,IF(A8="F",Female_2020_Open_Standard/M8))</f>
        <v>8.5381944444444455E-2</v>
      </c>
      <c r="O8" s="88">
        <f>Table12[[#This Row],[2015_AS]]*1440</f>
        <v>122.95000000000002</v>
      </c>
    </row>
    <row r="9" spans="1:15" x14ac:dyDescent="0.55000000000000004">
      <c r="A9" s="71" t="s">
        <v>98</v>
      </c>
      <c r="B9" s="71">
        <v>20</v>
      </c>
      <c r="C9" s="87">
        <f>IF(A9="M",VLOOKUP(B9,'ARRS Marathon SARs (formatted)'!$B$11:$S$97,2),IF(A9="F",VLOOKUP(B9,'ARRS Marathon SARs (formatted)'!$B$98:$S$183,2)))</f>
        <v>8.6643518518518522E-2</v>
      </c>
      <c r="D9" s="88">
        <f t="shared" si="0"/>
        <v>124.76666666666667</v>
      </c>
      <c r="E9" s="87" t="str">
        <f>IF(Table12[[#This Row],[SAR]]=$D$3,"Yes",IF(Table12[[#This Row],[SAR]]=$D$4, "Yes", "No"))</f>
        <v>No</v>
      </c>
      <c r="F9" s="71">
        <f>IF(A9="M",VLOOKUP(B9,[3]AgeStdFactors!$A$2:$V$100,16),IF(A9="F",VLOOKUP(B9,[4]AgeStdFactors!$A$2:$V$101,16)))</f>
        <v>1</v>
      </c>
      <c r="G9" s="87">
        <f>IF(A9="M", Male_2020_Open_Standard/F9,IF(A9="F",Female_2020_Open_Standard/F9))</f>
        <v>8.4479166666666661E-2</v>
      </c>
      <c r="H9" s="88">
        <f t="shared" si="1"/>
        <v>121.64999999999999</v>
      </c>
      <c r="I9" s="88">
        <f>D9-H9</f>
        <v>3.1166666666666742</v>
      </c>
      <c r="J9" s="89">
        <f>I9/D9</f>
        <v>2.497996259684751E-2</v>
      </c>
      <c r="K9" s="90">
        <f>IF(A9="M",VLOOKUP(B9,'ARRS Marathon SARs (formatted)'!$B$11:$S$97,5),IF(A9="F",VLOOKUP(B9,'ARRS Marathon SARs (formatted)'!$B$98:$S$183,5)))</f>
        <v>42391</v>
      </c>
      <c r="L9" s="71" t="str">
        <f t="shared" si="2"/>
        <v>Set after</v>
      </c>
      <c r="M9" s="91">
        <f>INDEX('2015_Road Weights'!$A:$CX,MATCH(Table12[[#This Row],[Gender]],'2015_Road Weights'!$A:$A,0),MATCH(Table12[[#This Row],[Age]],'2015_Road Weights'!$1:$1,0))</f>
        <v>1</v>
      </c>
      <c r="N9" s="87">
        <f>IF(A9="M", Male_2015_Open_Standard/M9,IF(A9="F",Female_2020_Open_Standard/M9))</f>
        <v>8.5381944444444455E-2</v>
      </c>
      <c r="O9" s="88">
        <f>Table12[[#This Row],[2015_AS]]*1440</f>
        <v>122.95000000000002</v>
      </c>
    </row>
    <row r="10" spans="1:15" x14ac:dyDescent="0.55000000000000004">
      <c r="A10" s="71" t="s">
        <v>98</v>
      </c>
      <c r="B10" s="71">
        <v>21</v>
      </c>
      <c r="C10" s="87">
        <f>IF(A10="M",VLOOKUP(B10,'ARRS Marathon SARs (formatted)'!$B$11:$S$97,2),IF(A10="F",VLOOKUP(B10,'ARRS Marathon SARs (formatted)'!$B$98:$S$183,2)))</f>
        <v>8.637731481481481E-2</v>
      </c>
      <c r="D10" s="88">
        <f t="shared" si="0"/>
        <v>124.38333333333333</v>
      </c>
      <c r="E10" s="87" t="str">
        <f>IF(Table12[[#This Row],[SAR]]=$D$3,"Yes",IF(Table12[[#This Row],[SAR]]=$D$4, "Yes", "No"))</f>
        <v>No</v>
      </c>
      <c r="F10" s="71">
        <f>IF(A10="M",VLOOKUP(B10,[3]AgeStdFactors!$A$2:$V$100,16),IF(A10="F",VLOOKUP(B10,[4]AgeStdFactors!$A$2:$V$101,16)))</f>
        <v>1</v>
      </c>
      <c r="G10" s="87">
        <f>IF(A10="M", Male_2020_Open_Standard/F10,IF(A10="F",Female_2020_Open_Standard/F10))</f>
        <v>8.4479166666666661E-2</v>
      </c>
      <c r="H10" s="88">
        <f t="shared" si="1"/>
        <v>121.64999999999999</v>
      </c>
      <c r="I10" s="88">
        <f>D10-H10</f>
        <v>2.7333333333333343</v>
      </c>
      <c r="J10" s="89">
        <f>I10/D10</f>
        <v>2.1975077046764043E-2</v>
      </c>
      <c r="K10" s="90">
        <f>IF(A10="M",VLOOKUP(B10,'ARRS Marathon SARs (formatted)'!$B$11:$S$97,5),IF(A10="F",VLOOKUP(B10,'ARRS Marathon SARs (formatted)'!$B$98:$S$183,5)))</f>
        <v>40935</v>
      </c>
      <c r="L10" s="71" t="str">
        <f t="shared" si="2"/>
        <v>Set before</v>
      </c>
      <c r="M10" s="91">
        <f>INDEX('2015_Road Weights'!$A:$CX,MATCH(Table12[[#This Row],[Gender]],'2015_Road Weights'!$A:$A,0),MATCH(Table12[[#This Row],[Age]],'2015_Road Weights'!$1:$1,0))</f>
        <v>1</v>
      </c>
      <c r="N10" s="87">
        <f>IF(A10="M", Male_2015_Open_Standard/M10,IF(A10="F",Female_2020_Open_Standard/M10))</f>
        <v>8.5381944444444455E-2</v>
      </c>
      <c r="O10" s="88">
        <f>Table12[[#This Row],[2015_AS]]*1440</f>
        <v>122.95000000000002</v>
      </c>
    </row>
    <row r="11" spans="1:15" x14ac:dyDescent="0.55000000000000004">
      <c r="A11" s="71" t="s">
        <v>98</v>
      </c>
      <c r="B11" s="71">
        <v>22</v>
      </c>
      <c r="C11" s="87">
        <f>IF(A11="M",VLOOKUP(B11,'ARRS Marathon SARs (formatted)'!$B$11:$S$97,2),IF(A11="F",VLOOKUP(B11,'ARRS Marathon SARs (formatted)'!$B$98:$S$183,2)))</f>
        <v>8.671296296296295E-2</v>
      </c>
      <c r="D11" s="88">
        <f t="shared" si="0"/>
        <v>124.86666666666665</v>
      </c>
      <c r="E11" s="87" t="str">
        <f>IF(Table12[[#This Row],[SAR]]=$D$3,"Yes",IF(Table12[[#This Row],[SAR]]=$D$4, "Yes", "No"))</f>
        <v>No</v>
      </c>
      <c r="F11" s="71">
        <f>IF(A11="M",VLOOKUP(B11,[3]AgeStdFactors!$A$2:$V$100,16),IF(A11="F",VLOOKUP(B11,[4]AgeStdFactors!$A$2:$V$101,16)))</f>
        <v>1</v>
      </c>
      <c r="G11" s="87">
        <f>IF(A11="M", Male_2020_Open_Standard/F11,IF(A11="F",Female_2020_Open_Standard/F11))</f>
        <v>8.4479166666666661E-2</v>
      </c>
      <c r="H11" s="88">
        <f t="shared" si="1"/>
        <v>121.64999999999999</v>
      </c>
      <c r="I11" s="88">
        <f>D11-H11</f>
        <v>3.2166666666666544</v>
      </c>
      <c r="J11" s="89">
        <f>I11/D11</f>
        <v>2.5760811532301028E-2</v>
      </c>
      <c r="K11" s="90">
        <f>IF(A11="M",VLOOKUP(B11,'ARRS Marathon SARs (formatted)'!$B$11:$S$97,5),IF(A11="F",VLOOKUP(B11,'ARRS Marathon SARs (formatted)'!$B$98:$S$183,5)))</f>
        <v>41189</v>
      </c>
      <c r="L11" s="71" t="str">
        <f t="shared" si="2"/>
        <v>Set before</v>
      </c>
      <c r="M11" s="91">
        <f>INDEX('2015_Road Weights'!$A:$CX,MATCH(Table12[[#This Row],[Gender]],'2015_Road Weights'!$A:$A,0),MATCH(Table12[[#This Row],[Age]],'2015_Road Weights'!$1:$1,0))</f>
        <v>1</v>
      </c>
      <c r="N11" s="87">
        <f>IF(A11="M", Male_2015_Open_Standard/M11,IF(A11="F",Female_2020_Open_Standard/M11))</f>
        <v>8.5381944444444455E-2</v>
      </c>
      <c r="O11" s="88">
        <f>Table12[[#This Row],[2015_AS]]*1440</f>
        <v>122.95000000000002</v>
      </c>
    </row>
    <row r="12" spans="1:15" x14ac:dyDescent="0.55000000000000004">
      <c r="A12" s="71" t="s">
        <v>98</v>
      </c>
      <c r="B12" s="71">
        <v>23</v>
      </c>
      <c r="C12" s="87">
        <f>IF(A12="M",VLOOKUP(B12,'ARRS Marathon SARs (formatted)'!$B$11:$S$97,2),IF(A12="F",VLOOKUP(B12,'ARRS Marathon SARs (formatted)'!$B$98:$S$183,2)))</f>
        <v>8.6284722222222221E-2</v>
      </c>
      <c r="D12" s="88">
        <f t="shared" si="0"/>
        <v>124.25</v>
      </c>
      <c r="E12" s="87" t="str">
        <f>IF(Table12[[#This Row],[SAR]]=$D$3,"Yes",IF(Table12[[#This Row],[SAR]]=$D$4, "Yes", "No"))</f>
        <v>No</v>
      </c>
      <c r="F12" s="71">
        <f>IF(A12="M",VLOOKUP(B12,[3]AgeStdFactors!$A$2:$V$100,16),IF(A12="F",VLOOKUP(B12,[4]AgeStdFactors!$A$2:$V$101,16)))</f>
        <v>1</v>
      </c>
      <c r="G12" s="87">
        <f>IF(A12="M", Male_2020_Open_Standard/F12,IF(A12="F",Female_2020_Open_Standard/F12))</f>
        <v>8.4479166666666661E-2</v>
      </c>
      <c r="H12" s="88">
        <f t="shared" si="1"/>
        <v>121.64999999999999</v>
      </c>
      <c r="I12" s="88">
        <f>D12-H12</f>
        <v>2.6000000000000085</v>
      </c>
      <c r="J12" s="89">
        <f>I12/D12</f>
        <v>2.0925553319919587E-2</v>
      </c>
      <c r="K12" s="90">
        <f>IF(A12="M",VLOOKUP(B12,'ARRS Marathon SARs (formatted)'!$B$11:$S$97,5),IF(A12="F",VLOOKUP(B12,'ARRS Marathon SARs (formatted)'!$B$98:$S$183,5)))</f>
        <v>43126</v>
      </c>
      <c r="L12" s="71" t="str">
        <f t="shared" si="2"/>
        <v>Set after</v>
      </c>
      <c r="M12" s="91">
        <f>INDEX('2015_Road Weights'!$A:$CX,MATCH(Table12[[#This Row],[Gender]],'2015_Road Weights'!$A:$A,0),MATCH(Table12[[#This Row],[Age]],'2015_Road Weights'!$1:$1,0))</f>
        <v>1</v>
      </c>
      <c r="N12" s="87">
        <f>IF(A12="M", Male_2015_Open_Standard/M12,IF(A12="F",Female_2020_Open_Standard/M12))</f>
        <v>8.5381944444444455E-2</v>
      </c>
      <c r="O12" s="88">
        <f>Table12[[#This Row],[2015_AS]]*1440</f>
        <v>122.95000000000002</v>
      </c>
    </row>
    <row r="13" spans="1:15" x14ac:dyDescent="0.55000000000000004">
      <c r="A13" s="71" t="s">
        <v>98</v>
      </c>
      <c r="B13" s="71">
        <v>24</v>
      </c>
      <c r="C13" s="87">
        <f>IF(A13="M",VLOOKUP(B13,'ARRS Marathon SARs (formatted)'!$B$11:$S$97,2),IF(A13="F",VLOOKUP(B13,'ARRS Marathon SARs (formatted)'!$B$98:$S$183,2)))</f>
        <v>8.6134259259259258E-2</v>
      </c>
      <c r="D13" s="88">
        <f t="shared" si="0"/>
        <v>124.03333333333333</v>
      </c>
      <c r="E13" s="87" t="str">
        <f>IF(Table12[[#This Row],[SAR]]=$D$3,"Yes",IF(Table12[[#This Row],[SAR]]=$D$4, "Yes", "No"))</f>
        <v>No</v>
      </c>
      <c r="F13" s="71">
        <f>IF(A13="M",VLOOKUP(B13,[3]AgeStdFactors!$A$2:$V$100,16),IF(A13="F",VLOOKUP(B13,[4]AgeStdFactors!$A$2:$V$101,16)))</f>
        <v>1</v>
      </c>
      <c r="G13" s="87">
        <f>IF(A13="M", Male_2020_Open_Standard/F13,IF(A13="F",Female_2020_Open_Standard/F13))</f>
        <v>8.4479166666666661E-2</v>
      </c>
      <c r="H13" s="88">
        <f t="shared" si="1"/>
        <v>121.64999999999999</v>
      </c>
      <c r="I13" s="88">
        <f>D13-H13</f>
        <v>2.38333333333334</v>
      </c>
      <c r="J13" s="89">
        <f>I13/D13</f>
        <v>1.9215264713786671E-2</v>
      </c>
      <c r="K13" s="90">
        <f>IF(A13="M",VLOOKUP(B13,'ARRS Marathon SARs (formatted)'!$B$11:$S$97,5),IF(A13="F",VLOOKUP(B13,'ARRS Marathon SARs (formatted)'!$B$98:$S$183,5)))</f>
        <v>43126</v>
      </c>
      <c r="L13" s="71" t="str">
        <f t="shared" si="2"/>
        <v>Set after</v>
      </c>
      <c r="M13" s="91">
        <f>INDEX('2015_Road Weights'!$A:$CX,MATCH(Table12[[#This Row],[Gender]],'2015_Road Weights'!$A:$A,0),MATCH(Table12[[#This Row],[Age]],'2015_Road Weights'!$1:$1,0))</f>
        <v>1</v>
      </c>
      <c r="N13" s="87">
        <f>IF(A13="M", Male_2015_Open_Standard/M13,IF(A13="F",Female_2020_Open_Standard/M13))</f>
        <v>8.5381944444444455E-2</v>
      </c>
      <c r="O13" s="88">
        <f>Table12[[#This Row],[2015_AS]]*1440</f>
        <v>122.95000000000002</v>
      </c>
    </row>
    <row r="14" spans="1:15" x14ac:dyDescent="0.55000000000000004">
      <c r="A14" s="71" t="s">
        <v>98</v>
      </c>
      <c r="B14" s="71">
        <v>25</v>
      </c>
      <c r="C14" s="87">
        <f>IF(A14="M",VLOOKUP(B14,'ARRS Marathon SARs (formatted)'!$B$11:$S$97,2),IF(A14="F",VLOOKUP(B14,'ARRS Marathon SARs (formatted)'!$B$98:$S$183,2)))</f>
        <v>8.5277777777777786E-2</v>
      </c>
      <c r="D14" s="88">
        <f t="shared" si="0"/>
        <v>122.80000000000001</v>
      </c>
      <c r="E14" s="87" t="str">
        <f>IF(Table12[[#This Row],[SAR]]=$D$3,"Yes",IF(Table12[[#This Row],[SAR]]=$D$4, "Yes", "No"))</f>
        <v>No</v>
      </c>
      <c r="F14" s="71">
        <f>IF(A14="M",VLOOKUP(B14,[3]AgeStdFactors!$A$2:$V$100,16),IF(A14="F",VLOOKUP(B14,[4]AgeStdFactors!$A$2:$V$101,16)))</f>
        <v>1</v>
      </c>
      <c r="G14" s="87">
        <f>IF(A14="M", Male_2020_Open_Standard/F14,IF(A14="F",Female_2020_Open_Standard/F14))</f>
        <v>8.4479166666666661E-2</v>
      </c>
      <c r="H14" s="88">
        <f t="shared" si="1"/>
        <v>121.64999999999999</v>
      </c>
      <c r="I14" s="88">
        <f>D14-H14</f>
        <v>1.1500000000000199</v>
      </c>
      <c r="J14" s="89">
        <f>I14/D14</f>
        <v>9.3648208469056977E-3</v>
      </c>
      <c r="K14" s="90">
        <f>IF(A14="M",VLOOKUP(B14,'ARRS Marathon SARs (formatted)'!$B$11:$S$97,5),IF(A14="F",VLOOKUP(B14,'ARRS Marathon SARs (formatted)'!$B$98:$S$183,5)))</f>
        <v>43737</v>
      </c>
      <c r="L14" s="71" t="str">
        <f t="shared" si="2"/>
        <v>Set after</v>
      </c>
      <c r="M14" s="91">
        <f>INDEX('2015_Road Weights'!$A:$CX,MATCH(Table12[[#This Row],[Gender]],'2015_Road Weights'!$A:$A,0),MATCH(Table12[[#This Row],[Age]],'2015_Road Weights'!$1:$1,0))</f>
        <v>1</v>
      </c>
      <c r="N14" s="87">
        <f>IF(A14="M", Male_2015_Open_Standard/M14,IF(A14="F",Female_2020_Open_Standard/M14))</f>
        <v>8.5381944444444455E-2</v>
      </c>
      <c r="O14" s="88">
        <f>Table12[[#This Row],[2015_AS]]*1440</f>
        <v>122.95000000000002</v>
      </c>
    </row>
    <row r="15" spans="1:15" x14ac:dyDescent="0.55000000000000004">
      <c r="A15" s="71" t="s">
        <v>98</v>
      </c>
      <c r="B15" s="71">
        <v>26</v>
      </c>
      <c r="C15" s="87">
        <f>IF(A15="M",VLOOKUP(B15,'ARRS Marathon SARs (formatted)'!$B$11:$S$97,2),IF(A15="F",VLOOKUP(B15,'ARRS Marathon SARs (formatted)'!$B$98:$S$183,2)))</f>
        <v>8.5856481481481492E-2</v>
      </c>
      <c r="D15" s="88">
        <f t="shared" si="0"/>
        <v>123.63333333333335</v>
      </c>
      <c r="E15" s="87" t="str">
        <f>IF(Table12[[#This Row],[SAR]]=$D$3,"Yes",IF(Table12[[#This Row],[SAR]]=$D$4, "Yes", "No"))</f>
        <v>No</v>
      </c>
      <c r="F15" s="71">
        <f>IF(A15="M",VLOOKUP(B15,[3]AgeStdFactors!$A$2:$V$100,16),IF(A15="F",VLOOKUP(B15,[4]AgeStdFactors!$A$2:$V$101,16)))</f>
        <v>1</v>
      </c>
      <c r="G15" s="87">
        <f>IF(A15="M", Male_2020_Open_Standard/F15,IF(A15="F",Female_2020_Open_Standard/F15))</f>
        <v>8.4479166666666661E-2</v>
      </c>
      <c r="H15" s="88">
        <f t="shared" si="1"/>
        <v>121.64999999999999</v>
      </c>
      <c r="I15" s="88">
        <f>D15-H15</f>
        <v>1.9833333333333627</v>
      </c>
      <c r="J15" s="89">
        <f>I15/D15</f>
        <v>1.604205985440843E-2</v>
      </c>
      <c r="K15" s="90">
        <f>IF(A15="M",VLOOKUP(B15,'ARRS Marathon SARs (formatted)'!$B$11:$S$97,5),IF(A15="F",VLOOKUP(B15,'ARRS Marathon SARs (formatted)'!$B$98:$S$183,5)))</f>
        <v>40811</v>
      </c>
      <c r="L15" s="71" t="str">
        <f t="shared" si="2"/>
        <v>Set before</v>
      </c>
      <c r="M15" s="91">
        <f>INDEX('2015_Road Weights'!$A:$CX,MATCH(Table12[[#This Row],[Gender]],'2015_Road Weights'!$A:$A,0),MATCH(Table12[[#This Row],[Age]],'2015_Road Weights'!$1:$1,0))</f>
        <v>1</v>
      </c>
      <c r="N15" s="87">
        <f>IF(A15="M", Male_2015_Open_Standard/M15,IF(A15="F",Female_2020_Open_Standard/M15))</f>
        <v>8.5381944444444455E-2</v>
      </c>
      <c r="O15" s="88">
        <f>Table12[[#This Row],[2015_AS]]*1440</f>
        <v>122.95000000000002</v>
      </c>
    </row>
    <row r="16" spans="1:15" x14ac:dyDescent="0.55000000000000004">
      <c r="A16" s="71" t="s">
        <v>98</v>
      </c>
      <c r="B16" s="71">
        <v>27</v>
      </c>
      <c r="C16" s="87">
        <f>IF(A16="M",VLOOKUP(B16,'ARRS Marathon SARs (formatted)'!$B$11:$S$97,2),IF(A16="F",VLOOKUP(B16,'ARRS Marathon SARs (formatted)'!$B$98:$S$183,2)))</f>
        <v>8.5358796296296294E-2</v>
      </c>
      <c r="D16" s="88">
        <f t="shared" si="0"/>
        <v>122.91666666666666</v>
      </c>
      <c r="E16" s="87" t="str">
        <f>IF(Table12[[#This Row],[SAR]]=$D$3,"Yes",IF(Table12[[#This Row],[SAR]]=$D$4, "Yes", "No"))</f>
        <v>No</v>
      </c>
      <c r="F16" s="71">
        <f>IF(A16="M",VLOOKUP(B16,[3]AgeStdFactors!$A$2:$V$100,16),IF(A16="F",VLOOKUP(B16,[4]AgeStdFactors!$A$2:$V$101,16)))</f>
        <v>1</v>
      </c>
      <c r="G16" s="87">
        <f>IF(A16="M", Male_2020_Open_Standard/F16,IF(A16="F",Female_2020_Open_Standard/F16))</f>
        <v>8.4479166666666661E-2</v>
      </c>
      <c r="H16" s="88">
        <f t="shared" si="1"/>
        <v>121.64999999999999</v>
      </c>
      <c r="I16" s="88">
        <f>D16-H16</f>
        <v>1.2666666666666657</v>
      </c>
      <c r="J16" s="89">
        <f>I16/D16</f>
        <v>1.0305084745762704E-2</v>
      </c>
      <c r="K16" s="90">
        <f>IF(A16="M",VLOOKUP(B16,'ARRS Marathon SARs (formatted)'!$B$11:$S$97,5),IF(A16="F",VLOOKUP(B16,'ARRS Marathon SARs (formatted)'!$B$98:$S$183,5)))</f>
        <v>43583</v>
      </c>
      <c r="L16" s="71" t="str">
        <f t="shared" si="2"/>
        <v>Set after</v>
      </c>
      <c r="M16" s="91">
        <f>INDEX('2015_Road Weights'!$A:$CX,MATCH(Table12[[#This Row],[Gender]],'2015_Road Weights'!$A:$A,0),MATCH(Table12[[#This Row],[Age]],'2015_Road Weights'!$1:$1,0))</f>
        <v>1</v>
      </c>
      <c r="N16" s="87">
        <f>IF(A16="M", Male_2015_Open_Standard/M16,IF(A16="F",Female_2020_Open_Standard/M16))</f>
        <v>8.5381944444444455E-2</v>
      </c>
      <c r="O16" s="88">
        <f>Table12[[#This Row],[2015_AS]]*1440</f>
        <v>122.95000000000002</v>
      </c>
    </row>
    <row r="17" spans="1:15" x14ac:dyDescent="0.55000000000000004">
      <c r="A17" s="71" t="s">
        <v>98</v>
      </c>
      <c r="B17" s="71">
        <v>28</v>
      </c>
      <c r="C17" s="87">
        <f>IF(A17="M",VLOOKUP(B17,'ARRS Marathon SARs (formatted)'!$B$11:$S$97,2),IF(A17="F",VLOOKUP(B17,'ARRS Marathon SARs (formatted)'!$B$98:$S$183,2)))</f>
        <v>8.5833333333333331E-2</v>
      </c>
      <c r="D17" s="88">
        <f t="shared" si="0"/>
        <v>123.6</v>
      </c>
      <c r="E17" s="87" t="str">
        <f>IF(Table12[[#This Row],[SAR]]=$D$3,"Yes",IF(Table12[[#This Row],[SAR]]=$D$4, "Yes", "No"))</f>
        <v>No</v>
      </c>
      <c r="F17" s="71">
        <f>IF(A17="M",VLOOKUP(B17,[3]AgeStdFactors!$A$2:$V$100,16),IF(A17="F",VLOOKUP(B17,[4]AgeStdFactors!$A$2:$V$101,16)))</f>
        <v>1</v>
      </c>
      <c r="G17" s="87">
        <f>IF(A17="M", Male_2020_Open_Standard/F17,IF(A17="F",Female_2020_Open_Standard/F17))</f>
        <v>8.4479166666666661E-2</v>
      </c>
      <c r="H17" s="88">
        <f t="shared" si="1"/>
        <v>121.64999999999999</v>
      </c>
      <c r="I17" s="88">
        <f>D17-H17</f>
        <v>1.9500000000000028</v>
      </c>
      <c r="J17" s="89">
        <f>I17/D17</f>
        <v>1.5776699029126238E-2</v>
      </c>
      <c r="K17" s="90">
        <f>IF(A17="M",VLOOKUP(B17,'ARRS Marathon SARs (formatted)'!$B$11:$S$97,5),IF(A17="F",VLOOKUP(B17,'ARRS Marathon SARs (formatted)'!$B$98:$S$183,5)))</f>
        <v>43737</v>
      </c>
      <c r="L17" s="71" t="str">
        <f t="shared" si="2"/>
        <v>Set after</v>
      </c>
      <c r="M17" s="91">
        <f>INDEX('2015_Road Weights'!$A:$CX,MATCH(Table12[[#This Row],[Gender]],'2015_Road Weights'!$A:$A,0),MATCH(Table12[[#This Row],[Age]],'2015_Road Weights'!$1:$1,0))</f>
        <v>1</v>
      </c>
      <c r="N17" s="87">
        <f>IF(A17="M", Male_2015_Open_Standard/M17,IF(A17="F",Female_2020_Open_Standard/M17))</f>
        <v>8.5381944444444455E-2</v>
      </c>
      <c r="O17" s="88">
        <f>Table12[[#This Row],[2015_AS]]*1440</f>
        <v>122.95000000000002</v>
      </c>
    </row>
    <row r="18" spans="1:15" x14ac:dyDescent="0.55000000000000004">
      <c r="A18" s="71" t="s">
        <v>98</v>
      </c>
      <c r="B18" s="71">
        <v>29</v>
      </c>
      <c r="C18" s="87">
        <f>IF(A18="M",VLOOKUP(B18,'ARRS Marathon SARs (formatted)'!$B$11:$S$97,2),IF(A18="F",VLOOKUP(B18,'ARRS Marathon SARs (formatted)'!$B$98:$S$183,2)))</f>
        <v>8.5570601851851849E-2</v>
      </c>
      <c r="D18" s="88">
        <f t="shared" si="0"/>
        <v>123.22166666666666</v>
      </c>
      <c r="E18" s="87" t="str">
        <f>IF(Table12[[#This Row],[SAR]]=$D$3,"Yes",IF(Table12[[#This Row],[SAR]]=$D$4, "Yes", "No"))</f>
        <v>No</v>
      </c>
      <c r="F18" s="71">
        <f>IF(A18="M",VLOOKUP(B18,[3]AgeStdFactors!$A$2:$V$100,16),IF(A18="F",VLOOKUP(B18,[4]AgeStdFactors!$A$2:$V$101,16)))</f>
        <v>1</v>
      </c>
      <c r="G18" s="87">
        <f>IF(A18="M", Male_2020_Open_Standard/F18,IF(A18="F",Female_2020_Open_Standard/F18))</f>
        <v>8.4479166666666661E-2</v>
      </c>
      <c r="H18" s="88">
        <f t="shared" si="1"/>
        <v>121.64999999999999</v>
      </c>
      <c r="I18" s="88">
        <f>D18-H18</f>
        <v>1.5716666666666725</v>
      </c>
      <c r="J18" s="89">
        <f>I18/D18</f>
        <v>1.2754791500412584E-2</v>
      </c>
      <c r="K18" s="90">
        <f>IF(A18="M",VLOOKUP(B18,'ARRS Marathon SARs (formatted)'!$B$11:$S$97,5),IF(A18="F",VLOOKUP(B18,'ARRS Marathon SARs (formatted)'!$B$98:$S$183,5)))</f>
        <v>41910</v>
      </c>
      <c r="L18" s="71" t="str">
        <f t="shared" si="2"/>
        <v>Set before</v>
      </c>
      <c r="M18" s="91">
        <f>INDEX('2015_Road Weights'!$A:$CX,MATCH(Table12[[#This Row],[Gender]],'2015_Road Weights'!$A:$A,0),MATCH(Table12[[#This Row],[Age]],'2015_Road Weights'!$1:$1,0))</f>
        <v>1</v>
      </c>
      <c r="N18" s="87">
        <f>IF(A18="M", Male_2015_Open_Standard/M18,IF(A18="F",Female_2020_Open_Standard/M18))</f>
        <v>8.5381944444444455E-2</v>
      </c>
      <c r="O18" s="88">
        <f>Table12[[#This Row],[2015_AS]]*1440</f>
        <v>122.95000000000002</v>
      </c>
    </row>
    <row r="19" spans="1:15" x14ac:dyDescent="0.55000000000000004">
      <c r="A19" s="71" t="s">
        <v>98</v>
      </c>
      <c r="B19" s="71">
        <v>30</v>
      </c>
      <c r="C19" s="87">
        <f>IF(A19="M",VLOOKUP(B19,'ARRS Marathon SARs (formatted)'!$B$11:$S$97,2),IF(A19="F",VLOOKUP(B19,'ARRS Marathon SARs (formatted)'!$B$98:$S$183,2)))</f>
        <v>8.5374999999999993E-2</v>
      </c>
      <c r="D19" s="88">
        <f t="shared" si="0"/>
        <v>122.93999999999998</v>
      </c>
      <c r="E19" s="87" t="str">
        <f>IF(Table12[[#This Row],[SAR]]=$D$3,"Yes",IF(Table12[[#This Row],[SAR]]=$D$4, "Yes", "No"))</f>
        <v>No</v>
      </c>
      <c r="F19" s="71">
        <f>IF(A19="M",VLOOKUP(B19,[3]AgeStdFactors!$A$2:$V$100,16),IF(A19="F",VLOOKUP(B19,[4]AgeStdFactors!$A$2:$V$101,16)))</f>
        <v>1</v>
      </c>
      <c r="G19" s="87">
        <f>IF(A19="M", Male_2020_Open_Standard/F19,IF(A19="F",Female_2020_Open_Standard/F19))</f>
        <v>8.4479166666666661E-2</v>
      </c>
      <c r="H19" s="88">
        <f t="shared" si="1"/>
        <v>121.64999999999999</v>
      </c>
      <c r="I19" s="88">
        <f>D19-H19</f>
        <v>1.289999999999992</v>
      </c>
      <c r="J19" s="89">
        <f>I19/D19</f>
        <v>1.0492923377257135E-2</v>
      </c>
      <c r="K19" s="90">
        <f>IF(A19="M",VLOOKUP(B19,'ARRS Marathon SARs (formatted)'!$B$11:$S$97,5),IF(A19="F",VLOOKUP(B19,'ARRS Marathon SARs (formatted)'!$B$98:$S$183,5)))</f>
        <v>41910</v>
      </c>
      <c r="L19" s="71" t="str">
        <f t="shared" si="2"/>
        <v>Set before</v>
      </c>
      <c r="M19" s="91">
        <f>INDEX('2015_Road Weights'!$A:$CX,MATCH(Table12[[#This Row],[Gender]],'2015_Road Weights'!$A:$A,0),MATCH(Table12[[#This Row],[Age]],'2015_Road Weights'!$1:$1,0))</f>
        <v>1</v>
      </c>
      <c r="N19" s="87">
        <f>IF(A19="M", Male_2015_Open_Standard/M19,IF(A19="F",Female_2020_Open_Standard/M19))</f>
        <v>8.5381944444444455E-2</v>
      </c>
      <c r="O19" s="88">
        <f>Table12[[#This Row],[2015_AS]]*1440</f>
        <v>122.95000000000002</v>
      </c>
    </row>
    <row r="20" spans="1:15" x14ac:dyDescent="0.55000000000000004">
      <c r="A20" s="71" t="s">
        <v>98</v>
      </c>
      <c r="B20" s="71">
        <v>31</v>
      </c>
      <c r="C20" s="87">
        <f>IF(A20="M",VLOOKUP(B20,'ARRS Marathon SARs (formatted)'!$B$11:$S$97,2),IF(A20="F",VLOOKUP(B20,'ARRS Marathon SARs (formatted)'!$B$98:$S$183,2)))</f>
        <v>8.5474537037037043E-2</v>
      </c>
      <c r="D20" s="88">
        <f t="shared" si="0"/>
        <v>123.08333333333334</v>
      </c>
      <c r="E20" s="87" t="str">
        <f>IF(Table12[[#This Row],[SAR]]=$D$3,"Yes",IF(Table12[[#This Row],[SAR]]=$D$4, "Yes", "No"))</f>
        <v>No</v>
      </c>
      <c r="F20" s="71">
        <f>IF(A20="M",VLOOKUP(B20,[3]AgeStdFactors!$A$2:$V$100,16),IF(A20="F",VLOOKUP(B20,[4]AgeStdFactors!$A$2:$V$101,16)))</f>
        <v>1</v>
      </c>
      <c r="G20" s="87">
        <f>IF(A20="M", Male_2020_Open_Standard/F20,IF(A20="F",Female_2020_Open_Standard/F20))</f>
        <v>8.4479166666666661E-2</v>
      </c>
      <c r="H20" s="88">
        <f t="shared" si="1"/>
        <v>121.64999999999999</v>
      </c>
      <c r="I20" s="88">
        <f>D20-H20</f>
        <v>1.4333333333333513</v>
      </c>
      <c r="J20" s="89">
        <f>I20/D20</f>
        <v>1.1645226811103734E-2</v>
      </c>
      <c r="K20" s="90">
        <f>IF(A20="M",VLOOKUP(B20,'ARRS Marathon SARs (formatted)'!$B$11:$S$97,5),IF(A20="F",VLOOKUP(B20,'ARRS Marathon SARs (formatted)'!$B$98:$S$183,5)))</f>
        <v>42484</v>
      </c>
      <c r="L20" s="71" t="str">
        <f t="shared" si="2"/>
        <v>Set after</v>
      </c>
      <c r="M20" s="91">
        <f>INDEX('2015_Road Weights'!$A:$CX,MATCH(Table12[[#This Row],[Gender]],'2015_Road Weights'!$A:$A,0),MATCH(Table12[[#This Row],[Age]],'2015_Road Weights'!$1:$1,0))</f>
        <v>1</v>
      </c>
      <c r="N20" s="87">
        <f>IF(A20="M", Male_2015_Open_Standard/M20,IF(A20="F",Female_2020_Open_Standard/M20))</f>
        <v>8.5381944444444455E-2</v>
      </c>
      <c r="O20" s="88">
        <f>Table12[[#This Row],[2015_AS]]*1440</f>
        <v>122.95000000000002</v>
      </c>
    </row>
    <row r="21" spans="1:15" x14ac:dyDescent="0.55000000000000004">
      <c r="A21" s="71" t="s">
        <v>98</v>
      </c>
      <c r="B21" s="71">
        <v>32</v>
      </c>
      <c r="C21" s="87">
        <f>IF(A21="M",VLOOKUP(B21,'ARRS Marathon SARs (formatted)'!$B$11:$S$97,2),IF(A21="F",VLOOKUP(B21,'ARRS Marathon SARs (formatted)'!$B$98:$S$183,2)))</f>
        <v>8.5787037037037037E-2</v>
      </c>
      <c r="D21" s="88">
        <f t="shared" si="0"/>
        <v>123.53333333333333</v>
      </c>
      <c r="E21" s="87" t="str">
        <f>IF(Table12[[#This Row],[SAR]]=$D$3,"Yes",IF(Table12[[#This Row],[SAR]]=$D$4, "Yes", "No"))</f>
        <v>No</v>
      </c>
      <c r="F21" s="71">
        <f>IF(A21="M",VLOOKUP(B21,[3]AgeStdFactors!$A$2:$V$100,16),IF(A21="F",VLOOKUP(B21,[4]AgeStdFactors!$A$2:$V$101,16)))</f>
        <v>0.99980000000000002</v>
      </c>
      <c r="G21" s="87">
        <f>IF(A21="M", Male_2020_Open_Standard/F21,IF(A21="F",Female_2020_Open_Standard/F21))</f>
        <v>8.4496065879842625E-2</v>
      </c>
      <c r="H21" s="88">
        <f t="shared" si="1"/>
        <v>121.67433486697338</v>
      </c>
      <c r="I21" s="88">
        <f>D21-H21</f>
        <v>1.8589984663599495</v>
      </c>
      <c r="J21" s="89">
        <f>I21/D21</f>
        <v>1.5048557471883023E-2</v>
      </c>
      <c r="K21" s="90">
        <f>IF(A21="M",VLOOKUP(B21,'ARRS Marathon SARs (formatted)'!$B$11:$S$97,5),IF(A21="F",VLOOKUP(B21,'ARRS Marathon SARs (formatted)'!$B$98:$S$183,5)))</f>
        <v>43002</v>
      </c>
      <c r="L21" s="71" t="str">
        <f t="shared" si="2"/>
        <v>Set after</v>
      </c>
      <c r="M21" s="91">
        <f>INDEX('2015_Road Weights'!$A:$CX,MATCH(Table12[[#This Row],[Gender]],'2015_Road Weights'!$A:$A,0),MATCH(Table12[[#This Row],[Age]],'2015_Road Weights'!$1:$1,0))</f>
        <v>0.99980000000000002</v>
      </c>
      <c r="N21" s="87">
        <f>IF(A21="M", Male_2015_Open_Standard/M21,IF(A21="F",Female_2020_Open_Standard/M21))</f>
        <v>8.5399024249294311E-2</v>
      </c>
      <c r="O21" s="88">
        <f>Table12[[#This Row],[2015_AS]]*1440</f>
        <v>122.97459491898381</v>
      </c>
    </row>
    <row r="22" spans="1:15" x14ac:dyDescent="0.55000000000000004">
      <c r="A22" s="71" t="s">
        <v>98</v>
      </c>
      <c r="B22" s="71">
        <v>33</v>
      </c>
      <c r="C22" s="87">
        <f>IF(A22="M",VLOOKUP(B22,'ARRS Marathon SARs (formatted)'!$B$11:$S$97,2),IF(A22="F",VLOOKUP(B22,'ARRS Marathon SARs (formatted)'!$B$98:$S$183,2)))</f>
        <v>8.4479166666666661E-2</v>
      </c>
      <c r="D22" s="88">
        <f t="shared" si="0"/>
        <v>121.64999999999999</v>
      </c>
      <c r="E22" s="87" t="str">
        <f>IF(Table12[[#This Row],[SAR]]=$D$3,"Yes",IF(Table12[[#This Row],[SAR]]=$D$4, "Yes", "No"))</f>
        <v>Yes</v>
      </c>
      <c r="F22" s="71">
        <f>IF(A22="M",VLOOKUP(B22,[3]AgeStdFactors!$A$2:$V$100,16),IF(A22="F",VLOOKUP(B22,[4]AgeStdFactors!$A$2:$V$101,16)))</f>
        <v>0.99880000000000002</v>
      </c>
      <c r="G22" s="87">
        <f>IF(A22="M", Male_2020_Open_Standard/F22,IF(A22="F",Female_2020_Open_Standard/F22))</f>
        <v>8.4580663462822045E-2</v>
      </c>
      <c r="H22" s="88">
        <f t="shared" si="1"/>
        <v>121.79615538646374</v>
      </c>
      <c r="I22" s="88">
        <f>D22-H22</f>
        <v>-0.14615538646374659</v>
      </c>
      <c r="J22" s="89">
        <f>I22/D22</f>
        <v>-1.20144173007601E-3</v>
      </c>
      <c r="K22" s="90">
        <f>IF(A22="M",VLOOKUP(B22,'ARRS Marathon SARs (formatted)'!$B$11:$S$97,5),IF(A22="F",VLOOKUP(B22,'ARRS Marathon SARs (formatted)'!$B$98:$S$183,5)))</f>
        <v>43359</v>
      </c>
      <c r="L22" s="71" t="str">
        <f t="shared" si="2"/>
        <v>Set after</v>
      </c>
      <c r="M22" s="91">
        <f>INDEX('2015_Road Weights'!$A:$CX,MATCH(Table12[[#This Row],[Gender]],'2015_Road Weights'!$A:$A,0),MATCH(Table12[[#This Row],[Age]],'2015_Road Weights'!$1:$1,0))</f>
        <v>0.99890000000000001</v>
      </c>
      <c r="N22" s="87">
        <f>IF(A22="M", Male_2015_Open_Standard/M22,IF(A22="F",Female_2020_Open_Standard/M22))</f>
        <v>8.5475968009254638E-2</v>
      </c>
      <c r="O22" s="88">
        <f>Table12[[#This Row],[2015_AS]]*1440</f>
        <v>123.08539393332669</v>
      </c>
    </row>
    <row r="23" spans="1:15" x14ac:dyDescent="0.55000000000000004">
      <c r="A23" s="71" t="s">
        <v>98</v>
      </c>
      <c r="B23" s="71">
        <v>34</v>
      </c>
      <c r="C23" s="87">
        <f>IF(A23="M",VLOOKUP(B23,'ARRS Marathon SARs (formatted)'!$B$11:$S$97,2),IF(A23="F",VLOOKUP(B23,'ARRS Marathon SARs (formatted)'!$B$98:$S$183,2)))</f>
        <v>8.5150462962962969E-2</v>
      </c>
      <c r="D23" s="88">
        <f t="shared" si="0"/>
        <v>122.61666666666667</v>
      </c>
      <c r="E23" s="87" t="str">
        <f>IF(Table12[[#This Row],[SAR]]=$D$3,"Yes",IF(Table12[[#This Row],[SAR]]=$D$4, "Yes", "No"))</f>
        <v>No</v>
      </c>
      <c r="F23" s="71">
        <f>IF(A23="M",VLOOKUP(B23,[3]AgeStdFactors!$A$2:$V$100,16),IF(A23="F",VLOOKUP(B23,[4]AgeStdFactors!$A$2:$V$101,16)))</f>
        <v>0.99709999999999999</v>
      </c>
      <c r="G23" s="87">
        <f>IF(A23="M", Male_2020_Open_Standard/F23,IF(A23="F",Female_2020_Open_Standard/F23))</f>
        <v>8.472486878614649E-2</v>
      </c>
      <c r="H23" s="88">
        <f t="shared" si="1"/>
        <v>122.00381105205095</v>
      </c>
      <c r="I23" s="88">
        <f>D23-H23</f>
        <v>0.61285561461572513</v>
      </c>
      <c r="J23" s="89">
        <f>I23/D23</f>
        <v>4.9981428404164072E-3</v>
      </c>
      <c r="K23" s="90">
        <f>IF(A23="M",VLOOKUP(B23,'ARRS Marathon SARs (formatted)'!$B$11:$S$97,5),IF(A23="F",VLOOKUP(B23,'ARRS Marathon SARs (formatted)'!$B$98:$S$183,5)))</f>
        <v>43583</v>
      </c>
      <c r="L23" s="71" t="str">
        <f t="shared" si="2"/>
        <v>Set after</v>
      </c>
      <c r="M23" s="91">
        <f>INDEX('2015_Road Weights'!$A:$CX,MATCH(Table12[[#This Row],[Gender]],'2015_Road Weights'!$A:$A,0),MATCH(Table12[[#This Row],[Age]],'2015_Road Weights'!$1:$1,0))</f>
        <v>0.99729999999999996</v>
      </c>
      <c r="N23" s="87">
        <f>IF(A23="M", Male_2015_Open_Standard/M23,IF(A23="F",Female_2020_Open_Standard/M23))</f>
        <v>8.5613099813942106E-2</v>
      </c>
      <c r="O23" s="88">
        <f>Table12[[#This Row],[2015_AS]]*1440</f>
        <v>123.28286373207663</v>
      </c>
    </row>
    <row r="24" spans="1:15" x14ac:dyDescent="0.55000000000000004">
      <c r="A24" s="71" t="s">
        <v>98</v>
      </c>
      <c r="B24" s="71">
        <v>35</v>
      </c>
      <c r="C24" s="87">
        <f>IF(A24="M",VLOOKUP(B24,'ARRS Marathon SARs (formatted)'!$B$11:$S$97,2),IF(A24="F",VLOOKUP(B24,'ARRS Marathon SARs (formatted)'!$B$98:$S$183,2)))</f>
        <v>8.6090277777777779E-2</v>
      </c>
      <c r="D24" s="88">
        <f t="shared" si="0"/>
        <v>123.97</v>
      </c>
      <c r="E24" s="87" t="str">
        <f>IF(Table12[[#This Row],[SAR]]=$D$3,"Yes",IF(Table12[[#This Row],[SAR]]=$D$4, "Yes", "No"))</f>
        <v>No</v>
      </c>
      <c r="F24" s="71">
        <f>IF(A24="M",VLOOKUP(B24,[3]AgeStdFactors!$A$2:$V$100,16),IF(A24="F",VLOOKUP(B24,[4]AgeStdFactors!$A$2:$V$101,16)))</f>
        <v>0.99450000000000005</v>
      </c>
      <c r="G24" s="87">
        <f>IF(A24="M", Male_2020_Open_Standard/F24,IF(A24="F",Female_2020_Open_Standard/F24))</f>
        <v>8.4946371711077578E-2</v>
      </c>
      <c r="H24" s="88">
        <f t="shared" si="1"/>
        <v>122.32277526395171</v>
      </c>
      <c r="I24" s="88">
        <f>D24-H24</f>
        <v>1.6472247360482868</v>
      </c>
      <c r="J24" s="89">
        <f>I24/D24</f>
        <v>1.3287285117756609E-2</v>
      </c>
      <c r="K24" s="90">
        <f>IF(A24="M",VLOOKUP(B24,'ARRS Marathon SARs (formatted)'!$B$11:$S$97,5),IF(A24="F",VLOOKUP(B24,'ARRS Marathon SARs (formatted)'!$B$98:$S$183,5)))</f>
        <v>39719</v>
      </c>
      <c r="L24" s="71" t="str">
        <f t="shared" si="2"/>
        <v>Set before</v>
      </c>
      <c r="M24" s="91">
        <f>INDEX('2015_Road Weights'!$A:$CX,MATCH(Table12[[#This Row],[Gender]],'2015_Road Weights'!$A:$A,0),MATCH(Table12[[#This Row],[Age]],'2015_Road Weights'!$1:$1,0))</f>
        <v>0.995</v>
      </c>
      <c r="N24" s="87">
        <f>IF(A24="M", Male_2015_Open_Standard/M24,IF(A24="F",Female_2020_Open_Standard/M24))</f>
        <v>8.5810999441652713E-2</v>
      </c>
      <c r="O24" s="88">
        <f>Table12[[#This Row],[2015_AS]]*1440</f>
        <v>123.5678391959799</v>
      </c>
    </row>
    <row r="25" spans="1:15" x14ac:dyDescent="0.55000000000000004">
      <c r="A25" s="71" t="s">
        <v>98</v>
      </c>
      <c r="B25" s="71">
        <v>36</v>
      </c>
      <c r="C25" s="87">
        <f>IF(A25="M",VLOOKUP(B25,'ARRS Marathon SARs (formatted)'!$B$11:$S$97,2),IF(A25="F",VLOOKUP(B25,'ARRS Marathon SARs (formatted)'!$B$98:$S$183,2)))</f>
        <v>8.711805555555556E-2</v>
      </c>
      <c r="D25" s="88">
        <f t="shared" si="0"/>
        <v>125.45</v>
      </c>
      <c r="E25" s="87" t="str">
        <f>IF(Table12[[#This Row],[SAR]]=$D$3,"Yes",IF(Table12[[#This Row],[SAR]]=$D$4, "Yes", "No"))</f>
        <v>No</v>
      </c>
      <c r="F25" s="71">
        <f>IF(A25="M",VLOOKUP(B25,[3]AgeStdFactors!$A$2:$V$100,16),IF(A25="F",VLOOKUP(B25,[4]AgeStdFactors!$A$2:$V$101,16)))</f>
        <v>0.99109999999999998</v>
      </c>
      <c r="G25" s="87">
        <f>IF(A25="M", Male_2020_Open_Standard/F25,IF(A25="F",Female_2020_Open_Standard/F25))</f>
        <v>8.523778293478626E-2</v>
      </c>
      <c r="H25" s="88">
        <f t="shared" si="1"/>
        <v>122.74240742609221</v>
      </c>
      <c r="I25" s="88">
        <f>D25-H25</f>
        <v>2.7075925739077888</v>
      </c>
      <c r="J25" s="89">
        <f>I25/D25</f>
        <v>2.1583041641353436E-2</v>
      </c>
      <c r="K25" s="90">
        <f>IF(A25="M",VLOOKUP(B25,'ARRS Marathon SARs (formatted)'!$B$11:$S$97,5),IF(A25="F",VLOOKUP(B25,'ARRS Marathon SARs (formatted)'!$B$98:$S$183,5)))</f>
        <v>39929</v>
      </c>
      <c r="L25" s="71" t="str">
        <f t="shared" si="2"/>
        <v>Set before</v>
      </c>
      <c r="M25" s="91">
        <f>INDEX('2015_Road Weights'!$A:$CX,MATCH(Table12[[#This Row],[Gender]],'2015_Road Weights'!$A:$A,0),MATCH(Table12[[#This Row],[Age]],'2015_Road Weights'!$1:$1,0))</f>
        <v>0.99199999999999999</v>
      </c>
      <c r="N25" s="87">
        <f>IF(A25="M", Male_2015_Open_Standard/M25,IF(A25="F",Female_2020_Open_Standard/M25))</f>
        <v>8.6070508512544816E-2</v>
      </c>
      <c r="O25" s="88">
        <f>Table12[[#This Row],[2015_AS]]*1440</f>
        <v>123.94153225806454</v>
      </c>
    </row>
    <row r="26" spans="1:15" x14ac:dyDescent="0.55000000000000004">
      <c r="A26" s="71" t="s">
        <v>98</v>
      </c>
      <c r="B26" s="71">
        <v>37</v>
      </c>
      <c r="C26" s="87">
        <f>IF(A26="M",VLOOKUP(B26,'ARRS Marathon SARs (formatted)'!$B$11:$S$97,2),IF(A26="F",VLOOKUP(B26,'ARRS Marathon SARs (formatted)'!$B$98:$S$183,2)))</f>
        <v>8.4502314814814808E-2</v>
      </c>
      <c r="D26" s="88">
        <f t="shared" si="0"/>
        <v>121.68333333333332</v>
      </c>
      <c r="E26" s="87" t="str">
        <f>IF(Table12[[#This Row],[SAR]]=$D$3,"Yes",IF(Table12[[#This Row],[SAR]]=$D$4, "Yes", "No"))</f>
        <v>No</v>
      </c>
      <c r="F26" s="71">
        <f>IF(A26="M",VLOOKUP(B26,[3]AgeStdFactors!$A$2:$V$100,16),IF(A26="F",VLOOKUP(B26,[4]AgeStdFactors!$A$2:$V$101,16)))</f>
        <v>0.98699999999999999</v>
      </c>
      <c r="G26" s="87">
        <f>IF(A26="M", Male_2020_Open_Standard/F26,IF(A26="F",Female_2020_Open_Standard/F26))</f>
        <v>8.5591860857818294E-2</v>
      </c>
      <c r="H26" s="88">
        <f t="shared" si="1"/>
        <v>123.25227963525835</v>
      </c>
      <c r="I26" s="88">
        <f>D26-H26</f>
        <v>-1.568946301925024</v>
      </c>
      <c r="J26" s="89">
        <f>I26/D26</f>
        <v>-1.2893682799000336E-2</v>
      </c>
      <c r="K26" s="90">
        <f>IF(A26="M",VLOOKUP(B26,'ARRS Marathon SARs (formatted)'!$B$11:$S$97,5),IF(A26="F",VLOOKUP(B26,'ARRS Marathon SARs (formatted)'!$B$98:$S$183,5)))</f>
        <v>43737</v>
      </c>
      <c r="L26" s="71" t="str">
        <f t="shared" si="2"/>
        <v>Set after</v>
      </c>
      <c r="M26" s="91">
        <f>INDEX('2015_Road Weights'!$A:$CX,MATCH(Table12[[#This Row],[Gender]],'2015_Road Weights'!$A:$A,0),MATCH(Table12[[#This Row],[Age]],'2015_Road Weights'!$1:$1,0))</f>
        <v>0.98819999999999997</v>
      </c>
      <c r="N26" s="87">
        <f>IF(A26="M", Male_2015_Open_Standard/M26,IF(A26="F",Female_2020_Open_Standard/M26))</f>
        <v>8.640148193123301E-2</v>
      </c>
      <c r="O26" s="88">
        <f>Table12[[#This Row],[2015_AS]]*1440</f>
        <v>124.41813398097554</v>
      </c>
    </row>
    <row r="27" spans="1:15" x14ac:dyDescent="0.55000000000000004">
      <c r="A27" s="71" t="s">
        <v>98</v>
      </c>
      <c r="B27" s="71">
        <v>38</v>
      </c>
      <c r="C27" s="87">
        <f>IF(A27="M",VLOOKUP(B27,'ARRS Marathon SARs (formatted)'!$B$11:$S$97,2),IF(A27="F",VLOOKUP(B27,'ARRS Marathon SARs (formatted)'!$B$98:$S$183,2)))</f>
        <v>8.7557870370370369E-2</v>
      </c>
      <c r="D27" s="88">
        <f t="shared" si="0"/>
        <v>126.08333333333333</v>
      </c>
      <c r="E27" s="87" t="str">
        <f>IF(Table12[[#This Row],[SAR]]=$D$3,"Yes",IF(Table12[[#This Row],[SAR]]=$D$4, "Yes", "No"))</f>
        <v>No</v>
      </c>
      <c r="F27" s="71">
        <f>IF(A27="M",VLOOKUP(B27,[3]AgeStdFactors!$A$2:$V$100,16),IF(A27="F",VLOOKUP(B27,[4]AgeStdFactors!$A$2:$V$101,16)))</f>
        <v>0.98199999999999998</v>
      </c>
      <c r="G27" s="87">
        <f>IF(A27="M", Male_2020_Open_Standard/F27,IF(A27="F",Female_2020_Open_Standard/F27))</f>
        <v>8.6027664630006787E-2</v>
      </c>
      <c r="H27" s="88">
        <f t="shared" si="1"/>
        <v>123.87983706720978</v>
      </c>
      <c r="I27" s="88">
        <f>D27-H27</f>
        <v>2.2034962661235511</v>
      </c>
      <c r="J27" s="89">
        <f>I27/D27</f>
        <v>1.7476507067734709E-2</v>
      </c>
      <c r="K27" s="90">
        <f>IF(A27="M",VLOOKUP(B27,'ARRS Marathon SARs (formatted)'!$B$11:$S$97,5),IF(A27="F",VLOOKUP(B27,'ARRS Marathon SARs (formatted)'!$B$98:$S$183,5)))</f>
        <v>41203</v>
      </c>
      <c r="L27" s="71" t="str">
        <f t="shared" si="2"/>
        <v>Set before</v>
      </c>
      <c r="M27" s="91">
        <f>INDEX('2015_Road Weights'!$A:$CX,MATCH(Table12[[#This Row],[Gender]],'2015_Road Weights'!$A:$A,0),MATCH(Table12[[#This Row],[Age]],'2015_Road Weights'!$1:$1,0))</f>
        <v>0.98370000000000002</v>
      </c>
      <c r="N27" s="87">
        <f>IF(A27="M", Male_2015_Open_Standard/M27,IF(A27="F",Female_2020_Open_Standard/M27))</f>
        <v>8.6796731162391436E-2</v>
      </c>
      <c r="O27" s="88">
        <f>Table12[[#This Row],[2015_AS]]*1440</f>
        <v>124.98729287384367</v>
      </c>
    </row>
    <row r="28" spans="1:15" x14ac:dyDescent="0.55000000000000004">
      <c r="A28" s="71" t="s">
        <v>98</v>
      </c>
      <c r="B28" s="71">
        <v>39</v>
      </c>
      <c r="C28" s="87">
        <f>IF(A28="M",VLOOKUP(B28,'ARRS Marathon SARs (formatted)'!$B$11:$S$97,2),IF(A28="F",VLOOKUP(B28,'ARRS Marathon SARs (formatted)'!$B$98:$S$183,2)))</f>
        <v>8.7500000000000008E-2</v>
      </c>
      <c r="D28" s="88">
        <f t="shared" si="0"/>
        <v>126.00000000000001</v>
      </c>
      <c r="E28" s="87" t="str">
        <f>IF(Table12[[#This Row],[SAR]]=$D$3,"Yes",IF(Table12[[#This Row],[SAR]]=$D$4, "Yes", "No"))</f>
        <v>No</v>
      </c>
      <c r="F28" s="71">
        <f>IF(A28="M",VLOOKUP(B28,[3]AgeStdFactors!$A$2:$V$100,16),IF(A28="F",VLOOKUP(B28,[4]AgeStdFactors!$A$2:$V$101,16)))</f>
        <v>0.97619999999999996</v>
      </c>
      <c r="G28" s="87">
        <f>IF(A28="M", Male_2020_Open_Standard/F28,IF(A28="F",Female_2020_Open_Standard/F28))</f>
        <v>8.6538789865464719E-2</v>
      </c>
      <c r="H28" s="88">
        <f t="shared" si="1"/>
        <v>124.6158574062692</v>
      </c>
      <c r="I28" s="88">
        <f>D28-H28</f>
        <v>1.3841425937308145</v>
      </c>
      <c r="J28" s="89">
        <f>I28/D28</f>
        <v>1.0985258680403289E-2</v>
      </c>
      <c r="K28" s="90">
        <f>IF(A28="M",VLOOKUP(B28,'ARRS Marathon SARs (formatted)'!$B$11:$S$97,5),IF(A28="F",VLOOKUP(B28,'ARRS Marathon SARs (formatted)'!$B$98:$S$183,5)))</f>
        <v>42288</v>
      </c>
      <c r="L28" s="71" t="str">
        <f t="shared" si="2"/>
        <v>Set after</v>
      </c>
      <c r="M28" s="91">
        <f>INDEX('2015_Road Weights'!$A:$CX,MATCH(Table12[[#This Row],[Gender]],'2015_Road Weights'!$A:$A,0),MATCH(Table12[[#This Row],[Age]],'2015_Road Weights'!$1:$1,0))</f>
        <v>0.97840000000000005</v>
      </c>
      <c r="N28" s="87">
        <f>IF(A28="M", Male_2015_Open_Standard/M28,IF(A28="F",Female_2020_Open_Standard/M28))</f>
        <v>8.7266909693831204E-2</v>
      </c>
      <c r="O28" s="88">
        <f>Table12[[#This Row],[2015_AS]]*1440</f>
        <v>125.66434995911693</v>
      </c>
    </row>
    <row r="29" spans="1:15" x14ac:dyDescent="0.55000000000000004">
      <c r="A29" s="71" t="s">
        <v>98</v>
      </c>
      <c r="B29" s="71">
        <v>40</v>
      </c>
      <c r="C29" s="87">
        <f>IF(A29="M",VLOOKUP(B29,'ARRS Marathon SARs (formatted)'!$B$11:$S$97,2),IF(A29="F",VLOOKUP(B29,'ARRS Marathon SARs (formatted)'!$B$98:$S$183,2)))</f>
        <v>8.9421296296296304E-2</v>
      </c>
      <c r="D29" s="88">
        <f t="shared" si="0"/>
        <v>128.76666666666668</v>
      </c>
      <c r="E29" s="87" t="str">
        <f>IF(Table12[[#This Row],[SAR]]=$D$3,"Yes",IF(Table12[[#This Row],[SAR]]=$D$4, "Yes", "No"))</f>
        <v>No</v>
      </c>
      <c r="F29" s="71">
        <f>IF(A29="M",VLOOKUP(B29,[3]AgeStdFactors!$A$2:$V$100,16),IF(A29="F",VLOOKUP(B29,[4]AgeStdFactors!$A$2:$V$101,16)))</f>
        <v>0.96960000000000002</v>
      </c>
      <c r="G29" s="87">
        <f>IF(A29="M", Male_2020_Open_Standard/F29,IF(A29="F",Female_2020_Open_Standard/F29))</f>
        <v>8.712785341034103E-2</v>
      </c>
      <c r="H29" s="88">
        <f t="shared" si="1"/>
        <v>125.46410891089108</v>
      </c>
      <c r="I29" s="88">
        <f>D29-H29</f>
        <v>3.3025577557755952</v>
      </c>
      <c r="J29" s="89">
        <f>I29/D29</f>
        <v>2.5647613945966308E-2</v>
      </c>
      <c r="K29" s="90">
        <f>IF(A29="M",VLOOKUP(B29,'ARRS Marathon SARs (formatted)'!$B$11:$S$97,5),IF(A29="F",VLOOKUP(B29,'ARRS Marathon SARs (formatted)'!$B$98:$S$183,5)))</f>
        <v>37892</v>
      </c>
      <c r="L29" s="71" t="str">
        <f t="shared" si="2"/>
        <v>Set before</v>
      </c>
      <c r="M29" s="91">
        <f>INDEX('2015_Road Weights'!$A:$CX,MATCH(Table12[[#This Row],[Gender]],'2015_Road Weights'!$A:$A,0),MATCH(Table12[[#This Row],[Age]],'2015_Road Weights'!$1:$1,0))</f>
        <v>0.97250000000000003</v>
      </c>
      <c r="N29" s="87">
        <f>IF(A29="M", Male_2015_Open_Standard/M29,IF(A29="F",Female_2020_Open_Standard/M29))</f>
        <v>8.779634390174236E-2</v>
      </c>
      <c r="O29" s="88">
        <f>Table12[[#This Row],[2015_AS]]*1440</f>
        <v>126.42673521850899</v>
      </c>
    </row>
    <row r="30" spans="1:15" x14ac:dyDescent="0.55000000000000004">
      <c r="A30" s="71" t="s">
        <v>98</v>
      </c>
      <c r="B30" s="71">
        <v>41</v>
      </c>
      <c r="C30" s="87">
        <f>IF(A30="M",VLOOKUP(B30,'ARRS Marathon SARs (formatted)'!$B$11:$S$97,2),IF(A30="F",VLOOKUP(B30,'ARRS Marathon SARs (formatted)'!$B$98:$S$183,2)))</f>
        <v>8.9374999999999996E-2</v>
      </c>
      <c r="D30" s="88">
        <f t="shared" si="0"/>
        <v>128.69999999999999</v>
      </c>
      <c r="E30" s="87" t="str">
        <f>IF(Table12[[#This Row],[SAR]]=$D$3,"Yes",IF(Table12[[#This Row],[SAR]]=$D$4, "Yes", "No"))</f>
        <v>No</v>
      </c>
      <c r="F30" s="71">
        <f>IF(A30="M",VLOOKUP(B30,[3]AgeStdFactors!$A$2:$V$100,16),IF(A30="F",VLOOKUP(B30,[4]AgeStdFactors!$A$2:$V$101,16)))</f>
        <v>0.96230000000000004</v>
      </c>
      <c r="G30" s="87">
        <f>IF(A30="M", Male_2020_Open_Standard/F30,IF(A30="F",Female_2020_Open_Standard/F30))</f>
        <v>8.7788804600090045E-2</v>
      </c>
      <c r="H30" s="88">
        <f t="shared" si="1"/>
        <v>126.41587862412966</v>
      </c>
      <c r="I30" s="88">
        <f>D30-H30</f>
        <v>2.2841213758703276</v>
      </c>
      <c r="J30" s="89">
        <f>I30/D30</f>
        <v>1.7747640838153285E-2</v>
      </c>
      <c r="K30" s="90">
        <f>IF(A30="M",VLOOKUP(B30,'ARRS Marathon SARs (formatted)'!$B$11:$S$97,5),IF(A30="F",VLOOKUP(B30,'ARRS Marathon SARs (formatted)'!$B$98:$S$183,5)))</f>
        <v>42190</v>
      </c>
      <c r="L30" s="71" t="str">
        <f t="shared" si="2"/>
        <v>Set after</v>
      </c>
      <c r="M30" s="91">
        <f>INDEX('2015_Road Weights'!$A:$CX,MATCH(Table12[[#This Row],[Gender]],'2015_Road Weights'!$A:$A,0),MATCH(Table12[[#This Row],[Age]],'2015_Road Weights'!$1:$1,0))</f>
        <v>0.96579999999999999</v>
      </c>
      <c r="N30" s="87">
        <f>IF(A30="M", Male_2015_Open_Standard/M30,IF(A30="F",Female_2020_Open_Standard/M30))</f>
        <v>8.8405409447550695E-2</v>
      </c>
      <c r="O30" s="88">
        <f>Table12[[#This Row],[2015_AS]]*1440</f>
        <v>127.303789604473</v>
      </c>
    </row>
    <row r="31" spans="1:15" x14ac:dyDescent="0.55000000000000004">
      <c r="A31" s="71" t="s">
        <v>98</v>
      </c>
      <c r="B31" s="71">
        <v>42</v>
      </c>
      <c r="C31" s="87">
        <f>IF(A31="M",VLOOKUP(B31,'ARRS Marathon SARs (formatted)'!$B$11:$S$97,2),IF(A31="F",VLOOKUP(B31,'ARRS Marathon SARs (formatted)'!$B$98:$S$183,2)))</f>
        <v>8.8773148148148143E-2</v>
      </c>
      <c r="D31" s="88">
        <f t="shared" si="0"/>
        <v>127.83333333333333</v>
      </c>
      <c r="E31" s="87" t="str">
        <f>IF(Table12[[#This Row],[SAR]]=$D$3,"Yes",IF(Table12[[#This Row],[SAR]]=$D$4, "Yes", "No"))</f>
        <v>No</v>
      </c>
      <c r="F31" s="71">
        <f>IF(A31="M",VLOOKUP(B31,[3]AgeStdFactors!$A$2:$V$100,16),IF(A31="F",VLOOKUP(B31,[4]AgeStdFactors!$A$2:$V$101,16)))</f>
        <v>0.95450000000000002</v>
      </c>
      <c r="G31" s="87">
        <f>IF(A31="M", Male_2020_Open_Standard/F31,IF(A31="F",Female_2020_Open_Standard/F31))</f>
        <v>8.8506198707874975E-2</v>
      </c>
      <c r="H31" s="88">
        <f t="shared" si="1"/>
        <v>127.44892613933996</v>
      </c>
      <c r="I31" s="88">
        <f>D31-H31</f>
        <v>0.38440719399336842</v>
      </c>
      <c r="J31" s="89">
        <f>I31/D31</f>
        <v>3.0070966935595968E-3</v>
      </c>
      <c r="K31" s="90">
        <f>IF(A31="M",VLOOKUP(B31,'ARRS Marathon SARs (formatted)'!$B$11:$S$97,5),IF(A31="F",VLOOKUP(B31,'ARRS Marathon SARs (formatted)'!$B$98:$S$183,5)))</f>
        <v>43401</v>
      </c>
      <c r="L31" s="71" t="str">
        <f t="shared" si="2"/>
        <v>Set after</v>
      </c>
      <c r="M31" s="91">
        <f>INDEX('2015_Road Weights'!$A:$CX,MATCH(Table12[[#This Row],[Gender]],'2015_Road Weights'!$A:$A,0),MATCH(Table12[[#This Row],[Age]],'2015_Road Weights'!$1:$1,0))</f>
        <v>0.95840000000000003</v>
      </c>
      <c r="N31" s="87">
        <f>IF(A31="M", Male_2015_Open_Standard/M31,IF(A31="F",Female_2020_Open_Standard/M31))</f>
        <v>8.9088005472083107E-2</v>
      </c>
      <c r="O31" s="88">
        <f>Table12[[#This Row],[2015_AS]]*1440</f>
        <v>128.28672787979968</v>
      </c>
    </row>
    <row r="32" spans="1:15" x14ac:dyDescent="0.55000000000000004">
      <c r="A32" s="71" t="s">
        <v>98</v>
      </c>
      <c r="B32" s="71">
        <v>43</v>
      </c>
      <c r="C32" s="87">
        <f>IF(A32="M",VLOOKUP(B32,'ARRS Marathon SARs (formatted)'!$B$11:$S$97,2),IF(A32="F",VLOOKUP(B32,'ARRS Marathon SARs (formatted)'!$B$98:$S$183,2)))</f>
        <v>8.9629629629629629E-2</v>
      </c>
      <c r="D32" s="88">
        <f t="shared" si="0"/>
        <v>129.06666666666666</v>
      </c>
      <c r="E32" s="87" t="str">
        <f>IF(Table12[[#This Row],[SAR]]=$D$3,"Yes",IF(Table12[[#This Row],[SAR]]=$D$4, "Yes", "No"))</f>
        <v>No</v>
      </c>
      <c r="F32" s="71">
        <f>IF(A32="M",VLOOKUP(B32,[3]AgeStdFactors!$A$2:$V$100,16),IF(A32="F",VLOOKUP(B32,[4]AgeStdFactors!$A$2:$V$101,16)))</f>
        <v>0.94669999999999999</v>
      </c>
      <c r="G32" s="87">
        <f>IF(A32="M", Male_2020_Open_Standard/F32,IF(A32="F",Female_2020_Open_Standard/F32))</f>
        <v>8.9235414245977251E-2</v>
      </c>
      <c r="H32" s="88">
        <f t="shared" si="1"/>
        <v>128.49899651420725</v>
      </c>
      <c r="I32" s="88">
        <f>D32-H32</f>
        <v>0.56767015245941366</v>
      </c>
      <c r="J32" s="89">
        <f>I32/D32</f>
        <v>4.3982708093446305E-3</v>
      </c>
      <c r="K32" s="90">
        <f>IF(A32="M",VLOOKUP(B32,'ARRS Marathon SARs (formatted)'!$B$11:$S$97,5),IF(A32="F",VLOOKUP(B32,'ARRS Marathon SARs (formatted)'!$B$98:$S$183,5)))</f>
        <v>42918</v>
      </c>
      <c r="L32" s="71" t="str">
        <f t="shared" si="2"/>
        <v>Set after</v>
      </c>
      <c r="M32" s="91">
        <f>INDEX('2015_Road Weights'!$A:$CX,MATCH(Table12[[#This Row],[Gender]],'2015_Road Weights'!$A:$A,0),MATCH(Table12[[#This Row],[Age]],'2015_Road Weights'!$1:$1,0))</f>
        <v>0.9506</v>
      </c>
      <c r="N32" s="87">
        <f>IF(A32="M", Male_2015_Open_Standard/M32,IF(A32="F",Female_2020_Open_Standard/M32))</f>
        <v>8.9819003202655637E-2</v>
      </c>
      <c r="O32" s="88">
        <f>Table12[[#This Row],[2015_AS]]*1440</f>
        <v>129.33936461182412</v>
      </c>
    </row>
    <row r="33" spans="1:15" x14ac:dyDescent="0.55000000000000004">
      <c r="A33" s="71" t="s">
        <v>98</v>
      </c>
      <c r="B33" s="71">
        <v>44</v>
      </c>
      <c r="C33" s="87">
        <f>IF(A33="M",VLOOKUP(B33,'ARRS Marathon SARs (formatted)'!$B$11:$S$97,2),IF(A33="F",VLOOKUP(B33,'ARRS Marathon SARs (formatted)'!$B$98:$S$183,2)))</f>
        <v>8.9687499999999989E-2</v>
      </c>
      <c r="D33" s="88">
        <f t="shared" si="0"/>
        <v>129.14999999999998</v>
      </c>
      <c r="E33" s="87" t="str">
        <f>IF(Table12[[#This Row],[SAR]]=$D$3,"Yes",IF(Table12[[#This Row],[SAR]]=$D$4, "Yes", "No"))</f>
        <v>No</v>
      </c>
      <c r="F33" s="71">
        <f>IF(A33="M",VLOOKUP(B33,[3]AgeStdFactors!$A$2:$V$100,16),IF(A33="F",VLOOKUP(B33,[4]AgeStdFactors!$A$2:$V$101,16)))</f>
        <v>0.93889999999999996</v>
      </c>
      <c r="G33" s="87">
        <f>IF(A33="M", Male_2020_Open_Standard/F33,IF(A33="F",Female_2020_Open_Standard/F33))</f>
        <v>8.9976745837327371E-2</v>
      </c>
      <c r="H33" s="88">
        <f t="shared" si="1"/>
        <v>129.5665140057514</v>
      </c>
      <c r="I33" s="88">
        <f>D33-H33</f>
        <v>-0.41651400575142361</v>
      </c>
      <c r="J33" s="89">
        <f>I33/D33</f>
        <v>-3.2250406949394014E-3</v>
      </c>
      <c r="K33" s="90">
        <f>IF(A33="M",VLOOKUP(B33,'ARRS Marathon SARs (formatted)'!$B$11:$S$97,5),IF(A33="F",VLOOKUP(B33,'ARRS Marathon SARs (formatted)'!$B$98:$S$183,5)))</f>
        <v>43282</v>
      </c>
      <c r="L33" s="71" t="str">
        <f t="shared" si="2"/>
        <v>Set after</v>
      </c>
      <c r="M33" s="91">
        <f>INDEX('2015_Road Weights'!$A:$CX,MATCH(Table12[[#This Row],[Gender]],'2015_Road Weights'!$A:$A,0),MATCH(Table12[[#This Row],[Age]],'2015_Road Weights'!$1:$1,0))</f>
        <v>0.94279999999999997</v>
      </c>
      <c r="N33" s="87">
        <f>IF(A33="M", Male_2015_Open_Standard/M33,IF(A33="F",Female_2020_Open_Standard/M33))</f>
        <v>9.056209635600812E-2</v>
      </c>
      <c r="O33" s="88">
        <f>Table12[[#This Row],[2015_AS]]*1440</f>
        <v>130.4094187526517</v>
      </c>
    </row>
    <row r="34" spans="1:15" x14ac:dyDescent="0.55000000000000004">
      <c r="A34" s="71" t="s">
        <v>98</v>
      </c>
      <c r="B34" s="71">
        <v>45</v>
      </c>
      <c r="C34" s="87">
        <f>IF(A34="M",VLOOKUP(B34,'ARRS Marathon SARs (formatted)'!$B$11:$S$97,2),IF(A34="F",VLOOKUP(B34,'ARRS Marathon SARs (formatted)'!$B$98:$S$183,2)))</f>
        <v>9.2210648148148153E-2</v>
      </c>
      <c r="D34" s="88">
        <f t="shared" si="0"/>
        <v>132.78333333333333</v>
      </c>
      <c r="E34" s="87" t="str">
        <f>IF(Table12[[#This Row],[SAR]]=$D$3,"Yes",IF(Table12[[#This Row],[SAR]]=$D$4, "Yes", "No"))</f>
        <v>No</v>
      </c>
      <c r="F34" s="71">
        <f>IF(A34="M",VLOOKUP(B34,[3]AgeStdFactors!$A$2:$V$100,16),IF(A34="F",VLOOKUP(B34,[4]AgeStdFactors!$A$2:$V$101,16)))</f>
        <v>0.93110000000000004</v>
      </c>
      <c r="G34" s="87">
        <f>IF(A34="M", Male_2020_Open_Standard/F34,IF(A34="F",Female_2020_Open_Standard/F34))</f>
        <v>9.0730497977302815E-2</v>
      </c>
      <c r="H34" s="88">
        <f t="shared" si="1"/>
        <v>130.65191708731606</v>
      </c>
      <c r="I34" s="88">
        <f>D34-H34</f>
        <v>2.1314162460172668</v>
      </c>
      <c r="J34" s="89">
        <f>I34/D34</f>
        <v>1.6051835667256934E-2</v>
      </c>
      <c r="K34" s="90">
        <f>IF(A34="M",VLOOKUP(B34,'ARRS Marathon SARs (formatted)'!$B$11:$S$97,5),IF(A34="F",VLOOKUP(B34,'ARRS Marathon SARs (formatted)'!$B$98:$S$183,5)))</f>
        <v>43513</v>
      </c>
      <c r="L34" s="71" t="str">
        <f t="shared" si="2"/>
        <v>Set after</v>
      </c>
      <c r="M34" s="91">
        <f>INDEX('2015_Road Weights'!$A:$CX,MATCH(Table12[[#This Row],[Gender]],'2015_Road Weights'!$A:$A,0),MATCH(Table12[[#This Row],[Age]],'2015_Road Weights'!$1:$1,0))</f>
        <v>0.93500000000000005</v>
      </c>
      <c r="N34" s="87">
        <f>IF(A34="M", Male_2015_Open_Standard/M34,IF(A34="F",Female_2020_Open_Standard/M34))</f>
        <v>9.1317587641117054E-2</v>
      </c>
      <c r="O34" s="88">
        <f>Table12[[#This Row],[2015_AS]]*1440</f>
        <v>131.49732620320856</v>
      </c>
    </row>
    <row r="35" spans="1:15" x14ac:dyDescent="0.55000000000000004">
      <c r="A35" s="71" t="s">
        <v>98</v>
      </c>
      <c r="B35" s="71">
        <v>46</v>
      </c>
      <c r="C35" s="87">
        <f>IF(A35="M",VLOOKUP(B35,'ARRS Marathon SARs (formatted)'!$B$11:$S$97,2),IF(A35="F",VLOOKUP(B35,'ARRS Marathon SARs (formatted)'!$B$98:$S$183,2)))</f>
        <v>9.402777777777778E-2</v>
      </c>
      <c r="D35" s="88">
        <f t="shared" si="0"/>
        <v>135.4</v>
      </c>
      <c r="E35" s="87" t="str">
        <f>IF(Table12[[#This Row],[SAR]]=$D$3,"Yes",IF(Table12[[#This Row],[SAR]]=$D$4, "Yes", "No"))</f>
        <v>No</v>
      </c>
      <c r="F35" s="71">
        <f>IF(A35="M",VLOOKUP(B35,[3]AgeStdFactors!$A$2:$V$100,16),IF(A35="F",VLOOKUP(B35,[4]AgeStdFactors!$A$2:$V$101,16)))</f>
        <v>0.9234</v>
      </c>
      <c r="G35" s="87">
        <f>IF(A35="M", Male_2020_Open_Standard/F35,IF(A35="F",Female_2020_Open_Standard/F35))</f>
        <v>9.1487076745361343E-2</v>
      </c>
      <c r="H35" s="88">
        <f t="shared" si="1"/>
        <v>131.74139051332034</v>
      </c>
      <c r="I35" s="88">
        <f>D35-H35</f>
        <v>3.6586094866796657</v>
      </c>
      <c r="J35" s="89">
        <f>I35/D35</f>
        <v>2.7020749532346126E-2</v>
      </c>
      <c r="K35" s="90">
        <f>IF(A35="M",VLOOKUP(B35,'ARRS Marathon SARs (formatted)'!$B$11:$S$97,5),IF(A35="F",VLOOKUP(B35,'ARRS Marathon SARs (formatted)'!$B$98:$S$183,5)))</f>
        <v>40090</v>
      </c>
      <c r="L35" s="71" t="str">
        <f t="shared" si="2"/>
        <v>Set before</v>
      </c>
      <c r="M35" s="91">
        <f>INDEX('2015_Road Weights'!$A:$CX,MATCH(Table12[[#This Row],[Gender]],'2015_Road Weights'!$A:$A,0),MATCH(Table12[[#This Row],[Age]],'2015_Road Weights'!$1:$1,0))</f>
        <v>0.92730000000000001</v>
      </c>
      <c r="N35" s="87">
        <f>IF(A35="M", Male_2015_Open_Standard/M35,IF(A35="F",Female_2020_Open_Standard/M35))</f>
        <v>9.2075859424613882E-2</v>
      </c>
      <c r="O35" s="88">
        <f>Table12[[#This Row],[2015_AS]]*1440</f>
        <v>132.58923757144399</v>
      </c>
    </row>
    <row r="36" spans="1:15" x14ac:dyDescent="0.55000000000000004">
      <c r="A36" s="71" t="s">
        <v>98</v>
      </c>
      <c r="B36" s="71">
        <v>47</v>
      </c>
      <c r="C36" s="87">
        <f>IF(A36="M",VLOOKUP(B36,'ARRS Marathon SARs (formatted)'!$B$11:$S$97,2),IF(A36="F",VLOOKUP(B36,'ARRS Marathon SARs (formatted)'!$B$98:$S$183,2)))</f>
        <v>9.4675925925925927E-2</v>
      </c>
      <c r="D36" s="88">
        <f t="shared" si="0"/>
        <v>136.33333333333334</v>
      </c>
      <c r="E36" s="87" t="str">
        <f>IF(Table12[[#This Row],[SAR]]=$D$3,"Yes",IF(Table12[[#This Row],[SAR]]=$D$4, "Yes", "No"))</f>
        <v>No</v>
      </c>
      <c r="F36" s="71">
        <f>IF(A36="M",VLOOKUP(B36,[3]AgeStdFactors!$A$2:$V$100,16),IF(A36="F",VLOOKUP(B36,[4]AgeStdFactors!$A$2:$V$101,16)))</f>
        <v>0.91559999999999997</v>
      </c>
      <c r="G36" s="87">
        <f>IF(A36="M", Male_2020_Open_Standard/F36,IF(A36="F",Female_2020_Open_Standard/F36))</f>
        <v>9.226645551186835E-2</v>
      </c>
      <c r="H36" s="88">
        <f t="shared" si="1"/>
        <v>132.86369593709043</v>
      </c>
      <c r="I36" s="88">
        <f>D36-H36</f>
        <v>3.4696373962429163</v>
      </c>
      <c r="J36" s="89">
        <f>I36/D36</f>
        <v>2.5449663053126525E-2</v>
      </c>
      <c r="K36" s="90">
        <f>IF(A36="M",VLOOKUP(B36,'ARRS Marathon SARs (formatted)'!$B$11:$S$97,5),IF(A36="F",VLOOKUP(B36,'ARRS Marathon SARs (formatted)'!$B$98:$S$183,5)))</f>
        <v>39432</v>
      </c>
      <c r="L36" s="71" t="str">
        <f t="shared" si="2"/>
        <v>Set before</v>
      </c>
      <c r="M36" s="91">
        <f>INDEX('2015_Road Weights'!$A:$CX,MATCH(Table12[[#This Row],[Gender]],'2015_Road Weights'!$A:$A,0),MATCH(Table12[[#This Row],[Age]],'2015_Road Weights'!$1:$1,0))</f>
        <v>0.91949999999999998</v>
      </c>
      <c r="N36" s="87">
        <f>IF(A36="M", Male_2015_Open_Standard/M36,IF(A36="F",Female_2020_Open_Standard/M36))</f>
        <v>9.2856927073892828E-2</v>
      </c>
      <c r="O36" s="88">
        <f>Table12[[#This Row],[2015_AS]]*1440</f>
        <v>133.71397498640567</v>
      </c>
    </row>
    <row r="37" spans="1:15" x14ac:dyDescent="0.55000000000000004">
      <c r="A37" s="71" t="s">
        <v>98</v>
      </c>
      <c r="B37" s="71">
        <v>48</v>
      </c>
      <c r="C37" s="87">
        <f>IF(A37="M",VLOOKUP(B37,'ARRS Marathon SARs (formatted)'!$B$11:$S$97,2),IF(A37="F",VLOOKUP(B37,'ARRS Marathon SARs (formatted)'!$B$98:$S$183,2)))</f>
        <v>9.6493055555555554E-2</v>
      </c>
      <c r="D37" s="88">
        <f t="shared" si="0"/>
        <v>138.94999999999999</v>
      </c>
      <c r="E37" s="87" t="str">
        <f>IF(Table12[[#This Row],[SAR]]=$D$3,"Yes",IF(Table12[[#This Row],[SAR]]=$D$4, "Yes", "No"))</f>
        <v>No</v>
      </c>
      <c r="F37" s="71">
        <f>IF(A37="M",VLOOKUP(B37,[3]AgeStdFactors!$A$2:$V$100,16),IF(A37="F",VLOOKUP(B37,[4]AgeStdFactors!$A$2:$V$101,16)))</f>
        <v>0.90780000000000005</v>
      </c>
      <c r="G37" s="87">
        <f>IF(A37="M", Male_2020_Open_Standard/F37,IF(A37="F",Female_2020_Open_Standard/F37))</f>
        <v>9.3059227436292857E-2</v>
      </c>
      <c r="H37" s="88">
        <f t="shared" si="1"/>
        <v>134.00528750826172</v>
      </c>
      <c r="I37" s="88">
        <f>D37-H37</f>
        <v>4.9447124917382723</v>
      </c>
      <c r="J37" s="89">
        <f>I37/D37</f>
        <v>3.5586271980843992E-2</v>
      </c>
      <c r="K37" s="90">
        <f>IF(A37="M",VLOOKUP(B37,'ARRS Marathon SARs (formatted)'!$B$11:$S$97,5),IF(A37="F",VLOOKUP(B37,'ARRS Marathon SARs (formatted)'!$B$98:$S$183,5)))</f>
        <v>40549</v>
      </c>
      <c r="L37" s="71" t="str">
        <f t="shared" si="2"/>
        <v>Set before</v>
      </c>
      <c r="M37" s="91">
        <f>INDEX('2015_Road Weights'!$A:$CX,MATCH(Table12[[#This Row],[Gender]],'2015_Road Weights'!$A:$A,0),MATCH(Table12[[#This Row],[Age]],'2015_Road Weights'!$1:$1,0))</f>
        <v>0.91169999999999995</v>
      </c>
      <c r="N37" s="87">
        <f>IF(A37="M", Male_2015_Open_Standard/M37,IF(A37="F",Female_2020_Open_Standard/M37))</f>
        <v>9.365135948716076E-2</v>
      </c>
      <c r="O37" s="88">
        <f>Table12[[#This Row],[2015_AS]]*1440</f>
        <v>134.85795766151151</v>
      </c>
    </row>
    <row r="38" spans="1:15" x14ac:dyDescent="0.55000000000000004">
      <c r="A38" s="71" t="s">
        <v>98</v>
      </c>
      <c r="B38" s="71">
        <v>49</v>
      </c>
      <c r="C38" s="87">
        <f>IF(A38="M",VLOOKUP(B38,'ARRS Marathon SARs (formatted)'!$B$11:$S$97,2),IF(A38="F",VLOOKUP(B38,'ARRS Marathon SARs (formatted)'!$B$98:$S$183,2)))</f>
        <v>9.707175925925926E-2</v>
      </c>
      <c r="D38" s="88">
        <f t="shared" si="0"/>
        <v>139.78333333333333</v>
      </c>
      <c r="E38" s="87" t="str">
        <f>IF(Table12[[#This Row],[SAR]]=$D$3,"Yes",IF(Table12[[#This Row],[SAR]]=$D$4, "Yes", "No"))</f>
        <v>No</v>
      </c>
      <c r="F38" s="71">
        <f>IF(A38="M",VLOOKUP(B38,[3]AgeStdFactors!$A$2:$V$100,16),IF(A38="F",VLOOKUP(B38,[4]AgeStdFactors!$A$2:$V$101,16)))</f>
        <v>0.9</v>
      </c>
      <c r="G38" s="87">
        <f>IF(A38="M", Male_2020_Open_Standard/F38,IF(A38="F",Female_2020_Open_Standard/F38))</f>
        <v>9.3865740740740736E-2</v>
      </c>
      <c r="H38" s="88">
        <f t="shared" si="1"/>
        <v>135.16666666666666</v>
      </c>
      <c r="I38" s="88">
        <f>D38-H38</f>
        <v>4.6166666666666742</v>
      </c>
      <c r="J38" s="89">
        <f>I38/D38</f>
        <v>3.3027304161201913E-2</v>
      </c>
      <c r="K38" s="90">
        <f>IF(A38="M",VLOOKUP(B38,'ARRS Marathon SARs (formatted)'!$B$11:$S$97,5),IF(A38="F",VLOOKUP(B38,'ARRS Marathon SARs (formatted)'!$B$98:$S$183,5)))</f>
        <v>34860</v>
      </c>
      <c r="L38" s="71" t="str">
        <f t="shared" si="2"/>
        <v>Set before</v>
      </c>
      <c r="M38" s="91">
        <f>INDEX('2015_Road Weights'!$A:$CX,MATCH(Table12[[#This Row],[Gender]],'2015_Road Weights'!$A:$A,0),MATCH(Table12[[#This Row],[Age]],'2015_Road Weights'!$1:$1,0))</f>
        <v>0.90390000000000004</v>
      </c>
      <c r="N38" s="87">
        <f>IF(A38="M", Male_2015_Open_Standard/M38,IF(A38="F",Female_2020_Open_Standard/M38))</f>
        <v>9.4459502649014773E-2</v>
      </c>
      <c r="O38" s="88">
        <f>Table12[[#This Row],[2015_AS]]*1440</f>
        <v>136.02168381458128</v>
      </c>
    </row>
    <row r="39" spans="1:15" x14ac:dyDescent="0.55000000000000004">
      <c r="A39" s="71" t="s">
        <v>98</v>
      </c>
      <c r="B39" s="71">
        <v>50</v>
      </c>
      <c r="C39" s="87">
        <f>IF(A39="M",VLOOKUP(B39,'ARRS Marathon SARs (formatted)'!$B$11:$S$97,2),IF(A39="F",VLOOKUP(B39,'ARRS Marathon SARs (formatted)'!$B$98:$S$183,2)))</f>
        <v>9.6863425925925936E-2</v>
      </c>
      <c r="D39" s="88">
        <f t="shared" si="0"/>
        <v>139.48333333333335</v>
      </c>
      <c r="E39" s="87" t="str">
        <f>IF(Table12[[#This Row],[SAR]]=$D$3,"Yes",IF(Table12[[#This Row],[SAR]]=$D$4, "Yes", "No"))</f>
        <v>No</v>
      </c>
      <c r="F39" s="71">
        <f>IF(A39="M",VLOOKUP(B39,[3]AgeStdFactors!$A$2:$V$100,16),IF(A39="F",VLOOKUP(B39,[4]AgeStdFactors!$A$2:$V$101,16)))</f>
        <v>0.89219999999999999</v>
      </c>
      <c r="G39" s="87">
        <f>IF(A39="M", Male_2020_Open_Standard/F39,IF(A39="F",Female_2020_Open_Standard/F39))</f>
        <v>9.4686355824553536E-2</v>
      </c>
      <c r="H39" s="88">
        <f t="shared" si="1"/>
        <v>136.3483523873571</v>
      </c>
      <c r="I39" s="88">
        <f>D39-H39</f>
        <v>3.1349809459762525</v>
      </c>
      <c r="J39" s="89">
        <f>I39/D39</f>
        <v>2.2475666956455385E-2</v>
      </c>
      <c r="K39" s="90">
        <f>IF(A39="M",VLOOKUP(B39,'ARRS Marathon SARs (formatted)'!$B$11:$S$97,5),IF(A39="F",VLOOKUP(B39,'ARRS Marathon SARs (formatted)'!$B$98:$S$183,5)))</f>
        <v>33439</v>
      </c>
      <c r="L39" s="71" t="str">
        <f t="shared" si="2"/>
        <v>Set before</v>
      </c>
      <c r="M39" s="91">
        <f>INDEX('2015_Road Weights'!$A:$CX,MATCH(Table12[[#This Row],[Gender]],'2015_Road Weights'!$A:$A,0),MATCH(Table12[[#This Row],[Age]],'2015_Road Weights'!$1:$1,0))</f>
        <v>0.89610000000000001</v>
      </c>
      <c r="N39" s="87">
        <f>IF(A39="M", Male_2015_Open_Standard/M39,IF(A39="F",Female_2020_Open_Standard/M39))</f>
        <v>9.5281714590385508E-2</v>
      </c>
      <c r="O39" s="88">
        <f>Table12[[#This Row],[2015_AS]]*1440</f>
        <v>137.20566901015513</v>
      </c>
    </row>
    <row r="40" spans="1:15" x14ac:dyDescent="0.55000000000000004">
      <c r="A40" s="71" t="s">
        <v>98</v>
      </c>
      <c r="B40" s="71">
        <v>51</v>
      </c>
      <c r="C40" s="87">
        <f>IF(A40="M",VLOOKUP(B40,'ARRS Marathon SARs (formatted)'!$B$11:$S$97,2),IF(A40="F",VLOOKUP(B40,'ARRS Marathon SARs (formatted)'!$B$98:$S$183,2)))</f>
        <v>0.10020833333333334</v>
      </c>
      <c r="D40" s="88">
        <f t="shared" si="0"/>
        <v>144.30000000000001</v>
      </c>
      <c r="E40" s="87" t="str">
        <f>IF(Table12[[#This Row],[SAR]]=$D$3,"Yes",IF(Table12[[#This Row],[SAR]]=$D$4, "Yes", "No"))</f>
        <v>No</v>
      </c>
      <c r="F40" s="71">
        <f>IF(A40="M",VLOOKUP(B40,[3]AgeStdFactors!$A$2:$V$100,16),IF(A40="F",VLOOKUP(B40,[4]AgeStdFactors!$A$2:$V$101,16)))</f>
        <v>0.88449999999999995</v>
      </c>
      <c r="G40" s="87">
        <f>IF(A40="M", Male_2020_Open_Standard/F40,IF(A40="F",Female_2020_Open_Standard/F40))</f>
        <v>9.5510646316186165E-2</v>
      </c>
      <c r="H40" s="88">
        <f t="shared" si="1"/>
        <v>137.53533069530809</v>
      </c>
      <c r="I40" s="88">
        <f>D40-H40</f>
        <v>6.7646693046919211</v>
      </c>
      <c r="J40" s="89">
        <f>I40/D40</f>
        <v>4.6879205160720173E-2</v>
      </c>
      <c r="K40" s="90">
        <f>IF(A40="M",VLOOKUP(B40,'ARRS Marathon SARs (formatted)'!$B$11:$S$97,5),IF(A40="F",VLOOKUP(B40,'ARRS Marathon SARs (formatted)'!$B$98:$S$183,5)))</f>
        <v>29842</v>
      </c>
      <c r="L40" s="71" t="str">
        <f t="shared" si="2"/>
        <v>Set before</v>
      </c>
      <c r="M40" s="91">
        <f>INDEX('2015_Road Weights'!$A:$CX,MATCH(Table12[[#This Row],[Gender]],'2015_Road Weights'!$A:$A,0),MATCH(Table12[[#This Row],[Age]],'2015_Road Weights'!$1:$1,0))</f>
        <v>0.88839999999999997</v>
      </c>
      <c r="N40" s="87">
        <f>IF(A40="M", Male_2015_Open_Standard/M40,IF(A40="F",Female_2020_Open_Standard/M40))</f>
        <v>9.6107546650657877E-2</v>
      </c>
      <c r="O40" s="88">
        <f>Table12[[#This Row],[2015_AS]]*1440</f>
        <v>138.39486717694734</v>
      </c>
    </row>
    <row r="41" spans="1:15" x14ac:dyDescent="0.55000000000000004">
      <c r="A41" s="71" t="s">
        <v>98</v>
      </c>
      <c r="B41" s="71">
        <v>52</v>
      </c>
      <c r="C41" s="87">
        <f>IF(A41="M",VLOOKUP(B41,'ARRS Marathon SARs (formatted)'!$B$11:$S$97,2),IF(A41="F",VLOOKUP(B41,'ARRS Marathon SARs (formatted)'!$B$98:$S$183,2)))</f>
        <v>9.8773148148148152E-2</v>
      </c>
      <c r="D41" s="88">
        <f t="shared" si="0"/>
        <v>142.23333333333335</v>
      </c>
      <c r="E41" s="87" t="str">
        <f>IF(Table12[[#This Row],[SAR]]=$D$3,"Yes",IF(Table12[[#This Row],[SAR]]=$D$4, "Yes", "No"))</f>
        <v>No</v>
      </c>
      <c r="F41" s="71">
        <f>IF(A41="M",VLOOKUP(B41,[3]AgeStdFactors!$A$2:$V$100,16),IF(A41="F",VLOOKUP(B41,[4]AgeStdFactors!$A$2:$V$101,16)))</f>
        <v>0.87670000000000003</v>
      </c>
      <c r="G41" s="87">
        <f>IF(A41="M", Male_2020_Open_Standard/F41,IF(A41="F",Female_2020_Open_Standard/F41))</f>
        <v>9.6360404547355602E-2</v>
      </c>
      <c r="H41" s="88">
        <f t="shared" si="1"/>
        <v>138.75898254819208</v>
      </c>
      <c r="I41" s="88">
        <f>D41-H41</f>
        <v>3.4743507851412687</v>
      </c>
      <c r="J41" s="89">
        <f>I41/D41</f>
        <v>2.442712058922851E-2</v>
      </c>
      <c r="K41" s="90">
        <f>IF(A41="M",VLOOKUP(B41,'ARRS Marathon SARs (formatted)'!$B$11:$S$97,5),IF(A41="F",VLOOKUP(B41,'ARRS Marathon SARs (formatted)'!$B$98:$S$183,5)))</f>
        <v>30415</v>
      </c>
      <c r="L41" s="71" t="str">
        <f t="shared" si="2"/>
        <v>Set before</v>
      </c>
      <c r="M41" s="91">
        <f>INDEX('2015_Road Weights'!$A:$CX,MATCH(Table12[[#This Row],[Gender]],'2015_Road Weights'!$A:$A,0),MATCH(Table12[[#This Row],[Age]],'2015_Road Weights'!$1:$1,0))</f>
        <v>0.88060000000000005</v>
      </c>
      <c r="N41" s="87">
        <f>IF(A41="M", Male_2015_Open_Standard/M41,IF(A41="F",Female_2020_Open_Standard/M41))</f>
        <v>9.6958828576475642E-2</v>
      </c>
      <c r="O41" s="88">
        <f>Table12[[#This Row],[2015_AS]]*1440</f>
        <v>139.62071315012491</v>
      </c>
    </row>
    <row r="42" spans="1:15" x14ac:dyDescent="0.55000000000000004">
      <c r="A42" s="71" t="s">
        <v>98</v>
      </c>
      <c r="B42" s="71">
        <v>53</v>
      </c>
      <c r="C42" s="87">
        <f>IF(A42="M",VLOOKUP(B42,'ARRS Marathon SARs (formatted)'!$B$11:$S$97,2),IF(A42="F",VLOOKUP(B42,'ARRS Marathon SARs (formatted)'!$B$98:$S$183,2)))</f>
        <v>9.9814814814814815E-2</v>
      </c>
      <c r="D42" s="88">
        <f t="shared" si="0"/>
        <v>143.73333333333332</v>
      </c>
      <c r="E42" s="87" t="str">
        <f>IF(Table12[[#This Row],[SAR]]=$D$3,"Yes",IF(Table12[[#This Row],[SAR]]=$D$4, "Yes", "No"))</f>
        <v>No</v>
      </c>
      <c r="F42" s="71">
        <f>IF(A42="M",VLOOKUP(B42,[3]AgeStdFactors!$A$2:$V$100,16),IF(A42="F",VLOOKUP(B42,[4]AgeStdFactors!$A$2:$V$101,16)))</f>
        <v>0.86890000000000001</v>
      </c>
      <c r="G42" s="87">
        <f>IF(A42="M", Male_2020_Open_Standard/F42,IF(A42="F",Female_2020_Open_Standard/F42))</f>
        <v>9.7225419112287562E-2</v>
      </c>
      <c r="H42" s="88">
        <f t="shared" si="1"/>
        <v>140.00460352169409</v>
      </c>
      <c r="I42" s="88">
        <f>D42-H42</f>
        <v>3.7287298116392265</v>
      </c>
      <c r="J42" s="89">
        <f>I42/D42</f>
        <v>2.5941997761868462E-2</v>
      </c>
      <c r="K42" s="90">
        <f>IF(A42="M",VLOOKUP(B42,'ARRS Marathon SARs (formatted)'!$B$11:$S$97,5),IF(A42="F",VLOOKUP(B42,'ARRS Marathon SARs (formatted)'!$B$98:$S$183,5)))</f>
        <v>30611</v>
      </c>
      <c r="L42" s="71" t="str">
        <f t="shared" si="2"/>
        <v>Set before</v>
      </c>
      <c r="M42" s="91">
        <f>INDEX('2015_Road Weights'!$A:$CX,MATCH(Table12[[#This Row],[Gender]],'2015_Road Weights'!$A:$A,0),MATCH(Table12[[#This Row],[Age]],'2015_Road Weights'!$1:$1,0))</f>
        <v>0.87280000000000002</v>
      </c>
      <c r="N42" s="87">
        <f>IF(A42="M", Male_2015_Open_Standard/M42,IF(A42="F",Female_2020_Open_Standard/M42))</f>
        <v>9.7825325898767704E-2</v>
      </c>
      <c r="O42" s="88">
        <f>Table12[[#This Row],[2015_AS]]*1440</f>
        <v>140.86846929422549</v>
      </c>
    </row>
    <row r="43" spans="1:15" x14ac:dyDescent="0.55000000000000004">
      <c r="A43" s="71" t="s">
        <v>98</v>
      </c>
      <c r="B43" s="71">
        <v>54</v>
      </c>
      <c r="C43" s="87">
        <f>IF(A43="M",VLOOKUP(B43,'ARRS Marathon SARs (formatted)'!$B$11:$S$97,2),IF(A43="F",VLOOKUP(B43,'ARRS Marathon SARs (formatted)'!$B$98:$S$183,2)))</f>
        <v>0.10179398148148149</v>
      </c>
      <c r="D43" s="88">
        <f t="shared" si="0"/>
        <v>146.58333333333334</v>
      </c>
      <c r="E43" s="87" t="str">
        <f>IF(Table12[[#This Row],[SAR]]=$D$3,"Yes",IF(Table12[[#This Row],[SAR]]=$D$4, "Yes", "No"))</f>
        <v>No</v>
      </c>
      <c r="F43" s="71">
        <f>IF(A43="M",VLOOKUP(B43,[3]AgeStdFactors!$A$2:$V$100,16),IF(A43="F",VLOOKUP(B43,[4]AgeStdFactors!$A$2:$V$101,16)))</f>
        <v>0.86109999999999998</v>
      </c>
      <c r="G43" s="87">
        <f>IF(A43="M", Male_2020_Open_Standard/F43,IF(A43="F",Female_2020_Open_Standard/F43))</f>
        <v>9.8106104594897992E-2</v>
      </c>
      <c r="H43" s="88">
        <f t="shared" si="1"/>
        <v>141.27279061665311</v>
      </c>
      <c r="I43" s="88">
        <f>D43-H43</f>
        <v>5.3105427166802315</v>
      </c>
      <c r="J43" s="89">
        <f>I43/D43</f>
        <v>3.6228830358250579E-2</v>
      </c>
      <c r="K43" s="90">
        <f>IF(A43="M",VLOOKUP(B43,'ARRS Marathon SARs (formatted)'!$B$11:$S$97,5),IF(A43="F",VLOOKUP(B43,'ARRS Marathon SARs (formatted)'!$B$98:$S$183,5)))</f>
        <v>31157</v>
      </c>
      <c r="L43" s="71" t="str">
        <f t="shared" si="2"/>
        <v>Set before</v>
      </c>
      <c r="M43" s="91">
        <f>INDEX('2015_Road Weights'!$A:$CX,MATCH(Table12[[#This Row],[Gender]],'2015_Road Weights'!$A:$A,0),MATCH(Table12[[#This Row],[Age]],'2015_Road Weights'!$1:$1,0))</f>
        <v>0.86499999999999999</v>
      </c>
      <c r="N43" s="87">
        <f>IF(A43="M", Male_2015_Open_Standard/M43,IF(A43="F",Female_2020_Open_Standard/M43))</f>
        <v>9.8707450224791285E-2</v>
      </c>
      <c r="O43" s="88">
        <f>Table12[[#This Row],[2015_AS]]*1440</f>
        <v>142.13872832369944</v>
      </c>
    </row>
    <row r="44" spans="1:15" x14ac:dyDescent="0.55000000000000004">
      <c r="A44" s="71" t="s">
        <v>98</v>
      </c>
      <c r="B44" s="71">
        <v>55</v>
      </c>
      <c r="C44" s="87">
        <f>IF(A44="M",VLOOKUP(B44,'ARRS Marathon SARs (formatted)'!$B$11:$S$97,2),IF(A44="F",VLOOKUP(B44,'ARRS Marathon SARs (formatted)'!$B$98:$S$183,2)))</f>
        <v>0.1013425925925926</v>
      </c>
      <c r="D44" s="88">
        <f t="shared" si="0"/>
        <v>145.93333333333334</v>
      </c>
      <c r="E44" s="87" t="str">
        <f>IF(Table12[[#This Row],[SAR]]=$D$3,"Yes",IF(Table12[[#This Row],[SAR]]=$D$4, "Yes", "No"))</f>
        <v>No</v>
      </c>
      <c r="F44" s="71">
        <f>IF(A44="M",VLOOKUP(B44,[3]AgeStdFactors!$A$2:$V$100,16),IF(A44="F",VLOOKUP(B44,[4]AgeStdFactors!$A$2:$V$101,16)))</f>
        <v>0.85329999999999995</v>
      </c>
      <c r="G44" s="87">
        <f>IF(A44="M", Male_2020_Open_Standard/F44,IF(A44="F",Female_2020_Open_Standard/F44))</f>
        <v>9.9002890737919444E-2</v>
      </c>
      <c r="H44" s="88">
        <f t="shared" si="1"/>
        <v>142.56416266260399</v>
      </c>
      <c r="I44" s="88">
        <f>D44-H44</f>
        <v>3.3691706707293463</v>
      </c>
      <c r="J44" s="89">
        <f>I44/D44</f>
        <v>2.3087053476902784E-2</v>
      </c>
      <c r="K44" s="90">
        <f>IF(A44="M",VLOOKUP(B44,'ARRS Marathon SARs (formatted)'!$B$11:$S$97,5),IF(A44="F",VLOOKUP(B44,'ARRS Marathon SARs (formatted)'!$B$98:$S$183,5)))</f>
        <v>31521</v>
      </c>
      <c r="L44" s="71" t="str">
        <f t="shared" si="2"/>
        <v>Set before</v>
      </c>
      <c r="M44" s="91">
        <f>INDEX('2015_Road Weights'!$A:$CX,MATCH(Table12[[#This Row],[Gender]],'2015_Road Weights'!$A:$A,0),MATCH(Table12[[#This Row],[Age]],'2015_Road Weights'!$1:$1,0))</f>
        <v>0.85719999999999996</v>
      </c>
      <c r="N44" s="87">
        <f>IF(A44="M", Male_2015_Open_Standard/M44,IF(A44="F",Female_2020_Open_Standard/M44))</f>
        <v>9.9605628143308977E-2</v>
      </c>
      <c r="O44" s="88">
        <f>Table12[[#This Row],[2015_AS]]*1440</f>
        <v>143.43210452636492</v>
      </c>
    </row>
    <row r="45" spans="1:15" x14ac:dyDescent="0.55000000000000004">
      <c r="A45" s="71" t="s">
        <v>98</v>
      </c>
      <c r="B45" s="71">
        <v>56</v>
      </c>
      <c r="C45" s="87">
        <f>IF(A45="M",VLOOKUP(B45,'ARRS Marathon SARs (formatted)'!$B$11:$S$97,2),IF(A45="F",VLOOKUP(B45,'ARRS Marathon SARs (formatted)'!$B$98:$S$183,2)))</f>
        <v>0.10214120370370371</v>
      </c>
      <c r="D45" s="88">
        <f t="shared" si="0"/>
        <v>147.08333333333334</v>
      </c>
      <c r="E45" s="87" t="str">
        <f>IF(Table12[[#This Row],[SAR]]=$D$3,"Yes",IF(Table12[[#This Row],[SAR]]=$D$4, "Yes", "No"))</f>
        <v>No</v>
      </c>
      <c r="F45" s="71">
        <f>IF(A45="M",VLOOKUP(B45,[3]AgeStdFactors!$A$2:$V$100,16),IF(A45="F",VLOOKUP(B45,[4]AgeStdFactors!$A$2:$V$101,16)))</f>
        <v>0.84560000000000002</v>
      </c>
      <c r="G45" s="87">
        <f>IF(A45="M", Male_2020_Open_Standard/F45,IF(A45="F",Female_2020_Open_Standard/F45))</f>
        <v>9.9904407127089243E-2</v>
      </c>
      <c r="H45" s="88">
        <f t="shared" si="1"/>
        <v>143.8623462630085</v>
      </c>
      <c r="I45" s="88">
        <f>D45-H45</f>
        <v>3.2209870703248384</v>
      </c>
      <c r="J45" s="89">
        <f>I45/D45</f>
        <v>2.189906223450315E-2</v>
      </c>
      <c r="K45" s="90">
        <f>IF(A45="M",VLOOKUP(B45,'ARRS Marathon SARs (formatted)'!$B$11:$S$97,5),IF(A45="F",VLOOKUP(B45,'ARRS Marathon SARs (formatted)'!$B$98:$S$183,5)))</f>
        <v>28386</v>
      </c>
      <c r="L45" s="71" t="str">
        <f t="shared" si="2"/>
        <v>Set before</v>
      </c>
      <c r="M45" s="91">
        <f>INDEX('2015_Road Weights'!$A:$CX,MATCH(Table12[[#This Row],[Gender]],'2015_Road Weights'!$A:$A,0),MATCH(Table12[[#This Row],[Age]],'2015_Road Weights'!$1:$1,0))</f>
        <v>0.84950000000000003</v>
      </c>
      <c r="N45" s="87">
        <f>IF(A45="M", Male_2015_Open_Standard/M45,IF(A45="F",Female_2020_Open_Standard/M45))</f>
        <v>0.10050846903407235</v>
      </c>
      <c r="O45" s="88">
        <f>Table12[[#This Row],[2015_AS]]*1440</f>
        <v>144.73219540906419</v>
      </c>
    </row>
    <row r="46" spans="1:15" x14ac:dyDescent="0.55000000000000004">
      <c r="A46" s="71" t="s">
        <v>98</v>
      </c>
      <c r="B46" s="71">
        <v>57</v>
      </c>
      <c r="C46" s="87">
        <f>IF(A46="M",VLOOKUP(B46,'ARRS Marathon SARs (formatted)'!$B$11:$S$97,2),IF(A46="F",VLOOKUP(B46,'ARRS Marathon SARs (formatted)'!$B$98:$S$183,2)))</f>
        <v>0.10638888888888888</v>
      </c>
      <c r="D46" s="88">
        <f t="shared" si="0"/>
        <v>153.19999999999999</v>
      </c>
      <c r="E46" s="87" t="str">
        <f>IF(Table12[[#This Row],[SAR]]=$D$3,"Yes",IF(Table12[[#This Row],[SAR]]=$D$4, "Yes", "No"))</f>
        <v>No</v>
      </c>
      <c r="F46" s="71">
        <f>IF(A46="M",VLOOKUP(B46,[3]AgeStdFactors!$A$2:$V$100,16),IF(A46="F",VLOOKUP(B46,[4]AgeStdFactors!$A$2:$V$101,16)))</f>
        <v>0.83779999999999999</v>
      </c>
      <c r="G46" s="87">
        <f>IF(A46="M", Male_2020_Open_Standard/F46,IF(A46="F",Female_2020_Open_Standard/F46))</f>
        <v>0.10083452693562504</v>
      </c>
      <c r="H46" s="88">
        <f t="shared" si="1"/>
        <v>145.20171878730005</v>
      </c>
      <c r="I46" s="88">
        <f>D46-H46</f>
        <v>7.9982812126999363</v>
      </c>
      <c r="J46" s="89">
        <f>I46/D46</f>
        <v>5.2208101910573998E-2</v>
      </c>
      <c r="K46" s="90">
        <f>IF(A46="M",VLOOKUP(B46,'ARRS Marathon SARs (formatted)'!$B$11:$S$97,5),IF(A46="F",VLOOKUP(B46,'ARRS Marathon SARs (formatted)'!$B$98:$S$183,5)))</f>
        <v>32789</v>
      </c>
      <c r="L46" s="71" t="str">
        <f t="shared" si="2"/>
        <v>Set before</v>
      </c>
      <c r="M46" s="91">
        <f>INDEX('2015_Road Weights'!$A:$CX,MATCH(Table12[[#This Row],[Gender]],'2015_Road Weights'!$A:$A,0),MATCH(Table12[[#This Row],[Age]],'2015_Road Weights'!$1:$1,0))</f>
        <v>0.8417</v>
      </c>
      <c r="N46" s="87">
        <f>IF(A46="M", Male_2015_Open_Standard/M46,IF(A46="F",Female_2020_Open_Standard/M46))</f>
        <v>0.10143987696856892</v>
      </c>
      <c r="O46" s="88">
        <f>Table12[[#This Row],[2015_AS]]*1440</f>
        <v>146.07342283473923</v>
      </c>
    </row>
    <row r="47" spans="1:15" x14ac:dyDescent="0.55000000000000004">
      <c r="A47" s="71" t="s">
        <v>98</v>
      </c>
      <c r="B47" s="71">
        <v>58</v>
      </c>
      <c r="C47" s="87">
        <f>IF(A47="M",VLOOKUP(B47,'ARRS Marathon SARs (formatted)'!$B$11:$S$97,2),IF(A47="F",VLOOKUP(B47,'ARRS Marathon SARs (formatted)'!$B$98:$S$183,2)))</f>
        <v>0.10822916666666667</v>
      </c>
      <c r="D47" s="88">
        <f t="shared" si="0"/>
        <v>155.85</v>
      </c>
      <c r="E47" s="87" t="str">
        <f>IF(Table12[[#This Row],[SAR]]=$D$3,"Yes",IF(Table12[[#This Row],[SAR]]=$D$4, "Yes", "No"))</f>
        <v>No</v>
      </c>
      <c r="F47" s="71">
        <f>IF(A47="M",VLOOKUP(B47,[3]AgeStdFactors!$A$2:$V$100,16),IF(A47="F",VLOOKUP(B47,[4]AgeStdFactors!$A$2:$V$101,16)))</f>
        <v>0.83</v>
      </c>
      <c r="G47" s="87">
        <f>IF(A47="M", Male_2020_Open_Standard/F47,IF(A47="F",Female_2020_Open_Standard/F47))</f>
        <v>0.10178212851405623</v>
      </c>
      <c r="H47" s="88">
        <f t="shared" si="1"/>
        <v>146.56626506024097</v>
      </c>
      <c r="I47" s="88">
        <f>D47-H47</f>
        <v>9.2837349397590287</v>
      </c>
      <c r="J47" s="89">
        <f>I47/D47</f>
        <v>5.956839871516862E-2</v>
      </c>
      <c r="K47" s="90">
        <f>IF(A47="M",VLOOKUP(B47,'ARRS Marathon SARs (formatted)'!$B$11:$S$97,5),IF(A47="F",VLOOKUP(B47,'ARRS Marathon SARs (formatted)'!$B$98:$S$183,5)))</f>
        <v>30227</v>
      </c>
      <c r="L47" s="71" t="str">
        <f t="shared" si="2"/>
        <v>Set before</v>
      </c>
      <c r="M47" s="91">
        <f>INDEX('2015_Road Weights'!$A:$CX,MATCH(Table12[[#This Row],[Gender]],'2015_Road Weights'!$A:$A,0),MATCH(Table12[[#This Row],[Age]],'2015_Road Weights'!$1:$1,0))</f>
        <v>0.83389999999999997</v>
      </c>
      <c r="N47" s="87">
        <f>IF(A47="M", Male_2015_Open_Standard/M47,IF(A47="F",Female_2020_Open_Standard/M47))</f>
        <v>0.10238870901120573</v>
      </c>
      <c r="O47" s="88">
        <f>Table12[[#This Row],[2015_AS]]*1440</f>
        <v>147.43974097613625</v>
      </c>
    </row>
    <row r="48" spans="1:15" x14ac:dyDescent="0.55000000000000004">
      <c r="A48" s="71" t="s">
        <v>98</v>
      </c>
      <c r="B48" s="71">
        <v>59</v>
      </c>
      <c r="C48" s="87">
        <f>IF(A48="M",VLOOKUP(B48,'ARRS Marathon SARs (formatted)'!$B$11:$S$97,2),IF(A48="F",VLOOKUP(B48,'ARRS Marathon SARs (formatted)'!$B$98:$S$183,2)))</f>
        <v>0.10438657407407408</v>
      </c>
      <c r="D48" s="88">
        <f t="shared" si="0"/>
        <v>150.31666666666666</v>
      </c>
      <c r="E48" s="87" t="str">
        <f>IF(Table12[[#This Row],[SAR]]=$D$3,"Yes",IF(Table12[[#This Row],[SAR]]=$D$4, "Yes", "No"))</f>
        <v>No</v>
      </c>
      <c r="F48" s="71">
        <f>IF(A48="M",VLOOKUP(B48,[3]AgeStdFactors!$A$2:$V$100,16),IF(A48="F",VLOOKUP(B48,[4]AgeStdFactors!$A$2:$V$101,16)))</f>
        <v>0.82220000000000004</v>
      </c>
      <c r="G48" s="87">
        <f>IF(A48="M", Male_2020_Open_Standard/F48,IF(A48="F",Female_2020_Open_Standard/F48))</f>
        <v>0.10274770939755128</v>
      </c>
      <c r="H48" s="88">
        <f t="shared" si="1"/>
        <v>147.95670153247383</v>
      </c>
      <c r="I48" s="88">
        <f>D48-H48</f>
        <v>2.3599651341928336</v>
      </c>
      <c r="J48" s="89">
        <f>I48/D48</f>
        <v>1.5699956541919285E-2</v>
      </c>
      <c r="K48" s="90">
        <f>IF(A48="M",VLOOKUP(B48,'ARRS Marathon SARs (formatted)'!$B$11:$S$97,5),IF(A48="F",VLOOKUP(B48,'ARRS Marathon SARs (formatted)'!$B$98:$S$183,5)))</f>
        <v>43562</v>
      </c>
      <c r="L48" s="71" t="str">
        <f t="shared" si="2"/>
        <v>Set after</v>
      </c>
      <c r="M48" s="91">
        <f>INDEX('2015_Road Weights'!$A:$CX,MATCH(Table12[[#This Row],[Gender]],'2015_Road Weights'!$A:$A,0),MATCH(Table12[[#This Row],[Age]],'2015_Road Weights'!$1:$1,0))</f>
        <v>0.82609999999999995</v>
      </c>
      <c r="N48" s="87">
        <f>IF(A48="M", Male_2015_Open_Standard/M48,IF(A48="F",Female_2020_Open_Standard/M48))</f>
        <v>0.10335545871497938</v>
      </c>
      <c r="O48" s="88">
        <f>Table12[[#This Row],[2015_AS]]*1440</f>
        <v>148.83186054957031</v>
      </c>
    </row>
    <row r="49" spans="1:15" x14ac:dyDescent="0.55000000000000004">
      <c r="A49" s="71" t="s">
        <v>98</v>
      </c>
      <c r="B49" s="71">
        <v>60</v>
      </c>
      <c r="C49" s="87">
        <f>IF(A49="M",VLOOKUP(B49,'ARRS Marathon SARs (formatted)'!$B$11:$S$97,2),IF(A49="F",VLOOKUP(B49,'ARRS Marathon SARs (formatted)'!$B$98:$S$183,2)))</f>
        <v>0.10868055555555556</v>
      </c>
      <c r="D49" s="88">
        <f t="shared" si="0"/>
        <v>156.5</v>
      </c>
      <c r="E49" s="87" t="str">
        <f>IF(Table12[[#This Row],[SAR]]=$D$3,"Yes",IF(Table12[[#This Row],[SAR]]=$D$4, "Yes", "No"))</f>
        <v>No</v>
      </c>
      <c r="F49" s="71">
        <f>IF(A49="M",VLOOKUP(B49,[3]AgeStdFactors!$A$2:$V$100,16),IF(A49="F",VLOOKUP(B49,[4]AgeStdFactors!$A$2:$V$101,16)))</f>
        <v>0.81440000000000001</v>
      </c>
      <c r="G49" s="87">
        <f>IF(A49="M", Male_2020_Open_Standard/F49,IF(A49="F",Female_2020_Open_Standard/F49))</f>
        <v>0.10373178618205631</v>
      </c>
      <c r="H49" s="88">
        <f t="shared" si="1"/>
        <v>149.37377210216107</v>
      </c>
      <c r="I49" s="88">
        <f>D49-H49</f>
        <v>7.1262278978389304</v>
      </c>
      <c r="J49" s="89">
        <f>I49/D49</f>
        <v>4.5535002542101792E-2</v>
      </c>
      <c r="K49" s="90">
        <f>IF(A49="M",VLOOKUP(B49,'ARRS Marathon SARs (formatted)'!$B$11:$S$97,5),IF(A49="F",VLOOKUP(B49,'ARRS Marathon SARs (formatted)'!$B$98:$S$183,5)))</f>
        <v>39845</v>
      </c>
      <c r="L49" s="71" t="str">
        <f t="shared" si="2"/>
        <v>Set before</v>
      </c>
      <c r="M49" s="91">
        <f>INDEX('2015_Road Weights'!$A:$CX,MATCH(Table12[[#This Row],[Gender]],'2015_Road Weights'!$A:$A,0),MATCH(Table12[[#This Row],[Age]],'2015_Road Weights'!$1:$1,0))</f>
        <v>0.81830000000000003</v>
      </c>
      <c r="N49" s="87">
        <f>IF(A49="M", Male_2015_Open_Standard/M49,IF(A49="F",Female_2020_Open_Standard/M49))</f>
        <v>0.10434063845098919</v>
      </c>
      <c r="O49" s="88">
        <f>Table12[[#This Row],[2015_AS]]*1440</f>
        <v>150.25051936942444</v>
      </c>
    </row>
    <row r="50" spans="1:15" x14ac:dyDescent="0.55000000000000004">
      <c r="A50" s="71" t="s">
        <v>98</v>
      </c>
      <c r="B50" s="71">
        <v>61</v>
      </c>
      <c r="C50" s="87">
        <f>IF(A50="M",VLOOKUP(B50,'ARRS Marathon SARs (formatted)'!$B$11:$S$97,2),IF(A50="F",VLOOKUP(B50,'ARRS Marathon SARs (formatted)'!$B$98:$S$183,2)))</f>
        <v>0.10986111111111112</v>
      </c>
      <c r="D50" s="88">
        <f t="shared" si="0"/>
        <v>158.20000000000002</v>
      </c>
      <c r="E50" s="87" t="str">
        <f>IF(Table12[[#This Row],[SAR]]=$D$3,"Yes",IF(Table12[[#This Row],[SAR]]=$D$4, "Yes", "No"))</f>
        <v>No</v>
      </c>
      <c r="F50" s="71">
        <f>IF(A50="M",VLOOKUP(B50,[3]AgeStdFactors!$A$2:$V$100,16),IF(A50="F",VLOOKUP(B50,[4]AgeStdFactors!$A$2:$V$101,16)))</f>
        <v>0.80669999999999997</v>
      </c>
      <c r="G50" s="87">
        <f>IF(A50="M", Male_2020_Open_Standard/F50,IF(A50="F",Female_2020_Open_Standard/F50))</f>
        <v>0.10472191231767282</v>
      </c>
      <c r="H50" s="88">
        <f t="shared" si="1"/>
        <v>150.79955373744886</v>
      </c>
      <c r="I50" s="88">
        <f>D50-H50</f>
        <v>7.4004462625511565</v>
      </c>
      <c r="J50" s="89">
        <f>I50/D50</f>
        <v>4.6779053492738025E-2</v>
      </c>
      <c r="K50" s="90">
        <f>IF(A50="M",VLOOKUP(B50,'ARRS Marathon SARs (formatted)'!$B$11:$S$97,5),IF(A50="F",VLOOKUP(B50,'ARRS Marathon SARs (formatted)'!$B$98:$S$183,5)))</f>
        <v>40216</v>
      </c>
      <c r="L50" s="71" t="str">
        <f t="shared" si="2"/>
        <v>Set before</v>
      </c>
      <c r="M50" s="91">
        <f>INDEX('2015_Road Weights'!$A:$CX,MATCH(Table12[[#This Row],[Gender]],'2015_Road Weights'!$A:$A,0),MATCH(Table12[[#This Row],[Age]],'2015_Road Weights'!$1:$1,0))</f>
        <v>0.81059999999999999</v>
      </c>
      <c r="N50" s="87">
        <f>IF(A50="M", Male_2015_Open_Standard/M50,IF(A50="F",Female_2020_Open_Standard/M50))</f>
        <v>0.10533178441209531</v>
      </c>
      <c r="O50" s="88">
        <f>Table12[[#This Row],[2015_AS]]*1440</f>
        <v>151.67776955341725</v>
      </c>
    </row>
    <row r="51" spans="1:15" x14ac:dyDescent="0.55000000000000004">
      <c r="A51" s="71" t="s">
        <v>98</v>
      </c>
      <c r="B51" s="71">
        <v>62</v>
      </c>
      <c r="C51" s="87">
        <f>IF(A51="M",VLOOKUP(B51,'ARRS Marathon SARs (formatted)'!$B$11:$S$97,2),IF(A51="F",VLOOKUP(B51,'ARRS Marathon SARs (formatted)'!$B$98:$S$183,2)))</f>
        <v>0.11188657407407408</v>
      </c>
      <c r="D51" s="88">
        <f t="shared" si="0"/>
        <v>161.11666666666667</v>
      </c>
      <c r="E51" s="87" t="str">
        <f>IF(Table12[[#This Row],[SAR]]=$D$3,"Yes",IF(Table12[[#This Row],[SAR]]=$D$4, "Yes", "No"))</f>
        <v>No</v>
      </c>
      <c r="F51" s="71">
        <f>IF(A51="M",VLOOKUP(B51,[3]AgeStdFactors!$A$2:$V$100,16),IF(A51="F",VLOOKUP(B51,[4]AgeStdFactors!$A$2:$V$101,16)))</f>
        <v>0.79890000000000005</v>
      </c>
      <c r="G51" s="87">
        <f>IF(A51="M", Male_2020_Open_Standard/F51,IF(A51="F",Female_2020_Open_Standard/F51))</f>
        <v>0.10574435682396627</v>
      </c>
      <c r="H51" s="88">
        <f t="shared" si="1"/>
        <v>152.27187382651144</v>
      </c>
      <c r="I51" s="88">
        <f>D51-H51</f>
        <v>8.844792840155236</v>
      </c>
      <c r="J51" s="89">
        <f>I51/D51</f>
        <v>5.4896821186439862E-2</v>
      </c>
      <c r="K51" s="90">
        <f>IF(A51="M",VLOOKUP(B51,'ARRS Marathon SARs (formatted)'!$B$11:$S$97,5),IF(A51="F",VLOOKUP(B51,'ARRS Marathon SARs (formatted)'!$B$98:$S$183,5)))</f>
        <v>29911</v>
      </c>
      <c r="L51" s="71" t="str">
        <f t="shared" si="2"/>
        <v>Set before</v>
      </c>
      <c r="M51" s="91">
        <f>INDEX('2015_Road Weights'!$A:$CX,MATCH(Table12[[#This Row],[Gender]],'2015_Road Weights'!$A:$A,0),MATCH(Table12[[#This Row],[Age]],'2015_Road Weights'!$1:$1,0))</f>
        <v>0.80279999999999996</v>
      </c>
      <c r="N51" s="87">
        <f>IF(A51="M", Male_2015_Open_Standard/M51,IF(A51="F",Female_2020_Open_Standard/M51))</f>
        <v>0.10635518739965677</v>
      </c>
      <c r="O51" s="88">
        <f>Table12[[#This Row],[2015_AS]]*1440</f>
        <v>153.15146985550575</v>
      </c>
    </row>
    <row r="52" spans="1:15" x14ac:dyDescent="0.55000000000000004">
      <c r="A52" s="71" t="s">
        <v>98</v>
      </c>
      <c r="B52" s="71">
        <v>63</v>
      </c>
      <c r="C52" s="87">
        <f>IF(A52="M",VLOOKUP(B52,'ARRS Marathon SARs (formatted)'!$B$11:$S$97,2),IF(A52="F",VLOOKUP(B52,'ARRS Marathon SARs (formatted)'!$B$98:$S$183,2)))</f>
        <v>0.11484953703703704</v>
      </c>
      <c r="D52" s="88">
        <f t="shared" si="0"/>
        <v>165.38333333333333</v>
      </c>
      <c r="E52" s="87" t="str">
        <f>IF(Table12[[#This Row],[SAR]]=$D$3,"Yes",IF(Table12[[#This Row],[SAR]]=$D$4, "Yes", "No"))</f>
        <v>No</v>
      </c>
      <c r="F52" s="71">
        <f>IF(A52="M",VLOOKUP(B52,[3]AgeStdFactors!$A$2:$V$100,16),IF(A52="F",VLOOKUP(B52,[4]AgeStdFactors!$A$2:$V$101,16)))</f>
        <v>0.79110000000000003</v>
      </c>
      <c r="G52" s="87">
        <f>IF(A52="M", Male_2020_Open_Standard/F52,IF(A52="F",Female_2020_Open_Standard/F52))</f>
        <v>0.10678696330004633</v>
      </c>
      <c r="H52" s="88">
        <f t="shared" si="1"/>
        <v>153.77322715206671</v>
      </c>
      <c r="I52" s="88">
        <f>D52-H52</f>
        <v>11.610106181266616</v>
      </c>
      <c r="J52" s="89">
        <f>I52/D52</f>
        <v>7.0201186221505285E-2</v>
      </c>
      <c r="K52" s="90">
        <f>IF(A52="M",VLOOKUP(B52,'ARRS Marathon SARs (formatted)'!$B$11:$S$97,5),IF(A52="F",VLOOKUP(B52,'ARRS Marathon SARs (formatted)'!$B$98:$S$183,5)))</f>
        <v>42554</v>
      </c>
      <c r="L52" s="71" t="str">
        <f t="shared" si="2"/>
        <v>Set after</v>
      </c>
      <c r="M52" s="91">
        <f>INDEX('2015_Road Weights'!$A:$CX,MATCH(Table12[[#This Row],[Gender]],'2015_Road Weights'!$A:$A,0),MATCH(Table12[[#This Row],[Age]],'2015_Road Weights'!$1:$1,0))</f>
        <v>0.79500000000000004</v>
      </c>
      <c r="N52" s="87">
        <f>IF(A52="M", Male_2015_Open_Standard/M52,IF(A52="F",Female_2020_Open_Standard/M52))</f>
        <v>0.10739867225716283</v>
      </c>
      <c r="O52" s="88">
        <f>Table12[[#This Row],[2015_AS]]*1440</f>
        <v>154.65408805031447</v>
      </c>
    </row>
    <row r="53" spans="1:15" x14ac:dyDescent="0.55000000000000004">
      <c r="A53" s="71" t="s">
        <v>98</v>
      </c>
      <c r="B53" s="71">
        <v>64</v>
      </c>
      <c r="C53" s="87">
        <f>IF(A53="M",VLOOKUP(B53,'ARRS Marathon SARs (formatted)'!$B$11:$S$97,2),IF(A53="F",VLOOKUP(B53,'ARRS Marathon SARs (formatted)'!$B$98:$S$183,2)))</f>
        <v>0.11300925925925925</v>
      </c>
      <c r="D53" s="88">
        <f t="shared" si="0"/>
        <v>162.73333333333332</v>
      </c>
      <c r="E53" s="87" t="str">
        <f>IF(Table12[[#This Row],[SAR]]=$D$3,"Yes",IF(Table12[[#This Row],[SAR]]=$D$4, "Yes", "No"))</f>
        <v>No</v>
      </c>
      <c r="F53" s="71">
        <f>IF(A53="M",VLOOKUP(B53,[3]AgeStdFactors!$A$2:$V$100,16),IF(A53="F",VLOOKUP(B53,[4]AgeStdFactors!$A$2:$V$101,16)))</f>
        <v>0.7833</v>
      </c>
      <c r="G53" s="87">
        <f>IF(A53="M", Male_2020_Open_Standard/F53,IF(A53="F",Female_2020_Open_Standard/F53))</f>
        <v>0.10785033405676836</v>
      </c>
      <c r="H53" s="88">
        <f t="shared" si="1"/>
        <v>155.30448104174644</v>
      </c>
      <c r="I53" s="88">
        <f>D53-H53</f>
        <v>7.4288522915868782</v>
      </c>
      <c r="J53" s="89">
        <f>I53/D53</f>
        <v>4.5650464716838667E-2</v>
      </c>
      <c r="K53" s="90">
        <f>IF(A53="M",VLOOKUP(B53,'ARRS Marathon SARs (formatted)'!$B$11:$S$97,5),IF(A53="F",VLOOKUP(B53,'ARRS Marathon SARs (formatted)'!$B$98:$S$183,5)))</f>
        <v>29156</v>
      </c>
      <c r="L53" s="71" t="str">
        <f t="shared" si="2"/>
        <v>Set before</v>
      </c>
      <c r="M53" s="91">
        <f>INDEX('2015_Road Weights'!$A:$CX,MATCH(Table12[[#This Row],[Gender]],'2015_Road Weights'!$A:$A,0),MATCH(Table12[[#This Row],[Age]],'2015_Road Weights'!$1:$1,0))</f>
        <v>0.78720000000000001</v>
      </c>
      <c r="N53" s="87">
        <f>IF(A53="M", Male_2015_Open_Standard/M53,IF(A53="F",Female_2020_Open_Standard/M53))</f>
        <v>0.10846283593044265</v>
      </c>
      <c r="O53" s="88">
        <f>Table12[[#This Row],[2015_AS]]*1440</f>
        <v>156.1864837398374</v>
      </c>
    </row>
    <row r="54" spans="1:15" x14ac:dyDescent="0.55000000000000004">
      <c r="A54" s="71" t="s">
        <v>98</v>
      </c>
      <c r="B54" s="71">
        <v>65</v>
      </c>
      <c r="C54" s="87">
        <f>IF(A54="M",VLOOKUP(B54,'ARRS Marathon SARs (formatted)'!$B$11:$S$97,2),IF(A54="F",VLOOKUP(B54,'ARRS Marathon SARs (formatted)'!$B$98:$S$183,2)))</f>
        <v>0.11246527777777778</v>
      </c>
      <c r="D54" s="88">
        <f t="shared" si="0"/>
        <v>161.94999999999999</v>
      </c>
      <c r="E54" s="87" t="str">
        <f>IF(Table12[[#This Row],[SAR]]=$D$3,"Yes",IF(Table12[[#This Row],[SAR]]=$D$4, "Yes", "No"))</f>
        <v>No</v>
      </c>
      <c r="F54" s="71">
        <f>IF(A54="M",VLOOKUP(B54,[3]AgeStdFactors!$A$2:$V$100,16),IF(A54="F",VLOOKUP(B54,[4]AgeStdFactors!$A$2:$V$101,16)))</f>
        <v>0.77549999999999997</v>
      </c>
      <c r="G54" s="87">
        <f>IF(A54="M", Male_2020_Open_Standard/F54,IF(A54="F",Female_2020_Open_Standard/F54))</f>
        <v>0.1089350956372233</v>
      </c>
      <c r="H54" s="88">
        <f t="shared" si="1"/>
        <v>156.86653771760155</v>
      </c>
      <c r="I54" s="88">
        <f>D54-H54</f>
        <v>5.0834622823984432</v>
      </c>
      <c r="J54" s="89">
        <f>I54/D54</f>
        <v>3.1389084794062633E-2</v>
      </c>
      <c r="K54" s="90">
        <f>IF(A54="M",VLOOKUP(B54,'ARRS Marathon SARs (formatted)'!$B$11:$S$97,5),IF(A54="F",VLOOKUP(B54,'ARRS Marathon SARs (formatted)'!$B$98:$S$183,5)))</f>
        <v>33706</v>
      </c>
      <c r="L54" s="71" t="str">
        <f t="shared" si="2"/>
        <v>Set before</v>
      </c>
      <c r="M54" s="91">
        <f>INDEX('2015_Road Weights'!$A:$CX,MATCH(Table12[[#This Row],[Gender]],'2015_Road Weights'!$A:$A,0),MATCH(Table12[[#This Row],[Age]],'2015_Road Weights'!$1:$1,0))</f>
        <v>0.77939999999999998</v>
      </c>
      <c r="N54" s="87">
        <f>IF(A54="M", Male_2015_Open_Standard/M54,IF(A54="F",Female_2020_Open_Standard/M54))</f>
        <v>0.10954829926154024</v>
      </c>
      <c r="O54" s="88">
        <f>Table12[[#This Row],[2015_AS]]*1440</f>
        <v>157.74955093661794</v>
      </c>
    </row>
    <row r="55" spans="1:15" x14ac:dyDescent="0.55000000000000004">
      <c r="A55" s="71" t="s">
        <v>98</v>
      </c>
      <c r="B55" s="71">
        <v>66</v>
      </c>
      <c r="C55" s="87">
        <f>IF(A55="M",VLOOKUP(B55,'ARRS Marathon SARs (formatted)'!$B$11:$S$97,2),IF(A55="F",VLOOKUP(B55,'ARRS Marathon SARs (formatted)'!$B$98:$S$183,2)))</f>
        <v>0.11306712962962963</v>
      </c>
      <c r="D55" s="88">
        <f t="shared" si="0"/>
        <v>162.81666666666666</v>
      </c>
      <c r="E55" s="87" t="str">
        <f>IF(Table12[[#This Row],[SAR]]=$D$3,"Yes",IF(Table12[[#This Row],[SAR]]=$D$4, "Yes", "No"))</f>
        <v>No</v>
      </c>
      <c r="F55" s="71">
        <f>IF(A55="M",VLOOKUP(B55,[3]AgeStdFactors!$A$2:$V$100,16),IF(A55="F",VLOOKUP(B55,[4]AgeStdFactors!$A$2:$V$101,16)))</f>
        <v>0.76780000000000004</v>
      </c>
      <c r="G55" s="87">
        <f>IF(A55="M", Male_2020_Open_Standard/F55,IF(A55="F",Female_2020_Open_Standard/F55))</f>
        <v>0.11002756794304071</v>
      </c>
      <c r="H55" s="88">
        <f t="shared" si="1"/>
        <v>158.43969783797863</v>
      </c>
      <c r="I55" s="88">
        <f>D55-H55</f>
        <v>4.3769688286880353</v>
      </c>
      <c r="J55" s="89">
        <f>I55/D55</f>
        <v>2.6882805785779725E-2</v>
      </c>
      <c r="K55" s="90">
        <f>IF(A55="M",VLOOKUP(B55,'ARRS Marathon SARs (formatted)'!$B$11:$S$97,5),IF(A55="F",VLOOKUP(B55,'ARRS Marathon SARs (formatted)'!$B$98:$S$183,5)))</f>
        <v>29842</v>
      </c>
      <c r="L55" s="71" t="str">
        <f t="shared" si="2"/>
        <v>Set before</v>
      </c>
      <c r="M55" s="91">
        <f>INDEX('2015_Road Weights'!$A:$CX,MATCH(Table12[[#This Row],[Gender]],'2015_Road Weights'!$A:$A,0),MATCH(Table12[[#This Row],[Age]],'2015_Road Weights'!$1:$1,0))</f>
        <v>0.77170000000000005</v>
      </c>
      <c r="N55" s="87">
        <f>IF(A55="M", Male_2015_Open_Standard/M55,IF(A55="F",Female_2020_Open_Standard/M55))</f>
        <v>0.11064136898334126</v>
      </c>
      <c r="O55" s="88">
        <f>Table12[[#This Row],[2015_AS]]*1440</f>
        <v>159.32357133601141</v>
      </c>
    </row>
    <row r="56" spans="1:15" x14ac:dyDescent="0.55000000000000004">
      <c r="A56" s="71" t="s">
        <v>98</v>
      </c>
      <c r="B56" s="71">
        <v>67</v>
      </c>
      <c r="C56" s="87">
        <f>IF(A56="M",VLOOKUP(B56,'ARRS Marathon SARs (formatted)'!$B$11:$S$97,2),IF(A56="F",VLOOKUP(B56,'ARRS Marathon SARs (formatted)'!$B$98:$S$183,2)))</f>
        <v>0.11883101851851852</v>
      </c>
      <c r="D56" s="88">
        <f t="shared" si="0"/>
        <v>171.11666666666667</v>
      </c>
      <c r="E56" s="87" t="str">
        <f>IF(Table12[[#This Row],[SAR]]=$D$3,"Yes",IF(Table12[[#This Row],[SAR]]=$D$4, "Yes", "No"))</f>
        <v>No</v>
      </c>
      <c r="F56" s="71">
        <f>IF(A56="M",VLOOKUP(B56,[3]AgeStdFactors!$A$2:$V$100,16),IF(A56="F",VLOOKUP(B56,[4]AgeStdFactors!$A$2:$V$101,16)))</f>
        <v>0.76</v>
      </c>
      <c r="G56" s="87">
        <f>IF(A56="M", Male_2020_Open_Standard/F56,IF(A56="F",Female_2020_Open_Standard/F56))</f>
        <v>0.11115679824561403</v>
      </c>
      <c r="H56" s="88">
        <f t="shared" si="1"/>
        <v>160.06578947368419</v>
      </c>
      <c r="I56" s="88">
        <f>D56-H56</f>
        <v>11.050877192982483</v>
      </c>
      <c r="J56" s="89">
        <f>I56/D56</f>
        <v>6.4580951746269502E-2</v>
      </c>
      <c r="K56" s="90">
        <f>IF(A56="M",VLOOKUP(B56,'ARRS Marathon SARs (formatted)'!$B$11:$S$97,5),IF(A56="F",VLOOKUP(B56,'ARRS Marathon SARs (formatted)'!$B$98:$S$183,5)))</f>
        <v>32971</v>
      </c>
      <c r="L56" s="71" t="str">
        <f t="shared" si="2"/>
        <v>Set before</v>
      </c>
      <c r="M56" s="91">
        <f>INDEX('2015_Road Weights'!$A:$CX,MATCH(Table12[[#This Row],[Gender]],'2015_Road Weights'!$A:$A,0),MATCH(Table12[[#This Row],[Age]],'2015_Road Weights'!$1:$1,0))</f>
        <v>0.76390000000000002</v>
      </c>
      <c r="N56" s="87">
        <f>IF(A56="M", Male_2015_Open_Standard/M56,IF(A56="F",Female_2020_Open_Standard/M56))</f>
        <v>0.11177110151125076</v>
      </c>
      <c r="O56" s="88">
        <f>Table12[[#This Row],[2015_AS]]*1440</f>
        <v>160.95038617620111</v>
      </c>
    </row>
    <row r="57" spans="1:15" x14ac:dyDescent="0.55000000000000004">
      <c r="A57" s="71" t="s">
        <v>98</v>
      </c>
      <c r="B57" s="71">
        <v>68</v>
      </c>
      <c r="C57" s="87">
        <f>IF(A57="M",VLOOKUP(B57,'ARRS Marathon SARs (formatted)'!$B$11:$S$97,2),IF(A57="F",VLOOKUP(B57,'ARRS Marathon SARs (formatted)'!$B$98:$S$183,2)))</f>
        <v>0.11877314814814814</v>
      </c>
      <c r="D57" s="88">
        <f t="shared" si="0"/>
        <v>171.03333333333333</v>
      </c>
      <c r="E57" s="87" t="str">
        <f>IF(Table12[[#This Row],[SAR]]=$D$3,"Yes",IF(Table12[[#This Row],[SAR]]=$D$4, "Yes", "No"))</f>
        <v>No</v>
      </c>
      <c r="F57" s="71">
        <f>IF(A57="M",VLOOKUP(B57,[3]AgeStdFactors!$A$2:$V$100,16),IF(A57="F",VLOOKUP(B57,[4]AgeStdFactors!$A$2:$V$101,16)))</f>
        <v>0.75219999999999998</v>
      </c>
      <c r="G57" s="87">
        <f>IF(A57="M", Male_2020_Open_Standard/F57,IF(A57="F",Female_2020_Open_Standard/F57))</f>
        <v>0.11230944784188601</v>
      </c>
      <c r="H57" s="88">
        <f t="shared" si="1"/>
        <v>161.72560489231586</v>
      </c>
      <c r="I57" s="88">
        <f>D57-H57</f>
        <v>9.3077284410174741</v>
      </c>
      <c r="J57" s="89">
        <f>I57/D57</f>
        <v>5.4420552179014661E-2</v>
      </c>
      <c r="K57" s="90">
        <f>IF(A57="M",VLOOKUP(B57,'ARRS Marathon SARs (formatted)'!$B$11:$S$97,5),IF(A57="F",VLOOKUP(B57,'ARRS Marathon SARs (formatted)'!$B$98:$S$183,5)))</f>
        <v>36478</v>
      </c>
      <c r="L57" s="71" t="str">
        <f t="shared" si="2"/>
        <v>Set before</v>
      </c>
      <c r="M57" s="91">
        <f>INDEX('2015_Road Weights'!$A:$CX,MATCH(Table12[[#This Row],[Gender]],'2015_Road Weights'!$A:$A,0),MATCH(Table12[[#This Row],[Age]],'2015_Road Weights'!$1:$1,0))</f>
        <v>0.75609999999999999</v>
      </c>
      <c r="N57" s="87">
        <f>IF(A57="M", Male_2015_Open_Standard/M57,IF(A57="F",Female_2020_Open_Standard/M57))</f>
        <v>0.11292414289703009</v>
      </c>
      <c r="O57" s="88">
        <f>Table12[[#This Row],[2015_AS]]*1440</f>
        <v>162.61076577172332</v>
      </c>
    </row>
    <row r="58" spans="1:15" x14ac:dyDescent="0.55000000000000004">
      <c r="A58" s="71" t="s">
        <v>98</v>
      </c>
      <c r="B58" s="71">
        <v>69</v>
      </c>
      <c r="C58" s="87">
        <f>IF(A58="M",VLOOKUP(B58,'ARRS Marathon SARs (formatted)'!$B$11:$S$97,2),IF(A58="F",VLOOKUP(B58,'ARRS Marathon SARs (formatted)'!$B$98:$S$183,2)))</f>
        <v>0.12002314814814814</v>
      </c>
      <c r="D58" s="88">
        <f t="shared" si="0"/>
        <v>172.83333333333331</v>
      </c>
      <c r="E58" s="87" t="str">
        <f>IF(Table12[[#This Row],[SAR]]=$D$3,"Yes",IF(Table12[[#This Row],[SAR]]=$D$4, "Yes", "No"))</f>
        <v>No</v>
      </c>
      <c r="F58" s="71">
        <f>IF(A58="M",VLOOKUP(B58,[3]AgeStdFactors!$A$2:$V$100,16),IF(A58="F",VLOOKUP(B58,[4]AgeStdFactors!$A$2:$V$101,16)))</f>
        <v>0.74439999999999995</v>
      </c>
      <c r="G58" s="87">
        <f>IF(A58="M", Male_2020_Open_Standard/F58,IF(A58="F",Female_2020_Open_Standard/F58))</f>
        <v>0.11348625291062153</v>
      </c>
      <c r="H58" s="88">
        <f t="shared" si="1"/>
        <v>163.420204191295</v>
      </c>
      <c r="I58" s="88">
        <f>D58-H58</f>
        <v>9.413129142038315</v>
      </c>
      <c r="J58" s="89">
        <f>I58/D58</f>
        <v>5.4463620879681672E-2</v>
      </c>
      <c r="K58" s="90">
        <f>IF(A58="M",VLOOKUP(B58,'ARRS Marathon SARs (formatted)'!$B$11:$S$97,5),IF(A58="F",VLOOKUP(B58,'ARRS Marathon SARs (formatted)'!$B$98:$S$183,5)))</f>
        <v>36828</v>
      </c>
      <c r="L58" s="71" t="str">
        <f t="shared" si="2"/>
        <v>Set before</v>
      </c>
      <c r="M58" s="91">
        <f>INDEX('2015_Road Weights'!$A:$CX,MATCH(Table12[[#This Row],[Gender]],'2015_Road Weights'!$A:$A,0),MATCH(Table12[[#This Row],[Age]],'2015_Road Weights'!$1:$1,0))</f>
        <v>0.74829999999999997</v>
      </c>
      <c r="N58" s="87">
        <f>IF(A58="M", Male_2015_Open_Standard/M58,IF(A58="F",Female_2020_Open_Standard/M58))</f>
        <v>0.11410122202919211</v>
      </c>
      <c r="O58" s="88">
        <f>Table12[[#This Row],[2015_AS]]*1440</f>
        <v>164.30575972203664</v>
      </c>
    </row>
    <row r="59" spans="1:15" x14ac:dyDescent="0.55000000000000004">
      <c r="A59" s="71" t="s">
        <v>98</v>
      </c>
      <c r="B59" s="71">
        <v>70</v>
      </c>
      <c r="C59" s="87">
        <f>IF(A59="M",VLOOKUP(B59,'ARRS Marathon SARs (formatted)'!$B$11:$S$97,2),IF(A59="F",VLOOKUP(B59,'ARRS Marathon SARs (formatted)'!$B$98:$S$183,2)))</f>
        <v>0.12109953703703703</v>
      </c>
      <c r="D59" s="88">
        <f t="shared" si="0"/>
        <v>174.38333333333333</v>
      </c>
      <c r="E59" s="87" t="str">
        <f>IF(Table12[[#This Row],[SAR]]=$D$3,"Yes",IF(Table12[[#This Row],[SAR]]=$D$4, "Yes", "No"))</f>
        <v>No</v>
      </c>
      <c r="F59" s="71">
        <f>IF(A59="M",VLOOKUP(B59,[3]AgeStdFactors!$A$2:$V$100,16),IF(A59="F",VLOOKUP(B59,[4]AgeStdFactors!$A$2:$V$101,16)))</f>
        <v>0.73660000000000003</v>
      </c>
      <c r="G59" s="87">
        <f>IF(A59="M", Male_2020_Open_Standard/F59,IF(A59="F",Female_2020_Open_Standard/F59))</f>
        <v>0.11468798081274321</v>
      </c>
      <c r="H59" s="88">
        <f t="shared" si="1"/>
        <v>165.15069237035024</v>
      </c>
      <c r="I59" s="88">
        <f>D59-H59</f>
        <v>9.2326409629830835</v>
      </c>
      <c r="J59" s="89">
        <f>I59/D59</f>
        <v>5.2944514745195931E-2</v>
      </c>
      <c r="K59" s="90">
        <f>IF(A59="M",VLOOKUP(B59,'ARRS Marathon SARs (formatted)'!$B$11:$S$97,5),IF(A59="F",VLOOKUP(B59,'ARRS Marathon SARs (formatted)'!$B$98:$S$183,5)))</f>
        <v>43449</v>
      </c>
      <c r="L59" s="71" t="str">
        <f t="shared" si="2"/>
        <v>Set after</v>
      </c>
      <c r="M59" s="91">
        <f>INDEX('2015_Road Weights'!$A:$CX,MATCH(Table12[[#This Row],[Gender]],'2015_Road Weights'!$A:$A,0),MATCH(Table12[[#This Row],[Age]],'2015_Road Weights'!$1:$1,0))</f>
        <v>0.74050000000000005</v>
      </c>
      <c r="N59" s="87">
        <f>IF(A59="M", Male_2015_Open_Standard/M59,IF(A59="F",Female_2020_Open_Standard/M59))</f>
        <v>0.11530309850701478</v>
      </c>
      <c r="O59" s="88">
        <f>Table12[[#This Row],[2015_AS]]*1440</f>
        <v>166.03646185010129</v>
      </c>
    </row>
    <row r="60" spans="1:15" x14ac:dyDescent="0.55000000000000004">
      <c r="A60" s="71" t="s">
        <v>98</v>
      </c>
      <c r="B60" s="71">
        <v>71</v>
      </c>
      <c r="C60" s="87">
        <f>IF(A60="M",VLOOKUP(B60,'ARRS Marathon SARs (formatted)'!$B$11:$S$97,2),IF(A60="F",VLOOKUP(B60,'ARRS Marathon SARs (formatted)'!$B$98:$S$183,2)))</f>
        <v>0.12567129629629628</v>
      </c>
      <c r="D60" s="88">
        <f t="shared" si="0"/>
        <v>180.96666666666664</v>
      </c>
      <c r="E60" s="87" t="str">
        <f>IF(Table12[[#This Row],[SAR]]=$D$3,"Yes",IF(Table12[[#This Row],[SAR]]=$D$4, "Yes", "No"))</f>
        <v>No</v>
      </c>
      <c r="F60" s="71">
        <f>IF(A60="M",VLOOKUP(B60,[3]AgeStdFactors!$A$2:$V$100,16),IF(A60="F",VLOOKUP(B60,[4]AgeStdFactors!$A$2:$V$101,16)))</f>
        <v>0.72860000000000003</v>
      </c>
      <c r="G60" s="87">
        <f>IF(A60="M", Male_2020_Open_Standard/F60,IF(A60="F",Female_2020_Open_Standard/F60))</f>
        <v>0.11594725043462346</v>
      </c>
      <c r="H60" s="88">
        <f t="shared" si="1"/>
        <v>166.96404062585779</v>
      </c>
      <c r="I60" s="88">
        <f>D60-H60</f>
        <v>14.002626040808849</v>
      </c>
      <c r="J60" s="89">
        <f>I60/D60</f>
        <v>7.7376824686731543E-2</v>
      </c>
      <c r="K60" s="90">
        <f>IF(A60="M",VLOOKUP(B60,'ARRS Marathon SARs (formatted)'!$B$11:$S$97,5),IF(A60="F",VLOOKUP(B60,'ARRS Marathon SARs (formatted)'!$B$98:$S$183,5)))</f>
        <v>35344</v>
      </c>
      <c r="L60" s="71" t="str">
        <f t="shared" si="2"/>
        <v>Set before</v>
      </c>
      <c r="M60" s="91">
        <f>INDEX('2015_Road Weights'!$A:$CX,MATCH(Table12[[#This Row],[Gender]],'2015_Road Weights'!$A:$A,0),MATCH(Table12[[#This Row],[Age]],'2015_Road Weights'!$1:$1,0))</f>
        <v>0.73240000000000005</v>
      </c>
      <c r="N60" s="87">
        <f>IF(A60="M", Male_2015_Open_Standard/M60,IF(A60="F",Female_2020_Open_Standard/M60))</f>
        <v>0.11657829661994054</v>
      </c>
      <c r="O60" s="88">
        <f>Table12[[#This Row],[2015_AS]]*1440</f>
        <v>167.87274713271438</v>
      </c>
    </row>
    <row r="61" spans="1:15" x14ac:dyDescent="0.55000000000000004">
      <c r="A61" s="71" t="s">
        <v>98</v>
      </c>
      <c r="B61" s="71">
        <v>72</v>
      </c>
      <c r="C61" s="87">
        <f>IF(A61="M",VLOOKUP(B61,'ARRS Marathon SARs (formatted)'!$B$11:$S$97,2),IF(A61="F",VLOOKUP(B61,'ARRS Marathon SARs (formatted)'!$B$98:$S$183,2)))</f>
        <v>0.12441319444444444</v>
      </c>
      <c r="D61" s="88">
        <f t="shared" ref="D61:D103" si="3">C61*1440</f>
        <v>179.155</v>
      </c>
      <c r="E61" s="87" t="str">
        <f>IF(Table12[[#This Row],[SAR]]=$D$3,"Yes",IF(Table12[[#This Row],[SAR]]=$D$4, "Yes", "No"))</f>
        <v>No</v>
      </c>
      <c r="F61" s="71">
        <f>IF(A61="M",VLOOKUP(B61,[3]AgeStdFactors!$A$2:$V$100,16),IF(A61="F",VLOOKUP(B61,[4]AgeStdFactors!$A$2:$V$101,16)))</f>
        <v>0.7198</v>
      </c>
      <c r="G61" s="87">
        <f>IF(A61="M", Male_2020_Open_Standard/F61,IF(A61="F",Female_2020_Open_Standard/F61))</f>
        <v>0.11736477725294063</v>
      </c>
      <c r="H61" s="88">
        <f t="shared" si="1"/>
        <v>169.00527924423452</v>
      </c>
      <c r="I61" s="88">
        <f>D61-H61</f>
        <v>10.149720755765486</v>
      </c>
      <c r="J61" s="89">
        <f>I61/D61</f>
        <v>5.665329326988075E-2</v>
      </c>
      <c r="K61" s="90">
        <f>IF(A61="M",VLOOKUP(B61,'ARRS Marathon SARs (formatted)'!$B$11:$S$97,5),IF(A61="F",VLOOKUP(B61,'ARRS Marathon SARs (formatted)'!$B$98:$S$183,5)))</f>
        <v>37892</v>
      </c>
      <c r="L61" s="71" t="str">
        <f t="shared" si="2"/>
        <v>Set before</v>
      </c>
      <c r="M61" s="91">
        <f>INDEX('2015_Road Weights'!$A:$CX,MATCH(Table12[[#This Row],[Gender]],'2015_Road Weights'!$A:$A,0),MATCH(Table12[[#This Row],[Age]],'2015_Road Weights'!$1:$1,0))</f>
        <v>0.72360000000000002</v>
      </c>
      <c r="N61" s="87">
        <f>IF(A61="M", Male_2015_Open_Standard/M61,IF(A61="F",Female_2020_Open_Standard/M61))</f>
        <v>0.11799605368220627</v>
      </c>
      <c r="O61" s="88">
        <f>Table12[[#This Row],[2015_AS]]*1440</f>
        <v>169.91431730237701</v>
      </c>
    </row>
    <row r="62" spans="1:15" x14ac:dyDescent="0.55000000000000004">
      <c r="A62" s="71" t="s">
        <v>98</v>
      </c>
      <c r="B62" s="71">
        <v>73</v>
      </c>
      <c r="C62" s="87">
        <f>IF(A62="M",VLOOKUP(B62,'ARRS Marathon SARs (formatted)'!$B$11:$S$97,2),IF(A62="F",VLOOKUP(B62,'ARRS Marathon SARs (formatted)'!$B$98:$S$183,2)))</f>
        <v>0.12139236111111111</v>
      </c>
      <c r="D62" s="88">
        <f t="shared" si="3"/>
        <v>174.80500000000001</v>
      </c>
      <c r="E62" s="87" t="str">
        <f>IF(Table12[[#This Row],[SAR]]=$D$3,"Yes",IF(Table12[[#This Row],[SAR]]=$D$4, "Yes", "No"))</f>
        <v>No</v>
      </c>
      <c r="F62" s="71">
        <f>IF(A62="M",VLOOKUP(B62,[3]AgeStdFactors!$A$2:$V$100,16),IF(A62="F",VLOOKUP(B62,[4]AgeStdFactors!$A$2:$V$101,16)))</f>
        <v>0.71040000000000003</v>
      </c>
      <c r="G62" s="87">
        <f>IF(A62="M", Male_2020_Open_Standard/F62,IF(A62="F",Female_2020_Open_Standard/F62))</f>
        <v>0.11891774587087085</v>
      </c>
      <c r="H62" s="88">
        <f t="shared" si="1"/>
        <v>171.24155405405403</v>
      </c>
      <c r="I62" s="88">
        <f>D62-H62</f>
        <v>3.563445945945972</v>
      </c>
      <c r="J62" s="89">
        <f>I62/D62</f>
        <v>2.0385263270192338E-2</v>
      </c>
      <c r="K62" s="90">
        <f>IF(A62="M",VLOOKUP(B62,'ARRS Marathon SARs (formatted)'!$B$11:$S$97,5),IF(A62="F",VLOOKUP(B62,'ARRS Marathon SARs (formatted)'!$B$98:$S$183,5)))</f>
        <v>38256</v>
      </c>
      <c r="L62" s="71" t="str">
        <f t="shared" si="2"/>
        <v>Set before</v>
      </c>
      <c r="M62" s="91">
        <f>INDEX('2015_Road Weights'!$A:$CX,MATCH(Table12[[#This Row],[Gender]],'2015_Road Weights'!$A:$A,0),MATCH(Table12[[#This Row],[Age]],'2015_Road Weights'!$1:$1,0))</f>
        <v>0.71399999999999997</v>
      </c>
      <c r="N62" s="87">
        <f>IF(A62="M", Male_2015_Open_Standard/M62,IF(A62="F",Female_2020_Open_Standard/M62))</f>
        <v>0.11958255524431997</v>
      </c>
      <c r="O62" s="88">
        <f>Table12[[#This Row],[2015_AS]]*1440</f>
        <v>172.19887955182077</v>
      </c>
    </row>
    <row r="63" spans="1:15" x14ac:dyDescent="0.55000000000000004">
      <c r="A63" s="71" t="s">
        <v>98</v>
      </c>
      <c r="B63" s="71">
        <v>74</v>
      </c>
      <c r="C63" s="87">
        <f>IF(A63="M",VLOOKUP(B63,'ARRS Marathon SARs (formatted)'!$B$11:$S$97,2),IF(A63="F",VLOOKUP(B63,'ARRS Marathon SARs (formatted)'!$B$98:$S$183,2)))</f>
        <v>0.12407407407407407</v>
      </c>
      <c r="D63" s="88">
        <f t="shared" si="3"/>
        <v>178.66666666666666</v>
      </c>
      <c r="E63" s="87" t="str">
        <f>IF(Table12[[#This Row],[SAR]]=$D$3,"Yes",IF(Table12[[#This Row],[SAR]]=$D$4, "Yes", "No"))</f>
        <v>No</v>
      </c>
      <c r="F63" s="71">
        <f>IF(A63="M",VLOOKUP(B63,[3]AgeStdFactors!$A$2:$V$100,16),IF(A63="F",VLOOKUP(B63,[4]AgeStdFactors!$A$2:$V$101,16)))</f>
        <v>0.70020000000000004</v>
      </c>
      <c r="G63" s="87">
        <f>IF(A63="M", Male_2020_Open_Standard/F63,IF(A63="F",Female_2020_Open_Standard/F63))</f>
        <v>0.12065005236599065</v>
      </c>
      <c r="H63" s="88">
        <f t="shared" si="1"/>
        <v>173.73607540702653</v>
      </c>
      <c r="I63" s="88">
        <f>D63-H63</f>
        <v>4.9305912596401242</v>
      </c>
      <c r="J63" s="89">
        <f>I63/D63</f>
        <v>2.7596592871120099E-2</v>
      </c>
      <c r="K63" s="90">
        <f>IF(A63="M",VLOOKUP(B63,'ARRS Marathon SARs (formatted)'!$B$11:$S$97,5),IF(A63="F",VLOOKUP(B63,'ARRS Marathon SARs (formatted)'!$B$98:$S$183,5)))</f>
        <v>38452</v>
      </c>
      <c r="L63" s="71" t="str">
        <f t="shared" si="2"/>
        <v>Set before</v>
      </c>
      <c r="M63" s="91">
        <f>INDEX('2015_Road Weights'!$A:$CX,MATCH(Table12[[#This Row],[Gender]],'2015_Road Weights'!$A:$A,0),MATCH(Table12[[#This Row],[Age]],'2015_Road Weights'!$1:$1,0))</f>
        <v>0.70379999999999998</v>
      </c>
      <c r="N63" s="87">
        <f>IF(A63="M", Male_2015_Open_Standard/M63,IF(A63="F",Female_2020_Open_Standard/M63))</f>
        <v>0.12131563575510722</v>
      </c>
      <c r="O63" s="88">
        <f>Table12[[#This Row],[2015_AS]]*1440</f>
        <v>174.69451548735438</v>
      </c>
    </row>
    <row r="64" spans="1:15" x14ac:dyDescent="0.55000000000000004">
      <c r="A64" s="71" t="s">
        <v>98</v>
      </c>
      <c r="B64" s="71">
        <v>75</v>
      </c>
      <c r="C64" s="87">
        <f>IF(A64="M",VLOOKUP(B64,'ARRS Marathon SARs (formatted)'!$B$11:$S$97,2),IF(A64="F",VLOOKUP(B64,'ARRS Marathon SARs (formatted)'!$B$98:$S$183,2)))</f>
        <v>0.13096064814814815</v>
      </c>
      <c r="D64" s="88">
        <f t="shared" si="3"/>
        <v>188.58333333333334</v>
      </c>
      <c r="E64" s="87" t="str">
        <f>IF(Table12[[#This Row],[SAR]]=$D$3,"Yes",IF(Table12[[#This Row],[SAR]]=$D$4, "Yes", "No"))</f>
        <v>No</v>
      </c>
      <c r="F64" s="71">
        <f>IF(A64="M",VLOOKUP(B64,[3]AgeStdFactors!$A$2:$V$100,16),IF(A64="F",VLOOKUP(B64,[4]AgeStdFactors!$A$2:$V$101,16)))</f>
        <v>0.68930000000000002</v>
      </c>
      <c r="G64" s="87">
        <f>IF(A64="M", Male_2020_Open_Standard/F64,IF(A64="F",Female_2020_Open_Standard/F64))</f>
        <v>0.1225579089897964</v>
      </c>
      <c r="H64" s="88">
        <f t="shared" si="1"/>
        <v>176.48338894530681</v>
      </c>
      <c r="I64" s="88">
        <f>D64-H64</f>
        <v>12.099944388026529</v>
      </c>
      <c r="J64" s="89">
        <f>I64/D64</f>
        <v>6.4162321103101341E-2</v>
      </c>
      <c r="K64" s="90">
        <f>IF(A64="M",VLOOKUP(B64,'ARRS Marathon SARs (formatted)'!$B$11:$S$97,5),IF(A64="F",VLOOKUP(B64,'ARRS Marathon SARs (formatted)'!$B$98:$S$183,5)))</f>
        <v>38984</v>
      </c>
      <c r="L64" s="71" t="str">
        <f t="shared" si="2"/>
        <v>Set before</v>
      </c>
      <c r="M64" s="91">
        <f>INDEX('2015_Road Weights'!$A:$CX,MATCH(Table12[[#This Row],[Gender]],'2015_Road Weights'!$A:$A,0),MATCH(Table12[[#This Row],[Age]],'2015_Road Weights'!$1:$1,0))</f>
        <v>0.69289999999999996</v>
      </c>
      <c r="N64" s="87">
        <f>IF(A64="M", Male_2015_Open_Standard/M64,IF(A64="F",Female_2020_Open_Standard/M64))</f>
        <v>0.12322405028784018</v>
      </c>
      <c r="O64" s="88">
        <f>Table12[[#This Row],[2015_AS]]*1440</f>
        <v>177.44263241448988</v>
      </c>
    </row>
    <row r="65" spans="1:15" x14ac:dyDescent="0.55000000000000004">
      <c r="A65" s="71" t="s">
        <v>98</v>
      </c>
      <c r="B65" s="71">
        <v>76</v>
      </c>
      <c r="C65" s="87">
        <f>IF(A65="M",VLOOKUP(B65,'ARRS Marathon SARs (formatted)'!$B$11:$S$97,2),IF(A65="F",VLOOKUP(B65,'ARRS Marathon SARs (formatted)'!$B$98:$S$183,2)))</f>
        <v>0.12839120370370369</v>
      </c>
      <c r="D65" s="88">
        <f t="shared" si="3"/>
        <v>184.8833333333333</v>
      </c>
      <c r="E65" s="87" t="str">
        <f>IF(Table12[[#This Row],[SAR]]=$D$3,"Yes",IF(Table12[[#This Row],[SAR]]=$D$4, "Yes", "No"))</f>
        <v>No</v>
      </c>
      <c r="F65" s="71">
        <f>IF(A65="M",VLOOKUP(B65,[3]AgeStdFactors!$A$2:$V$100,16),IF(A65="F",VLOOKUP(B65,[4]AgeStdFactors!$A$2:$V$101,16)))</f>
        <v>0.67779999999999996</v>
      </c>
      <c r="G65" s="87">
        <f>IF(A65="M", Male_2020_Open_Standard/F65,IF(A65="F",Female_2020_Open_Standard/F65))</f>
        <v>0.12463730697354185</v>
      </c>
      <c r="H65" s="88">
        <f t="shared" si="1"/>
        <v>179.47772204190025</v>
      </c>
      <c r="I65" s="88">
        <f>D65-H65</f>
        <v>5.405611291433047</v>
      </c>
      <c r="J65" s="89">
        <f>I65/D65</f>
        <v>2.9237958846658512E-2</v>
      </c>
      <c r="K65" s="90">
        <f>IF(A65="M",VLOOKUP(B65,'ARRS Marathon SARs (formatted)'!$B$11:$S$97,5),IF(A65="F",VLOOKUP(B65,'ARRS Marathon SARs (formatted)'!$B$98:$S$183,5)))</f>
        <v>39187</v>
      </c>
      <c r="L65" s="71" t="str">
        <f t="shared" si="2"/>
        <v>Set before</v>
      </c>
      <c r="M65" s="91">
        <f>INDEX('2015_Road Weights'!$A:$CX,MATCH(Table12[[#This Row],[Gender]],'2015_Road Weights'!$A:$A,0),MATCH(Table12[[#This Row],[Age]],'2015_Road Weights'!$1:$1,0))</f>
        <v>0.68130000000000002</v>
      </c>
      <c r="N65" s="87">
        <f>IF(A65="M", Male_2015_Open_Standard/M65,IF(A65="F",Female_2020_Open_Standard/M65))</f>
        <v>0.12532209664530231</v>
      </c>
      <c r="O65" s="88">
        <f>Table12[[#This Row],[2015_AS]]*1440</f>
        <v>180.46381916923531</v>
      </c>
    </row>
    <row r="66" spans="1:15" x14ac:dyDescent="0.55000000000000004">
      <c r="A66" s="71" t="s">
        <v>98</v>
      </c>
      <c r="B66" s="71">
        <v>77</v>
      </c>
      <c r="C66" s="87">
        <f>IF(A66="M",VLOOKUP(B66,'ARRS Marathon SARs (formatted)'!$B$11:$S$97,2),IF(A66="F",VLOOKUP(B66,'ARRS Marathon SARs (formatted)'!$B$98:$S$183,2)))</f>
        <v>0.14822916666666666</v>
      </c>
      <c r="D66" s="88">
        <f t="shared" si="3"/>
        <v>213.45</v>
      </c>
      <c r="E66" s="87" t="str">
        <f>IF(Table12[[#This Row],[SAR]]=$D$3,"Yes",IF(Table12[[#This Row],[SAR]]=$D$4, "Yes", "No"))</f>
        <v>No</v>
      </c>
      <c r="F66" s="71">
        <f>IF(A66="M",VLOOKUP(B66,[3]AgeStdFactors!$A$2:$V$100,16),IF(A66="F",VLOOKUP(B66,[4]AgeStdFactors!$A$2:$V$101,16)))</f>
        <v>0.66549999999999998</v>
      </c>
      <c r="G66" s="87">
        <f>IF(A66="M", Male_2020_Open_Standard/F66,IF(A66="F",Female_2020_Open_Standard/F66))</f>
        <v>0.12694089656899574</v>
      </c>
      <c r="H66" s="88">
        <f t="shared" si="1"/>
        <v>182.79489105935386</v>
      </c>
      <c r="I66" s="88">
        <f>D66-H66</f>
        <v>30.65510894064613</v>
      </c>
      <c r="J66" s="89">
        <f>I66/D66</f>
        <v>0.14361728245793456</v>
      </c>
      <c r="K66" s="90">
        <f>IF(A66="M",VLOOKUP(B66,'ARRS Marathon SARs (formatted)'!$B$11:$S$97,5),IF(A66="F",VLOOKUP(B66,'ARRS Marathon SARs (formatted)'!$B$98:$S$183,5)))</f>
        <v>31018</v>
      </c>
      <c r="L66" s="71" t="str">
        <f t="shared" si="2"/>
        <v>Set before</v>
      </c>
      <c r="M66" s="91">
        <f>INDEX('2015_Road Weights'!$A:$CX,MATCH(Table12[[#This Row],[Gender]],'2015_Road Weights'!$A:$A,0),MATCH(Table12[[#This Row],[Age]],'2015_Road Weights'!$1:$1,0))</f>
        <v>0.66890000000000005</v>
      </c>
      <c r="N66" s="87">
        <f>IF(A66="M", Male_2015_Open_Standard/M66,IF(A66="F",Female_2020_Open_Standard/M66))</f>
        <v>0.12764530489526751</v>
      </c>
      <c r="O66" s="88">
        <f>Table12[[#This Row],[2015_AS]]*1440</f>
        <v>183.80923904918521</v>
      </c>
    </row>
    <row r="67" spans="1:15" x14ac:dyDescent="0.55000000000000004">
      <c r="A67" s="71" t="s">
        <v>98</v>
      </c>
      <c r="B67" s="71">
        <v>78</v>
      </c>
      <c r="C67" s="87">
        <f>IF(A67="M",VLOOKUP(B67,'ARRS Marathon SARs (formatted)'!$B$11:$S$97,2),IF(A67="F",VLOOKUP(B67,'ARRS Marathon SARs (formatted)'!$B$98:$S$183,2)))</f>
        <v>0.15068287037037037</v>
      </c>
      <c r="D67" s="88">
        <f t="shared" si="3"/>
        <v>216.98333333333332</v>
      </c>
      <c r="E67" s="87" t="str">
        <f>IF(Table12[[#This Row],[SAR]]=$D$3,"Yes",IF(Table12[[#This Row],[SAR]]=$D$4, "Yes", "No"))</f>
        <v>No</v>
      </c>
      <c r="F67" s="71">
        <f>IF(A67="M",VLOOKUP(B67,[3]AgeStdFactors!$A$2:$V$100,16),IF(A67="F",VLOOKUP(B67,[4]AgeStdFactors!$A$2:$V$101,16)))</f>
        <v>0.65259999999999996</v>
      </c>
      <c r="G67" s="87">
        <f>IF(A67="M", Male_2020_Open_Standard/F67,IF(A67="F",Female_2020_Open_Standard/F67))</f>
        <v>0.12945014812544692</v>
      </c>
      <c r="H67" s="88">
        <f t="shared" si="1"/>
        <v>186.40821330064355</v>
      </c>
      <c r="I67" s="88">
        <f>D67-H67</f>
        <v>30.575120032689767</v>
      </c>
      <c r="J67" s="89">
        <f>I67/D67</f>
        <v>0.14090999323768233</v>
      </c>
      <c r="K67" s="90">
        <f>IF(A67="M",VLOOKUP(B67,'ARRS Marathon SARs (formatted)'!$B$11:$S$97,5),IF(A67="F",VLOOKUP(B67,'ARRS Marathon SARs (formatted)'!$B$98:$S$183,5)))</f>
        <v>36072</v>
      </c>
      <c r="L67" s="71" t="str">
        <f t="shared" si="2"/>
        <v>Set before</v>
      </c>
      <c r="M67" s="91">
        <f>INDEX('2015_Road Weights'!$A:$CX,MATCH(Table12[[#This Row],[Gender]],'2015_Road Weights'!$A:$A,0),MATCH(Table12[[#This Row],[Age]],'2015_Road Weights'!$1:$1,0))</f>
        <v>0.65590000000000004</v>
      </c>
      <c r="N67" s="87">
        <f>IF(A67="M", Male_2015_Open_Standard/M67,IF(A67="F",Female_2020_Open_Standard/M67))</f>
        <v>0.13017524690416901</v>
      </c>
      <c r="O67" s="88">
        <f>Table12[[#This Row],[2015_AS]]*1440</f>
        <v>187.45235554200337</v>
      </c>
    </row>
    <row r="68" spans="1:15" x14ac:dyDescent="0.55000000000000004">
      <c r="A68" s="71" t="s">
        <v>98</v>
      </c>
      <c r="B68" s="71">
        <v>79</v>
      </c>
      <c r="C68" s="87">
        <f>IF(A68="M",VLOOKUP(B68,'ARRS Marathon SARs (formatted)'!$B$11:$S$97,2),IF(A68="F",VLOOKUP(B68,'ARRS Marathon SARs (formatted)'!$B$98:$S$183,2)))</f>
        <v>0.15765046296296295</v>
      </c>
      <c r="D68" s="88">
        <f t="shared" si="3"/>
        <v>227.01666666666665</v>
      </c>
      <c r="E68" s="87" t="str">
        <f>IF(Table12[[#This Row],[SAR]]=$D$3,"Yes",IF(Table12[[#This Row],[SAR]]=$D$4, "Yes", "No"))</f>
        <v>No</v>
      </c>
      <c r="F68" s="71">
        <f>IF(A68="M",VLOOKUP(B68,[3]AgeStdFactors!$A$2:$V$100,16),IF(A68="F",VLOOKUP(B68,[4]AgeStdFactors!$A$2:$V$101,16)))</f>
        <v>0.63890000000000002</v>
      </c>
      <c r="G68" s="87">
        <f>IF(A68="M", Male_2020_Open_Standard/F68,IF(A68="F",Female_2020_Open_Standard/F68))</f>
        <v>0.13222596128762976</v>
      </c>
      <c r="H68" s="88">
        <f t="shared" si="1"/>
        <v>190.40538425418686</v>
      </c>
      <c r="I68" s="88">
        <f>D68-H68</f>
        <v>36.611282412479795</v>
      </c>
      <c r="J68" s="89">
        <f>I68/D68</f>
        <v>0.16127134165984788</v>
      </c>
      <c r="K68" s="90">
        <f>IF(A68="M",VLOOKUP(B68,'ARRS Marathon SARs (formatted)'!$B$11:$S$97,5),IF(A68="F",VLOOKUP(B68,'ARRS Marathon SARs (formatted)'!$B$98:$S$183,5)))</f>
        <v>40811</v>
      </c>
      <c r="L68" s="71" t="str">
        <f t="shared" si="2"/>
        <v>Set before</v>
      </c>
      <c r="M68" s="91">
        <f>INDEX('2015_Road Weights'!$A:$CX,MATCH(Table12[[#This Row],[Gender]],'2015_Road Weights'!$A:$A,0),MATCH(Table12[[#This Row],[Age]],'2015_Road Weights'!$1:$1,0))</f>
        <v>0.64219999999999999</v>
      </c>
      <c r="N68" s="87">
        <f>IF(A68="M", Male_2015_Open_Standard/M68,IF(A68="F",Female_2020_Open_Standard/M68))</f>
        <v>0.1329522647842486</v>
      </c>
      <c r="O68" s="88">
        <f>Table12[[#This Row],[2015_AS]]*1440</f>
        <v>191.45126128931798</v>
      </c>
    </row>
    <row r="69" spans="1:15" x14ac:dyDescent="0.55000000000000004">
      <c r="A69" s="71" t="s">
        <v>98</v>
      </c>
      <c r="B69" s="71">
        <v>80</v>
      </c>
      <c r="C69" s="87">
        <f>IF(A69="M",VLOOKUP(B69,'ARRS Marathon SARs (formatted)'!$B$11:$S$97,2),IF(A69="F",VLOOKUP(B69,'ARRS Marathon SARs (formatted)'!$B$98:$S$183,2)))</f>
        <v>0.13604166666666667</v>
      </c>
      <c r="D69" s="88">
        <f t="shared" si="3"/>
        <v>195.9</v>
      </c>
      <c r="E69" s="87" t="str">
        <f>IF(Table12[[#This Row],[SAR]]=$D$3,"Yes",IF(Table12[[#This Row],[SAR]]=$D$4, "Yes", "No"))</f>
        <v>No</v>
      </c>
      <c r="F69" s="71">
        <f>IF(A69="M",VLOOKUP(B69,[3]AgeStdFactors!$A$2:$V$100,16),IF(A69="F",VLOOKUP(B69,[4]AgeStdFactors!$A$2:$V$101,16)))</f>
        <v>0.62450000000000006</v>
      </c>
      <c r="G69" s="87">
        <f>IF(A69="M", Male_2020_Open_Standard/F69,IF(A69="F",Female_2020_Open_Standard/F69))</f>
        <v>0.1352748865759274</v>
      </c>
      <c r="H69" s="88">
        <f t="shared" si="1"/>
        <v>194.79583666933544</v>
      </c>
      <c r="I69" s="88">
        <f>D69-H69</f>
        <v>1.1041633306645622</v>
      </c>
      <c r="J69" s="89">
        <f>I69/D69</f>
        <v>5.6363620758783164E-3</v>
      </c>
      <c r="K69" s="90">
        <f>IF(A69="M",VLOOKUP(B69,'ARRS Marathon SARs (formatted)'!$B$11:$S$97,5),IF(A69="F",VLOOKUP(B69,'ARRS Marathon SARs (formatted)'!$B$98:$S$183,5)))</f>
        <v>40832</v>
      </c>
      <c r="L69" s="71" t="str">
        <f t="shared" si="2"/>
        <v>Set before</v>
      </c>
      <c r="M69" s="91">
        <f>INDEX('2015_Road Weights'!$A:$CX,MATCH(Table12[[#This Row],[Gender]],'2015_Road Weights'!$A:$A,0),MATCH(Table12[[#This Row],[Age]],'2015_Road Weights'!$1:$1,0))</f>
        <v>0.62770000000000004</v>
      </c>
      <c r="N69" s="87">
        <f>IF(A69="M", Male_2015_Open_Standard/M69,IF(A69="F",Female_2020_Open_Standard/M69))</f>
        <v>0.13602348963588409</v>
      </c>
      <c r="O69" s="88">
        <f>Table12[[#This Row],[2015_AS]]*1440</f>
        <v>195.8738250756731</v>
      </c>
    </row>
    <row r="70" spans="1:15" x14ac:dyDescent="0.55000000000000004">
      <c r="A70" s="71" t="s">
        <v>98</v>
      </c>
      <c r="B70" s="71">
        <v>81</v>
      </c>
      <c r="C70" s="87">
        <f>IF(A70="M",VLOOKUP(B70,'ARRS Marathon SARs (formatted)'!$B$11:$S$97,2),IF(A70="F",VLOOKUP(B70,'ARRS Marathon SARs (formatted)'!$B$98:$S$183,2)))</f>
        <v>0.14616203703703703</v>
      </c>
      <c r="D70" s="88">
        <f t="shared" si="3"/>
        <v>210.47333333333333</v>
      </c>
      <c r="E70" s="87" t="str">
        <f>IF(Table12[[#This Row],[SAR]]=$D$3,"Yes",IF(Table12[[#This Row],[SAR]]=$D$4, "Yes", "No"))</f>
        <v>No</v>
      </c>
      <c r="F70" s="71">
        <f>IF(A70="M",VLOOKUP(B70,[3]AgeStdFactors!$A$2:$V$100,16),IF(A70="F",VLOOKUP(B70,[4]AgeStdFactors!$A$2:$V$101,16)))</f>
        <v>0.60950000000000004</v>
      </c>
      <c r="G70" s="87">
        <f>IF(A70="M", Male_2020_Open_Standard/F70,IF(A70="F",Female_2020_Open_Standard/F70))</f>
        <v>0.13860404703308721</v>
      </c>
      <c r="H70" s="88">
        <f t="shared" si="1"/>
        <v>199.58982772764557</v>
      </c>
      <c r="I70" s="88">
        <f>D70-H70</f>
        <v>10.883505605687759</v>
      </c>
      <c r="J70" s="89">
        <f>I70/D70</f>
        <v>5.170966522609876E-2</v>
      </c>
      <c r="K70" s="90">
        <f>IF(A70="M",VLOOKUP(B70,'ARRS Marathon SARs (formatted)'!$B$11:$S$97,5),IF(A70="F",VLOOKUP(B70,'ARRS Marathon SARs (formatted)'!$B$98:$S$183,5)))</f>
        <v>41196</v>
      </c>
      <c r="L70" s="71" t="str">
        <f t="shared" si="2"/>
        <v>Set before</v>
      </c>
      <c r="M70" s="91">
        <f>INDEX('2015_Road Weights'!$A:$CX,MATCH(Table12[[#This Row],[Gender]],'2015_Road Weights'!$A:$A,0),MATCH(Table12[[#This Row],[Age]],'2015_Road Weights'!$1:$1,0))</f>
        <v>0.61260000000000003</v>
      </c>
      <c r="N70" s="87">
        <f>IF(A70="M", Male_2015_Open_Standard/M70,IF(A70="F",Female_2020_Open_Standard/M70))</f>
        <v>0.13937633765008889</v>
      </c>
      <c r="O70" s="88">
        <f>Table12[[#This Row],[2015_AS]]*1440</f>
        <v>200.70192621612799</v>
      </c>
    </row>
    <row r="71" spans="1:15" x14ac:dyDescent="0.55000000000000004">
      <c r="A71" s="71" t="s">
        <v>98</v>
      </c>
      <c r="B71" s="71">
        <v>82</v>
      </c>
      <c r="C71" s="87">
        <f>IF(A71="M",VLOOKUP(B71,'ARRS Marathon SARs (formatted)'!$B$11:$S$97,2),IF(A71="F",VLOOKUP(B71,'ARRS Marathon SARs (formatted)'!$B$98:$S$183,2)))</f>
        <v>0.15414351851851851</v>
      </c>
      <c r="D71" s="88">
        <f t="shared" si="3"/>
        <v>221.96666666666667</v>
      </c>
      <c r="E71" s="87" t="str">
        <f>IF(Table12[[#This Row],[SAR]]=$D$3,"Yes",IF(Table12[[#This Row],[SAR]]=$D$4, "Yes", "No"))</f>
        <v>No</v>
      </c>
      <c r="F71" s="71">
        <f>IF(A71="M",VLOOKUP(B71,[3]AgeStdFactors!$A$2:$V$100,16),IF(A71="F",VLOOKUP(B71,[4]AgeStdFactors!$A$2:$V$101,16)))</f>
        <v>0.59370000000000001</v>
      </c>
      <c r="G71" s="87">
        <f>IF(A71="M", Male_2020_Open_Standard/F71,IF(A71="F",Female_2020_Open_Standard/F71))</f>
        <v>0.14229268429622141</v>
      </c>
      <c r="H71" s="88">
        <f t="shared" si="1"/>
        <v>204.90146538655884</v>
      </c>
      <c r="I71" s="88">
        <f>D71-H71</f>
        <v>17.065201280107829</v>
      </c>
      <c r="J71" s="89">
        <f>I71/D71</f>
        <v>7.6881819853316546E-2</v>
      </c>
      <c r="K71" s="90">
        <f>IF(A71="M",VLOOKUP(B71,'ARRS Marathon SARs (formatted)'!$B$11:$S$97,5),IF(A71="F",VLOOKUP(B71,'ARRS Marathon SARs (formatted)'!$B$98:$S$183,5)))</f>
        <v>41567</v>
      </c>
      <c r="L71" s="71" t="str">
        <f t="shared" si="2"/>
        <v>Set before</v>
      </c>
      <c r="M71" s="91">
        <f>INDEX('2015_Road Weights'!$A:$CX,MATCH(Table12[[#This Row],[Gender]],'2015_Road Weights'!$A:$A,0),MATCH(Table12[[#This Row],[Age]],'2015_Road Weights'!$1:$1,0))</f>
        <v>0.5968</v>
      </c>
      <c r="N71" s="87">
        <f>IF(A71="M", Male_2015_Open_Standard/M71,IF(A71="F",Female_2020_Open_Standard/M71))</f>
        <v>0.14306626079833187</v>
      </c>
      <c r="O71" s="88">
        <f>Table12[[#This Row],[2015_AS]]*1440</f>
        <v>206.01541554959789</v>
      </c>
    </row>
    <row r="72" spans="1:15" x14ac:dyDescent="0.55000000000000004">
      <c r="A72" s="71" t="s">
        <v>98</v>
      </c>
      <c r="B72" s="71">
        <v>83</v>
      </c>
      <c r="C72" s="87">
        <f>IF(A72="M",VLOOKUP(B72,'ARRS Marathon SARs (formatted)'!$B$11:$S$97,2),IF(A72="F",VLOOKUP(B72,'ARRS Marathon SARs (formatted)'!$B$98:$S$183,2)))</f>
        <v>0.17994212962962963</v>
      </c>
      <c r="D72" s="88">
        <f t="shared" si="3"/>
        <v>259.11666666666667</v>
      </c>
      <c r="E72" s="87" t="str">
        <f>IF(Table12[[#This Row],[SAR]]=$D$3,"Yes",IF(Table12[[#This Row],[SAR]]=$D$4, "Yes", "No"))</f>
        <v>No</v>
      </c>
      <c r="F72" s="71">
        <f>IF(A72="M",VLOOKUP(B72,[3]AgeStdFactors!$A$2:$V$100,16),IF(A72="F",VLOOKUP(B72,[4]AgeStdFactors!$A$2:$V$101,16)))</f>
        <v>0.57730000000000004</v>
      </c>
      <c r="G72" s="87">
        <f>IF(A72="M", Male_2020_Open_Standard/F72,IF(A72="F",Female_2020_Open_Standard/F72))</f>
        <v>0.14633495005485303</v>
      </c>
      <c r="H72" s="88">
        <f t="shared" ref="H72:H135" si="4">G72*1440</f>
        <v>210.72232807898837</v>
      </c>
      <c r="I72" s="88">
        <f>D72-H72</f>
        <v>48.394338587678305</v>
      </c>
      <c r="J72" s="89">
        <f>I72/D72</f>
        <v>0.18676659903908782</v>
      </c>
      <c r="K72" s="90">
        <f>IF(A72="M",VLOOKUP(B72,'ARRS Marathon SARs (formatted)'!$B$11:$S$97,5),IF(A72="F",VLOOKUP(B72,'ARRS Marathon SARs (formatted)'!$B$98:$S$183,5)))</f>
        <v>42267</v>
      </c>
      <c r="L72" s="71" t="str">
        <f t="shared" ref="L72:L135" si="5">IF(K72&gt;=$K$3,"Set after","Set before")</f>
        <v>Set after</v>
      </c>
      <c r="M72" s="91">
        <f>INDEX('2015_Road Weights'!$A:$CX,MATCH(Table12[[#This Row],[Gender]],'2015_Road Weights'!$A:$A,0),MATCH(Table12[[#This Row],[Age]],'2015_Road Weights'!$1:$1,0))</f>
        <v>0.58020000000000005</v>
      </c>
      <c r="N72" s="87">
        <f>IF(A72="M", Male_2015_Open_Standard/M72,IF(A72="F",Female_2020_Open_Standard/M72))</f>
        <v>0.14715950438546097</v>
      </c>
      <c r="O72" s="88">
        <f>Table12[[#This Row],[2015_AS]]*1440</f>
        <v>211.90968631506379</v>
      </c>
    </row>
    <row r="73" spans="1:15" x14ac:dyDescent="0.55000000000000004">
      <c r="A73" s="71" t="s">
        <v>98</v>
      </c>
      <c r="B73" s="71">
        <v>84</v>
      </c>
      <c r="C73" s="87">
        <f>IF(A73="M",VLOOKUP(B73,'ARRS Marathon SARs (formatted)'!$B$11:$S$97,2),IF(A73="F",VLOOKUP(B73,'ARRS Marathon SARs (formatted)'!$B$98:$S$183,2)))</f>
        <v>0.17906250000000001</v>
      </c>
      <c r="D73" s="88">
        <f t="shared" si="3"/>
        <v>257.85000000000002</v>
      </c>
      <c r="E73" s="87" t="str">
        <f>IF(Table12[[#This Row],[SAR]]=$D$3,"Yes",IF(Table12[[#This Row],[SAR]]=$D$4, "Yes", "No"))</f>
        <v>No</v>
      </c>
      <c r="F73" s="71">
        <f>IF(A73="M",VLOOKUP(B73,[3]AgeStdFactors!$A$2:$V$100,16),IF(A73="F",VLOOKUP(B73,[4]AgeStdFactors!$A$2:$V$101,16)))</f>
        <v>0.56010000000000004</v>
      </c>
      <c r="G73" s="87">
        <f>IF(A73="M", Male_2020_Open_Standard/F73,IF(A73="F",Female_2020_Open_Standard/F73))</f>
        <v>0.15082872106171516</v>
      </c>
      <c r="H73" s="88">
        <f t="shared" si="4"/>
        <v>217.19335832886983</v>
      </c>
      <c r="I73" s="88">
        <f>D73-H73</f>
        <v>40.656641671130188</v>
      </c>
      <c r="J73" s="89">
        <f>I73/D73</f>
        <v>0.15767555428012481</v>
      </c>
      <c r="K73" s="90">
        <f>IF(A73="M",VLOOKUP(B73,'ARRS Marathon SARs (formatted)'!$B$11:$S$97,5),IF(A73="F",VLOOKUP(B73,'ARRS Marathon SARs (formatted)'!$B$98:$S$183,5)))</f>
        <v>33517</v>
      </c>
      <c r="L73" s="71" t="str">
        <f t="shared" si="5"/>
        <v>Set before</v>
      </c>
      <c r="M73" s="91">
        <f>INDEX('2015_Road Weights'!$A:$CX,MATCH(Table12[[#This Row],[Gender]],'2015_Road Weights'!$A:$A,0),MATCH(Table12[[#This Row],[Age]],'2015_Road Weights'!$1:$1,0))</f>
        <v>0.56299999999999994</v>
      </c>
      <c r="N73" s="87">
        <f>IF(A73="M", Male_2015_Open_Standard/M73,IF(A73="F",Female_2020_Open_Standard/M73))</f>
        <v>0.15165531872903101</v>
      </c>
      <c r="O73" s="88">
        <f>Table12[[#This Row],[2015_AS]]*1440</f>
        <v>218.38365896980466</v>
      </c>
    </row>
    <row r="74" spans="1:15" x14ac:dyDescent="0.55000000000000004">
      <c r="A74" s="71" t="s">
        <v>2</v>
      </c>
      <c r="B74" s="71">
        <v>18</v>
      </c>
      <c r="C74" s="87">
        <f>IF(A74="M",VLOOKUP(B74,'ARRS Marathon SARs (formatted)'!$B$11:$S$97,2),IF(A74="F",VLOOKUP(B74,'ARRS Marathon SARs (formatted)'!$B$98:$S$183,2)))</f>
        <v>9.9050925925925917E-2</v>
      </c>
      <c r="D74" s="88">
        <f t="shared" si="3"/>
        <v>142.63333333333333</v>
      </c>
      <c r="E74" s="87" t="str">
        <f>IF(Table12[[#This Row],[SAR]]=$D$3,"Yes",IF(Table12[[#This Row],[SAR]]=$D$4, "Yes", "No"))</f>
        <v>No</v>
      </c>
      <c r="F74" s="71">
        <f>IF(A74="M",VLOOKUP(B74,[3]AgeStdFactors!$A$2:$V$100,16),IF(A74="F",VLOOKUP(B74,[4]AgeStdFactors!$A$2:$V$101,16)))</f>
        <v>0.97440000000000004</v>
      </c>
      <c r="G74" s="87">
        <f>IF(A74="M", Male_2020_Open_Standard/F74,IF(A74="F",Female_2020_Open_Standard/F74))</f>
        <v>9.5547877516268309E-2</v>
      </c>
      <c r="H74" s="88">
        <f t="shared" si="4"/>
        <v>137.58894362342636</v>
      </c>
      <c r="I74" s="88">
        <f>D74-H74</f>
        <v>5.0443897099069659</v>
      </c>
      <c r="J74" s="89">
        <f>I74/D74</f>
        <v>3.5366134914047435E-2</v>
      </c>
      <c r="K74" s="90">
        <f>IF(A74="M",VLOOKUP(B74,'ARRS Marathon SARs (formatted)'!$B$11:$S$97,5),IF(A74="F",VLOOKUP(B74,'ARRS Marathon SARs (formatted)'!$B$98:$S$183,5)))</f>
        <v>39452</v>
      </c>
      <c r="L74" s="71" t="str">
        <f t="shared" si="5"/>
        <v>Set before</v>
      </c>
      <c r="M74" s="91">
        <f>INDEX('2015_Road Weights'!$A:$CX,MATCH(Table12[[#This Row],[Gender]],'2015_Road Weights'!$A:$A,0),MATCH(Table12[[#This Row],[Age]],'2015_Road Weights'!$1:$1,0))</f>
        <v>0.98929999999999996</v>
      </c>
      <c r="N74" s="87">
        <f>IF(A74="M", Male_2015_Open_Standard/M74,IF(A74="F",Female_2020_Open_Standard/M74))</f>
        <v>9.4108816185031682E-2</v>
      </c>
      <c r="O74" s="88">
        <f>Table12[[#This Row],[2015_AS]]*1440</f>
        <v>135.51669530644563</v>
      </c>
    </row>
    <row r="75" spans="1:15" x14ac:dyDescent="0.55000000000000004">
      <c r="A75" s="71" t="s">
        <v>2</v>
      </c>
      <c r="B75" s="71">
        <v>19</v>
      </c>
      <c r="C75" s="87">
        <f>IF(A75="M",VLOOKUP(B75,'ARRS Marathon SARs (formatted)'!$B$11:$S$97,2),IF(A75="F",VLOOKUP(B75,'ARRS Marathon SARs (formatted)'!$B$98:$S$183,2)))</f>
        <v>9.7905092592592599E-2</v>
      </c>
      <c r="D75" s="88">
        <f t="shared" si="3"/>
        <v>140.98333333333335</v>
      </c>
      <c r="E75" s="87" t="str">
        <f>IF(Table12[[#This Row],[SAR]]=$D$3,"Yes",IF(Table12[[#This Row],[SAR]]=$D$4, "Yes", "No"))</f>
        <v>No</v>
      </c>
      <c r="F75" s="71">
        <f>IF(A75="M",VLOOKUP(B75,[3]AgeStdFactors!$A$2:$V$100,16),IF(A75="F",VLOOKUP(B75,[4]AgeStdFactors!$A$2:$V$101,16)))</f>
        <v>0.98560000000000003</v>
      </c>
      <c r="G75" s="87">
        <f>IF(A75="M", Male_2020_Open_Standard/F75,IF(A75="F",Female_2020_Open_Standard/F75))</f>
        <v>9.4462106180856167E-2</v>
      </c>
      <c r="H75" s="88">
        <f t="shared" si="4"/>
        <v>136.02543290043289</v>
      </c>
      <c r="I75" s="88">
        <f>D75-H75</f>
        <v>4.957900432900459</v>
      </c>
      <c r="J75" s="89">
        <f>I75/D75</f>
        <v>3.5166571222842828E-2</v>
      </c>
      <c r="K75" s="90">
        <f>IF(A75="M",VLOOKUP(B75,'ARRS Marathon SARs (formatted)'!$B$11:$S$97,5),IF(A75="F",VLOOKUP(B75,'ARRS Marathon SARs (formatted)'!$B$98:$S$183,5)))</f>
        <v>42027</v>
      </c>
      <c r="L75" s="71" t="str">
        <f t="shared" si="5"/>
        <v>Set after</v>
      </c>
      <c r="M75" s="91">
        <f>INDEX('2015_Road Weights'!$A:$CX,MATCH(Table12[[#This Row],[Gender]],'2015_Road Weights'!$A:$A,0),MATCH(Table12[[#This Row],[Age]],'2015_Road Weights'!$1:$1,0))</f>
        <v>0.99729999999999996</v>
      </c>
      <c r="N75" s="87">
        <f>IF(A75="M", Male_2015_Open_Standard/M75,IF(A75="F",Female_2020_Open_Standard/M75))</f>
        <v>9.33539074018368E-2</v>
      </c>
      <c r="O75" s="88">
        <f>Table12[[#This Row],[2015_AS]]*1440</f>
        <v>134.42962665864499</v>
      </c>
    </row>
    <row r="76" spans="1:15" x14ac:dyDescent="0.55000000000000004">
      <c r="A76" s="71" t="s">
        <v>2</v>
      </c>
      <c r="B76" s="71">
        <v>20</v>
      </c>
      <c r="C76" s="87">
        <f>IF(A76="M",VLOOKUP(B76,'ARRS Marathon SARs (formatted)'!$B$11:$S$97,2),IF(A76="F",VLOOKUP(B76,'ARRS Marathon SARs (formatted)'!$B$98:$S$183,2)))</f>
        <v>9.6724537037037039E-2</v>
      </c>
      <c r="D76" s="88">
        <f t="shared" si="3"/>
        <v>139.28333333333333</v>
      </c>
      <c r="E76" s="87" t="str">
        <f>IF(Table12[[#This Row],[SAR]]=$D$3,"Yes",IF(Table12[[#This Row],[SAR]]=$D$4, "Yes", "No"))</f>
        <v>No</v>
      </c>
      <c r="F76" s="71">
        <f>IF(A76="M",VLOOKUP(B76,[3]AgeStdFactors!$A$2:$V$100,16),IF(A76="F",VLOOKUP(B76,[4]AgeStdFactors!$A$2:$V$101,16)))</f>
        <v>0.99360000000000004</v>
      </c>
      <c r="G76" s="87">
        <f>IF(A76="M", Male_2020_Open_Standard/F76,IF(A76="F",Female_2020_Open_Standard/F76))</f>
        <v>9.3701541718852491E-2</v>
      </c>
      <c r="H76" s="88">
        <f t="shared" si="4"/>
        <v>134.93022007514759</v>
      </c>
      <c r="I76" s="88">
        <f>D76-H76</f>
        <v>4.3531132581857435</v>
      </c>
      <c r="J76" s="89">
        <f>I76/D76</f>
        <v>3.1253655078514374E-2</v>
      </c>
      <c r="K76" s="90">
        <f>IF(A76="M",VLOOKUP(B76,'ARRS Marathon SARs (formatted)'!$B$11:$S$97,5),IF(A76="F",VLOOKUP(B76,'ARRS Marathon SARs (formatted)'!$B$98:$S$183,5)))</f>
        <v>43126</v>
      </c>
      <c r="L76" s="71" t="str">
        <f t="shared" si="5"/>
        <v>Set after</v>
      </c>
      <c r="M76" s="91">
        <f>INDEX('2015_Road Weights'!$A:$CX,MATCH(Table12[[#This Row],[Gender]],'2015_Road Weights'!$A:$A,0),MATCH(Table12[[#This Row],[Age]],'2015_Road Weights'!$1:$1,0))</f>
        <v>1</v>
      </c>
      <c r="N76" s="87">
        <f>IF(A76="M", Male_2015_Open_Standard/M76,IF(A76="F",Female_2020_Open_Standard/M76))</f>
        <v>9.3101851851851838E-2</v>
      </c>
      <c r="O76" s="88">
        <f>Table12[[#This Row],[2015_AS]]*1440</f>
        <v>134.06666666666663</v>
      </c>
    </row>
    <row r="77" spans="1:15" x14ac:dyDescent="0.55000000000000004">
      <c r="A77" s="71" t="s">
        <v>2</v>
      </c>
      <c r="B77" s="71">
        <v>21</v>
      </c>
      <c r="C77" s="87">
        <f>IF(A77="M",VLOOKUP(B77,'ARRS Marathon SARs (formatted)'!$B$11:$S$97,2),IF(A77="F",VLOOKUP(B77,'ARRS Marathon SARs (formatted)'!$B$98:$S$183,2)))</f>
        <v>9.7812500000000011E-2</v>
      </c>
      <c r="D77" s="88">
        <f t="shared" si="3"/>
        <v>140.85000000000002</v>
      </c>
      <c r="E77" s="87" t="str">
        <f>IF(Table12[[#This Row],[SAR]]=$D$3,"Yes",IF(Table12[[#This Row],[SAR]]=$D$4, "Yes", "No"))</f>
        <v>No</v>
      </c>
      <c r="F77" s="71">
        <f>IF(A77="M",VLOOKUP(B77,[3]AgeStdFactors!$A$2:$V$100,16),IF(A77="F",VLOOKUP(B77,[4]AgeStdFactors!$A$2:$V$101,16)))</f>
        <v>0.99839999999999995</v>
      </c>
      <c r="G77" s="87">
        <f>IF(A77="M", Male_2020_Open_Standard/F77,IF(A77="F",Female_2020_Open_Standard/F77))</f>
        <v>9.3251053537511855E-2</v>
      </c>
      <c r="H77" s="88">
        <f t="shared" si="4"/>
        <v>134.28151709401706</v>
      </c>
      <c r="I77" s="88">
        <f>D77-H77</f>
        <v>6.568482905982961</v>
      </c>
      <c r="J77" s="89">
        <f>I77/D77</f>
        <v>4.6634596421604259E-2</v>
      </c>
      <c r="K77" s="90">
        <f>IF(A77="M",VLOOKUP(B77,'ARRS Marathon SARs (formatted)'!$B$11:$S$97,5),IF(A77="F",VLOOKUP(B77,'ARRS Marathon SARs (formatted)'!$B$98:$S$183,5)))</f>
        <v>43583</v>
      </c>
      <c r="L77" s="71" t="str">
        <f t="shared" si="5"/>
        <v>Set after</v>
      </c>
      <c r="M77" s="91">
        <f>INDEX('2015_Road Weights'!$A:$CX,MATCH(Table12[[#This Row],[Gender]],'2015_Road Weights'!$A:$A,0),MATCH(Table12[[#This Row],[Age]],'2015_Road Weights'!$1:$1,0))</f>
        <v>1</v>
      </c>
      <c r="N77" s="87">
        <f>IF(A77="M", Male_2015_Open_Standard/M77,IF(A77="F",Female_2020_Open_Standard/M77))</f>
        <v>9.3101851851851838E-2</v>
      </c>
      <c r="O77" s="88">
        <f>Table12[[#This Row],[2015_AS]]*1440</f>
        <v>134.06666666666663</v>
      </c>
    </row>
    <row r="78" spans="1:15" x14ac:dyDescent="0.55000000000000004">
      <c r="A78" s="71" t="s">
        <v>2</v>
      </c>
      <c r="B78" s="71">
        <v>22</v>
      </c>
      <c r="C78" s="87">
        <f>IF(A78="M",VLOOKUP(B78,'ARRS Marathon SARs (formatted)'!$B$11:$S$97,2),IF(A78="F",VLOOKUP(B78,'ARRS Marathon SARs (formatted)'!$B$98:$S$183,2)))</f>
        <v>9.7129629629629635E-2</v>
      </c>
      <c r="D78" s="88">
        <f t="shared" si="3"/>
        <v>139.86666666666667</v>
      </c>
      <c r="E78" s="87" t="str">
        <f>IF(Table12[[#This Row],[SAR]]=$D$3,"Yes",IF(Table12[[#This Row],[SAR]]=$D$4, "Yes", "No"))</f>
        <v>No</v>
      </c>
      <c r="F78" s="71">
        <f>IF(A78="M",VLOOKUP(B78,[3]AgeStdFactors!$A$2:$V$100,16),IF(A78="F",VLOOKUP(B78,[4]AgeStdFactors!$A$2:$V$101,16)))</f>
        <v>1</v>
      </c>
      <c r="G78" s="87">
        <f>IF(A78="M", Male_2020_Open_Standard/F78,IF(A78="F",Female_2020_Open_Standard/F78))</f>
        <v>9.3101851851851838E-2</v>
      </c>
      <c r="H78" s="88">
        <f t="shared" si="4"/>
        <v>134.06666666666663</v>
      </c>
      <c r="I78" s="88">
        <f>D78-H78</f>
        <v>5.8000000000000398</v>
      </c>
      <c r="J78" s="89">
        <f>I78/D78</f>
        <v>4.1468064823641848E-2</v>
      </c>
      <c r="K78" s="90">
        <f>IF(A78="M",VLOOKUP(B78,'ARRS Marathon SARs (formatted)'!$B$11:$S$97,5),IF(A78="F",VLOOKUP(B78,'ARRS Marathon SARs (formatted)'!$B$98:$S$183,5)))</f>
        <v>40935</v>
      </c>
      <c r="L78" s="71" t="str">
        <f t="shared" si="5"/>
        <v>Set before</v>
      </c>
      <c r="M78" s="91">
        <f>INDEX('2015_Road Weights'!$A:$CX,MATCH(Table12[[#This Row],[Gender]],'2015_Road Weights'!$A:$A,0),MATCH(Table12[[#This Row],[Age]],'2015_Road Weights'!$1:$1,0))</f>
        <v>1</v>
      </c>
      <c r="N78" s="87">
        <f>IF(A78="M", Male_2015_Open_Standard/M78,IF(A78="F",Female_2020_Open_Standard/M78))</f>
        <v>9.3101851851851838E-2</v>
      </c>
      <c r="O78" s="88">
        <f>Table12[[#This Row],[2015_AS]]*1440</f>
        <v>134.06666666666663</v>
      </c>
    </row>
    <row r="79" spans="1:15" x14ac:dyDescent="0.55000000000000004">
      <c r="A79" s="71" t="s">
        <v>2</v>
      </c>
      <c r="B79" s="71">
        <v>23</v>
      </c>
      <c r="C79" s="87">
        <f>IF(A79="M",VLOOKUP(B79,'ARRS Marathon SARs (formatted)'!$B$11:$S$97,2),IF(A79="F",VLOOKUP(B79,'ARRS Marathon SARs (formatted)'!$B$98:$S$183,2)))</f>
        <v>9.7372685185185173E-2</v>
      </c>
      <c r="D79" s="88">
        <f t="shared" si="3"/>
        <v>140.21666666666664</v>
      </c>
      <c r="E79" s="87" t="str">
        <f>IF(Table12[[#This Row],[SAR]]=$D$3,"Yes",IF(Table12[[#This Row],[SAR]]=$D$4, "Yes", "No"))</f>
        <v>No</v>
      </c>
      <c r="F79" s="71">
        <f>IF(A79="M",VLOOKUP(B79,[3]AgeStdFactors!$A$2:$V$100,16),IF(A79="F",VLOOKUP(B79,[4]AgeStdFactors!$A$2:$V$101,16)))</f>
        <v>1</v>
      </c>
      <c r="G79" s="87">
        <f>IF(A79="M", Male_2020_Open_Standard/F79,IF(A79="F",Female_2020_Open_Standard/F79))</f>
        <v>9.3101851851851838E-2</v>
      </c>
      <c r="H79" s="88">
        <f t="shared" si="4"/>
        <v>134.06666666666663</v>
      </c>
      <c r="I79" s="88">
        <f>D79-H79</f>
        <v>6.1500000000000057</v>
      </c>
      <c r="J79" s="89">
        <f>I79/D79</f>
        <v>4.3860691786520911E-2</v>
      </c>
      <c r="K79" s="90">
        <f>IF(A79="M",VLOOKUP(B79,'ARRS Marathon SARs (formatted)'!$B$11:$S$97,5),IF(A79="F",VLOOKUP(B79,'ARRS Marathon SARs (formatted)'!$B$98:$S$183,5)))</f>
        <v>43126</v>
      </c>
      <c r="L79" s="71" t="str">
        <f t="shared" si="5"/>
        <v>Set after</v>
      </c>
      <c r="M79" s="91">
        <f>INDEX('2015_Road Weights'!$A:$CX,MATCH(Table12[[#This Row],[Gender]],'2015_Road Weights'!$A:$A,0),MATCH(Table12[[#This Row],[Age]],'2015_Road Weights'!$1:$1,0))</f>
        <v>1</v>
      </c>
      <c r="N79" s="87">
        <f>IF(A79="M", Male_2015_Open_Standard/M79,IF(A79="F",Female_2020_Open_Standard/M79))</f>
        <v>9.3101851851851838E-2</v>
      </c>
      <c r="O79" s="88">
        <f>Table12[[#This Row],[2015_AS]]*1440</f>
        <v>134.06666666666663</v>
      </c>
    </row>
    <row r="80" spans="1:15" x14ac:dyDescent="0.55000000000000004">
      <c r="A80" s="71" t="s">
        <v>2</v>
      </c>
      <c r="B80" s="71">
        <v>24</v>
      </c>
      <c r="C80" s="87">
        <f>IF(A80="M",VLOOKUP(B80,'ARRS Marathon SARs (formatted)'!$B$11:$S$97,2),IF(A80="F",VLOOKUP(B80,'ARRS Marathon SARs (formatted)'!$B$98:$S$183,2)))</f>
        <v>9.5231481481481486E-2</v>
      </c>
      <c r="D80" s="88">
        <f t="shared" si="3"/>
        <v>137.13333333333335</v>
      </c>
      <c r="E80" s="87" t="str">
        <f>IF(Table12[[#This Row],[SAR]]=$D$3,"Yes",IF(Table12[[#This Row],[SAR]]=$D$4, "Yes", "No"))</f>
        <v>No</v>
      </c>
      <c r="F80" s="71">
        <f>IF(A80="M",VLOOKUP(B80,[3]AgeStdFactors!$A$2:$V$100,16),IF(A80="F",VLOOKUP(B80,[4]AgeStdFactors!$A$2:$V$101,16)))</f>
        <v>1</v>
      </c>
      <c r="G80" s="87">
        <f>IF(A80="M", Male_2020_Open_Standard/F80,IF(A80="F",Female_2020_Open_Standard/F80))</f>
        <v>9.3101851851851838E-2</v>
      </c>
      <c r="H80" s="88">
        <f t="shared" si="4"/>
        <v>134.06666666666663</v>
      </c>
      <c r="I80" s="88">
        <f>D80-H80</f>
        <v>3.0666666666667197</v>
      </c>
      <c r="J80" s="89">
        <f>I80/D80</f>
        <v>2.2362664073894405E-2</v>
      </c>
      <c r="K80" s="90">
        <f>IF(A80="M",VLOOKUP(B80,'ARRS Marathon SARs (formatted)'!$B$11:$S$97,5),IF(A80="F",VLOOKUP(B80,'ARRS Marathon SARs (formatted)'!$B$98:$S$183,5)))</f>
        <v>43490</v>
      </c>
      <c r="L80" s="71" t="str">
        <f t="shared" si="5"/>
        <v>Set after</v>
      </c>
      <c r="M80" s="91">
        <f>INDEX('2015_Road Weights'!$A:$CX,MATCH(Table12[[#This Row],[Gender]],'2015_Road Weights'!$A:$A,0),MATCH(Table12[[#This Row],[Age]],'2015_Road Weights'!$1:$1,0))</f>
        <v>1</v>
      </c>
      <c r="N80" s="87">
        <f>IF(A80="M", Male_2015_Open_Standard/M80,IF(A80="F",Female_2020_Open_Standard/M80))</f>
        <v>9.3101851851851838E-2</v>
      </c>
      <c r="O80" s="88">
        <f>Table12[[#This Row],[2015_AS]]*1440</f>
        <v>134.06666666666663</v>
      </c>
    </row>
    <row r="81" spans="1:15" x14ac:dyDescent="0.55000000000000004">
      <c r="A81" s="71" t="s">
        <v>2</v>
      </c>
      <c r="B81" s="71">
        <v>25</v>
      </c>
      <c r="C81" s="87">
        <v>9.3101851851851838E-2</v>
      </c>
      <c r="D81" s="88">
        <f t="shared" si="3"/>
        <v>134.06666666666663</v>
      </c>
      <c r="E81" s="87" t="str">
        <f>IF(Table12[[#This Row],[SAR]]=$D$3,"Yes",IF(Table12[[#This Row],[SAR]]=$D$4, "Yes", "No"))</f>
        <v>Yes</v>
      </c>
      <c r="F81" s="71">
        <f>IF(A81="M",VLOOKUP(B81,[3]AgeStdFactors!$A$2:$V$100,16),IF(A81="F",VLOOKUP(B81,[4]AgeStdFactors!$A$2:$V$101,16)))</f>
        <v>1</v>
      </c>
      <c r="G81" s="87">
        <f>IF(A81="M", Male_2020_Open_Standard/F81,IF(A81="F",Female_2020_Open_Standard/F81))</f>
        <v>9.3101851851851838E-2</v>
      </c>
      <c r="H81" s="88">
        <f t="shared" si="4"/>
        <v>134.06666666666663</v>
      </c>
      <c r="I81" s="88">
        <f>D81-H81</f>
        <v>0</v>
      </c>
      <c r="J81" s="89">
        <f>I81/D81</f>
        <v>0</v>
      </c>
      <c r="K81" s="90">
        <f>IF(A81="M",VLOOKUP(B81,'ARRS Marathon SARs (formatted)'!$B$11:$S$97,5),IF(A81="F",VLOOKUP(B81,'ARRS Marathon SARs (formatted)'!$B$98:$S$183,5)))</f>
        <v>43583</v>
      </c>
      <c r="L81" s="71" t="str">
        <f t="shared" si="5"/>
        <v>Set after</v>
      </c>
      <c r="M81" s="91">
        <f>INDEX('2015_Road Weights'!$A:$CX,MATCH(Table12[[#This Row],[Gender]],'2015_Road Weights'!$A:$A,0),MATCH(Table12[[#This Row],[Age]],'2015_Road Weights'!$1:$1,0))</f>
        <v>1</v>
      </c>
      <c r="N81" s="87">
        <f>IF(A81="M", Male_2015_Open_Standard/M81,IF(A81="F",Female_2020_Open_Standard/M81))</f>
        <v>9.3101851851851838E-2</v>
      </c>
      <c r="O81" s="88">
        <f>Table12[[#This Row],[2015_AS]]*1440</f>
        <v>134.06666666666663</v>
      </c>
    </row>
    <row r="82" spans="1:15" x14ac:dyDescent="0.55000000000000004">
      <c r="A82" s="71" t="s">
        <v>2</v>
      </c>
      <c r="B82" s="71">
        <v>26</v>
      </c>
      <c r="C82" s="87">
        <f>IF(A82="M",VLOOKUP(B82,'ARRS Marathon SARs (formatted)'!$B$11:$S$97,2),IF(A82="F",VLOOKUP(B82,'ARRS Marathon SARs (formatted)'!$B$98:$S$183,2)))</f>
        <v>9.7719907407407394E-2</v>
      </c>
      <c r="D82" s="88">
        <f t="shared" si="3"/>
        <v>140.71666666666664</v>
      </c>
      <c r="E82" s="87" t="str">
        <f>IF(Table12[[#This Row],[SAR]]=$D$3,"Yes",IF(Table12[[#This Row],[SAR]]=$D$4, "Yes", "No"))</f>
        <v>No</v>
      </c>
      <c r="F82" s="71">
        <f>IF(A82="M",VLOOKUP(B82,[3]AgeStdFactors!$A$2:$V$100,16),IF(A82="F",VLOOKUP(B82,[4]AgeStdFactors!$A$2:$V$101,16)))</f>
        <v>1</v>
      </c>
      <c r="G82" s="87">
        <f>IF(A82="M", Male_2020_Open_Standard/F82,IF(A82="F",Female_2020_Open_Standard/F82))</f>
        <v>9.3101851851851838E-2</v>
      </c>
      <c r="H82" s="88">
        <f t="shared" si="4"/>
        <v>134.06666666666663</v>
      </c>
      <c r="I82" s="88">
        <f>D82-H82</f>
        <v>6.6500000000000057</v>
      </c>
      <c r="J82" s="89">
        <f>I82/D82</f>
        <v>4.7258083619566557E-2</v>
      </c>
      <c r="K82" s="90">
        <f>IF(A82="M",VLOOKUP(B82,'ARRS Marathon SARs (formatted)'!$B$11:$S$97,5),IF(A82="F",VLOOKUP(B82,'ARRS Marathon SARs (formatted)'!$B$98:$S$183,5)))</f>
        <v>36428</v>
      </c>
      <c r="L82" s="71" t="str">
        <f t="shared" si="5"/>
        <v>Set before</v>
      </c>
      <c r="M82" s="91">
        <f>INDEX('2015_Road Weights'!$A:$CX,MATCH(Table12[[#This Row],[Gender]],'2015_Road Weights'!$A:$A,0),MATCH(Table12[[#This Row],[Age]],'2015_Road Weights'!$1:$1,0))</f>
        <v>1</v>
      </c>
      <c r="N82" s="87">
        <f>IF(A82="M", Male_2015_Open_Standard/M82,IF(A82="F",Female_2020_Open_Standard/M82))</f>
        <v>9.3101851851851838E-2</v>
      </c>
      <c r="O82" s="88">
        <f>Table12[[#This Row],[2015_AS]]*1440</f>
        <v>134.06666666666663</v>
      </c>
    </row>
    <row r="83" spans="1:15" x14ac:dyDescent="0.55000000000000004">
      <c r="A83" s="71" t="s">
        <v>2</v>
      </c>
      <c r="B83" s="71">
        <v>27</v>
      </c>
      <c r="C83" s="87">
        <f>IF(A83="M",VLOOKUP(B83,'ARRS Marathon SARs (formatted)'!$B$11:$S$97,2),IF(A83="F",VLOOKUP(B83,'ARRS Marathon SARs (formatted)'!$B$98:$S$183,2)))</f>
        <v>9.6666666666666665E-2</v>
      </c>
      <c r="D83" s="88">
        <f t="shared" si="3"/>
        <v>139.19999999999999</v>
      </c>
      <c r="E83" s="87" t="str">
        <f>IF(Table12[[#This Row],[SAR]]=$D$3,"Yes",IF(Table12[[#This Row],[SAR]]=$D$4, "Yes", "No"))</f>
        <v>No</v>
      </c>
      <c r="F83" s="71">
        <f>IF(A83="M",VLOOKUP(B83,[3]AgeStdFactors!$A$2:$V$100,16),IF(A83="F",VLOOKUP(B83,[4]AgeStdFactors!$A$2:$V$101,16)))</f>
        <v>1</v>
      </c>
      <c r="G83" s="87">
        <f>IF(A83="M", Male_2020_Open_Standard/F83,IF(A83="F",Female_2020_Open_Standard/F83))</f>
        <v>9.3101851851851838E-2</v>
      </c>
      <c r="H83" s="88">
        <f t="shared" si="4"/>
        <v>134.06666666666663</v>
      </c>
      <c r="I83" s="88">
        <f>D83-H83</f>
        <v>5.1333333333333542</v>
      </c>
      <c r="J83" s="89">
        <f>I83/D83</f>
        <v>3.6877394636015477E-2</v>
      </c>
      <c r="K83" s="90">
        <f>IF(A83="M",VLOOKUP(B83,'ARRS Marathon SARs (formatted)'!$B$11:$S$97,5),IF(A83="F",VLOOKUP(B83,'ARRS Marathon SARs (formatted)'!$B$98:$S$183,5)))</f>
        <v>38620</v>
      </c>
      <c r="L83" s="71" t="str">
        <f t="shared" si="5"/>
        <v>Set before</v>
      </c>
      <c r="M83" s="91">
        <f>INDEX('2015_Road Weights'!$A:$CX,MATCH(Table12[[#This Row],[Gender]],'2015_Road Weights'!$A:$A,0),MATCH(Table12[[#This Row],[Age]],'2015_Road Weights'!$1:$1,0))</f>
        <v>1</v>
      </c>
      <c r="N83" s="87">
        <f>IF(A83="M", Male_2015_Open_Standard/M83,IF(A83="F",Female_2020_Open_Standard/M83))</f>
        <v>9.3101851851851838E-2</v>
      </c>
      <c r="O83" s="88">
        <f>Table12[[#This Row],[2015_AS]]*1440</f>
        <v>134.06666666666663</v>
      </c>
    </row>
    <row r="84" spans="1:15" x14ac:dyDescent="0.55000000000000004">
      <c r="A84" s="71" t="s">
        <v>2</v>
      </c>
      <c r="B84" s="71">
        <v>28</v>
      </c>
      <c r="C84" s="87">
        <f>IF(A84="M",VLOOKUP(B84,'ARRS Marathon SARs (formatted)'!$B$11:$S$97,2),IF(A84="F",VLOOKUP(B84,'ARRS Marathon SARs (formatted)'!$B$98:$S$183,2)))</f>
        <v>9.5347222222222208E-2</v>
      </c>
      <c r="D84" s="88">
        <f t="shared" si="3"/>
        <v>137.29999999999998</v>
      </c>
      <c r="E84" s="87" t="str">
        <f>IF(Table12[[#This Row],[SAR]]=$D$3,"Yes",IF(Table12[[#This Row],[SAR]]=$D$4, "Yes", "No"))</f>
        <v>No</v>
      </c>
      <c r="F84" s="71">
        <f>IF(A84="M",VLOOKUP(B84,[3]AgeStdFactors!$A$2:$V$100,16),IF(A84="F",VLOOKUP(B84,[4]AgeStdFactors!$A$2:$V$101,16)))</f>
        <v>1</v>
      </c>
      <c r="G84" s="87">
        <f>IF(A84="M", Male_2020_Open_Standard/F84,IF(A84="F",Female_2020_Open_Standard/F84))</f>
        <v>9.3101851851851838E-2</v>
      </c>
      <c r="H84" s="88">
        <f t="shared" si="4"/>
        <v>134.06666666666663</v>
      </c>
      <c r="I84" s="88">
        <f>D84-H84</f>
        <v>3.2333333333333485</v>
      </c>
      <c r="J84" s="89">
        <f>I84/D84</f>
        <v>2.3549405195435899E-2</v>
      </c>
      <c r="K84" s="90">
        <f>IF(A84="M",VLOOKUP(B84,'ARRS Marathon SARs (formatted)'!$B$11:$S$97,5),IF(A84="F",VLOOKUP(B84,'ARRS Marathon SARs (formatted)'!$B$98:$S$183,5)))</f>
        <v>37542</v>
      </c>
      <c r="L84" s="71" t="str">
        <f t="shared" si="5"/>
        <v>Set before</v>
      </c>
      <c r="M84" s="91">
        <f>INDEX('2015_Road Weights'!$A:$CX,MATCH(Table12[[#This Row],[Gender]],'2015_Road Weights'!$A:$A,0),MATCH(Table12[[#This Row],[Age]],'2015_Road Weights'!$1:$1,0))</f>
        <v>1</v>
      </c>
      <c r="N84" s="87">
        <f>IF(A84="M", Male_2015_Open_Standard/M84,IF(A84="F",Female_2020_Open_Standard/M84))</f>
        <v>9.3101851851851838E-2</v>
      </c>
      <c r="O84" s="88">
        <f>Table12[[#This Row],[2015_AS]]*1440</f>
        <v>134.06666666666663</v>
      </c>
    </row>
    <row r="85" spans="1:15" x14ac:dyDescent="0.55000000000000004">
      <c r="A85" s="71" t="s">
        <v>2</v>
      </c>
      <c r="B85" s="71">
        <v>29</v>
      </c>
      <c r="C85" s="87">
        <f>IF(A85="M",VLOOKUP(B85,'ARRS Marathon SARs (formatted)'!$B$11:$S$97,2),IF(A85="F",VLOOKUP(B85,'ARRS Marathon SARs (formatted)'!$B$98:$S$183,2)))</f>
        <v>9.403935185185186E-2</v>
      </c>
      <c r="D85" s="88">
        <f t="shared" si="3"/>
        <v>135.41666666666669</v>
      </c>
      <c r="E85" s="87" t="str">
        <f>IF(Table12[[#This Row],[SAR]]=$D$3,"Yes",IF(Table12[[#This Row],[SAR]]=$D$4, "Yes", "No"))</f>
        <v>No</v>
      </c>
      <c r="F85" s="71">
        <f>IF(A85="M",VLOOKUP(B85,[3]AgeStdFactors!$A$2:$V$100,16),IF(A85="F",VLOOKUP(B85,[4]AgeStdFactors!$A$2:$V$101,16)))</f>
        <v>1</v>
      </c>
      <c r="G85" s="87">
        <f>IF(A85="M", Male_2020_Open_Standard/F85,IF(A85="F",Female_2020_Open_Standard/F85))</f>
        <v>9.3101851851851838E-2</v>
      </c>
      <c r="H85" s="88">
        <f t="shared" si="4"/>
        <v>134.06666666666663</v>
      </c>
      <c r="I85" s="88">
        <f>D85-H85</f>
        <v>1.3500000000000512</v>
      </c>
      <c r="J85" s="89">
        <f>I85/D85</f>
        <v>9.9692307692311449E-3</v>
      </c>
      <c r="K85" s="90">
        <f>IF(A85="M",VLOOKUP(B85,'ARRS Marathon SARs (formatted)'!$B$11:$S$97,5),IF(A85="F",VLOOKUP(B85,'ARRS Marathon SARs (formatted)'!$B$98:$S$183,5)))</f>
        <v>37724</v>
      </c>
      <c r="L85" s="71" t="str">
        <f t="shared" si="5"/>
        <v>Set before</v>
      </c>
      <c r="M85" s="91">
        <f>INDEX('2015_Road Weights'!$A:$CX,MATCH(Table12[[#This Row],[Gender]],'2015_Road Weights'!$A:$A,0),MATCH(Table12[[#This Row],[Age]],'2015_Road Weights'!$1:$1,0))</f>
        <v>1</v>
      </c>
      <c r="N85" s="87">
        <f>IF(A85="M", Male_2015_Open_Standard/M85,IF(A85="F",Female_2020_Open_Standard/M85))</f>
        <v>9.3101851851851838E-2</v>
      </c>
      <c r="O85" s="88">
        <f>Table12[[#This Row],[2015_AS]]*1440</f>
        <v>134.06666666666663</v>
      </c>
    </row>
    <row r="86" spans="1:15" x14ac:dyDescent="0.55000000000000004">
      <c r="A86" s="71" t="s">
        <v>2</v>
      </c>
      <c r="B86" s="71">
        <v>30</v>
      </c>
      <c r="C86" s="87">
        <f>IF(A86="M",VLOOKUP(B86,'ARRS Marathon SARs (formatted)'!$B$11:$S$97,2),IF(A86="F",VLOOKUP(B86,'ARRS Marathon SARs (formatted)'!$B$98:$S$183,2)))</f>
        <v>9.6261574074074083E-2</v>
      </c>
      <c r="D86" s="88">
        <f t="shared" si="3"/>
        <v>138.61666666666667</v>
      </c>
      <c r="E86" s="87" t="str">
        <f>IF(Table12[[#This Row],[SAR]]=$D$3,"Yes",IF(Table12[[#This Row],[SAR]]=$D$4, "Yes", "No"))</f>
        <v>No</v>
      </c>
      <c r="F86" s="71">
        <f>IF(A86="M",VLOOKUP(B86,[3]AgeStdFactors!$A$2:$V$100,16),IF(A86="F",VLOOKUP(B86,[4]AgeStdFactors!$A$2:$V$101,16)))</f>
        <v>1</v>
      </c>
      <c r="G86" s="87">
        <f>IF(A86="M", Male_2020_Open_Standard/F86,IF(A86="F",Female_2020_Open_Standard/F86))</f>
        <v>9.3101851851851838E-2</v>
      </c>
      <c r="H86" s="88">
        <f t="shared" si="4"/>
        <v>134.06666666666663</v>
      </c>
      <c r="I86" s="88">
        <f>D86-H86</f>
        <v>4.5500000000000398</v>
      </c>
      <c r="J86" s="89">
        <f>I86/D86</f>
        <v>3.2824335697968304E-2</v>
      </c>
      <c r="K86" s="90">
        <f>IF(A86="M",VLOOKUP(B86,'ARRS Marathon SARs (formatted)'!$B$11:$S$97,5),IF(A86="F",VLOOKUP(B86,'ARRS Marathon SARs (formatted)'!$B$98:$S$183,5)))</f>
        <v>41021</v>
      </c>
      <c r="L86" s="71" t="str">
        <f t="shared" si="5"/>
        <v>Set before</v>
      </c>
      <c r="M86" s="91">
        <f>INDEX('2015_Road Weights'!$A:$CX,MATCH(Table12[[#This Row],[Gender]],'2015_Road Weights'!$A:$A,0),MATCH(Table12[[#This Row],[Age]],'2015_Road Weights'!$1:$1,0))</f>
        <v>1</v>
      </c>
      <c r="N86" s="87">
        <f>IF(A86="M", Male_2015_Open_Standard/M86,IF(A86="F",Female_2020_Open_Standard/M86))</f>
        <v>9.3101851851851838E-2</v>
      </c>
      <c r="O86" s="88">
        <f>Table12[[#This Row],[2015_AS]]*1440</f>
        <v>134.06666666666663</v>
      </c>
    </row>
    <row r="87" spans="1:15" x14ac:dyDescent="0.55000000000000004">
      <c r="A87" s="71" t="s">
        <v>2</v>
      </c>
      <c r="B87" s="71">
        <v>31</v>
      </c>
      <c r="C87" s="87">
        <f>IF(A87="M",VLOOKUP(B87,'ARRS Marathon SARs (formatted)'!$B$11:$S$97,2),IF(A87="F",VLOOKUP(B87,'ARRS Marathon SARs (formatted)'!$B$98:$S$183,2)))</f>
        <v>9.5625000000000002E-2</v>
      </c>
      <c r="D87" s="88">
        <f t="shared" si="3"/>
        <v>137.69999999999999</v>
      </c>
      <c r="E87" s="87" t="str">
        <f>IF(Table12[[#This Row],[SAR]]=$D$3,"Yes",IF(Table12[[#This Row],[SAR]]=$D$4, "Yes", "No"))</f>
        <v>No</v>
      </c>
      <c r="F87" s="71">
        <f>IF(A87="M",VLOOKUP(B87,[3]AgeStdFactors!$A$2:$V$100,16),IF(A87="F",VLOOKUP(B87,[4]AgeStdFactors!$A$2:$V$101,16)))</f>
        <v>1</v>
      </c>
      <c r="G87" s="87">
        <f>IF(A87="M", Male_2020_Open_Standard/F87,IF(A87="F",Female_2020_Open_Standard/F87))</f>
        <v>9.3101851851851838E-2</v>
      </c>
      <c r="H87" s="88">
        <f t="shared" si="4"/>
        <v>134.06666666666663</v>
      </c>
      <c r="I87" s="88">
        <f>D87-H87</f>
        <v>3.6333333333333542</v>
      </c>
      <c r="J87" s="89">
        <f>I87/D87</f>
        <v>2.6385862987170331E-2</v>
      </c>
      <c r="K87" s="90">
        <f>IF(A87="M",VLOOKUP(B87,'ARRS Marathon SARs (formatted)'!$B$11:$S$97,5),IF(A87="F",VLOOKUP(B87,'ARRS Marathon SARs (formatted)'!$B$98:$S$183,5)))</f>
        <v>38459</v>
      </c>
      <c r="L87" s="71" t="str">
        <f t="shared" si="5"/>
        <v>Set before</v>
      </c>
      <c r="M87" s="91">
        <f>INDEX('2015_Road Weights'!$A:$CX,MATCH(Table12[[#This Row],[Gender]],'2015_Road Weights'!$A:$A,0),MATCH(Table12[[#This Row],[Age]],'2015_Road Weights'!$1:$1,0))</f>
        <v>0.99980000000000002</v>
      </c>
      <c r="N87" s="87">
        <f>IF(A87="M", Male_2015_Open_Standard/M87,IF(A87="F",Female_2020_Open_Standard/M87))</f>
        <v>9.3120475947041245E-2</v>
      </c>
      <c r="O87" s="88">
        <f>Table12[[#This Row],[2015_AS]]*1440</f>
        <v>134.0934853637394</v>
      </c>
    </row>
    <row r="88" spans="1:15" x14ac:dyDescent="0.55000000000000004">
      <c r="A88" s="71" t="s">
        <v>2</v>
      </c>
      <c r="B88" s="71">
        <v>32</v>
      </c>
      <c r="C88" s="87">
        <f>IF(A88="M",VLOOKUP(B88,'ARRS Marathon SARs (formatted)'!$B$11:$S$97,2),IF(A88="F",VLOOKUP(B88,'ARRS Marathon SARs (formatted)'!$B$98:$S$183,2)))</f>
        <v>9.6192129629629627E-2</v>
      </c>
      <c r="D88" s="88">
        <f t="shared" si="3"/>
        <v>138.51666666666665</v>
      </c>
      <c r="E88" s="87" t="str">
        <f>IF(Table12[[#This Row],[SAR]]=$D$3,"Yes",IF(Table12[[#This Row],[SAR]]=$D$4, "Yes", "No"))</f>
        <v>No</v>
      </c>
      <c r="F88" s="71">
        <f>IF(A88="M",VLOOKUP(B88,[3]AgeStdFactors!$A$2:$V$100,16),IF(A88="F",VLOOKUP(B88,[4]AgeStdFactors!$A$2:$V$101,16)))</f>
        <v>0.99990000000000001</v>
      </c>
      <c r="G88" s="87">
        <f>IF(A88="M", Male_2020_Open_Standard/F88,IF(A88="F",Female_2020_Open_Standard/F88))</f>
        <v>9.3111162968148656E-2</v>
      </c>
      <c r="H88" s="88">
        <f t="shared" si="4"/>
        <v>134.08007467413407</v>
      </c>
      <c r="I88" s="88">
        <f>D88-H88</f>
        <v>4.4365919925325841</v>
      </c>
      <c r="J88" s="89">
        <f>I88/D88</f>
        <v>3.2029300872573108E-2</v>
      </c>
      <c r="K88" s="90">
        <f>IF(A88="M",VLOOKUP(B88,'ARRS Marathon SARs (formatted)'!$B$11:$S$97,5),IF(A88="F",VLOOKUP(B88,'ARRS Marathon SARs (formatted)'!$B$98:$S$183,5)))</f>
        <v>43016</v>
      </c>
      <c r="L88" s="71" t="str">
        <f t="shared" si="5"/>
        <v>Set after</v>
      </c>
      <c r="M88" s="91">
        <f>INDEX('2015_Road Weights'!$A:$CX,MATCH(Table12[[#This Row],[Gender]],'2015_Road Weights'!$A:$A,0),MATCH(Table12[[#This Row],[Age]],'2015_Road Weights'!$1:$1,0))</f>
        <v>0.99890000000000001</v>
      </c>
      <c r="N88" s="87">
        <f>IF(A88="M", Male_2015_Open_Standard/M88,IF(A88="F",Female_2020_Open_Standard/M88))</f>
        <v>9.3204376666184641E-2</v>
      </c>
      <c r="O88" s="88">
        <f>Table12[[#This Row],[2015_AS]]*1440</f>
        <v>134.21430239930589</v>
      </c>
    </row>
    <row r="89" spans="1:15" x14ac:dyDescent="0.55000000000000004">
      <c r="A89" s="71" t="s">
        <v>2</v>
      </c>
      <c r="B89" s="71">
        <v>33</v>
      </c>
      <c r="C89" s="87">
        <f>IF(A89="M",VLOOKUP(B89,'ARRS Marathon SARs (formatted)'!$B$11:$S$97,2),IF(A89="F",VLOOKUP(B89,'ARRS Marathon SARs (formatted)'!$B$98:$S$183,2)))</f>
        <v>9.6238425925925922E-2</v>
      </c>
      <c r="D89" s="88">
        <f t="shared" si="3"/>
        <v>138.58333333333331</v>
      </c>
      <c r="E89" s="87" t="str">
        <f>IF(Table12[[#This Row],[SAR]]=$D$3,"Yes",IF(Table12[[#This Row],[SAR]]=$D$4, "Yes", "No"))</f>
        <v>No</v>
      </c>
      <c r="F89" s="71">
        <f>IF(A89="M",VLOOKUP(B89,[3]AgeStdFactors!$A$2:$V$100,16),IF(A89="F",VLOOKUP(B89,[4]AgeStdFactors!$A$2:$V$101,16)))</f>
        <v>0.99929999999999997</v>
      </c>
      <c r="G89" s="87">
        <f>IF(A89="M", Male_2020_Open_Standard/F89,IF(A89="F",Female_2020_Open_Standard/F89))</f>
        <v>9.3167068800011854E-2</v>
      </c>
      <c r="H89" s="88">
        <f t="shared" si="4"/>
        <v>134.16057907201707</v>
      </c>
      <c r="I89" s="88">
        <f>D89-H89</f>
        <v>4.4227542613162427</v>
      </c>
      <c r="J89" s="89">
        <f>I89/D89</f>
        <v>3.1914041572937417E-2</v>
      </c>
      <c r="K89" s="90">
        <f>IF(A89="M",VLOOKUP(B89,'ARRS Marathon SARs (formatted)'!$B$11:$S$97,5),IF(A89="F",VLOOKUP(B89,'ARRS Marathon SARs (formatted)'!$B$98:$S$183,5)))</f>
        <v>43359</v>
      </c>
      <c r="L89" s="71" t="str">
        <f t="shared" si="5"/>
        <v>Set after</v>
      </c>
      <c r="M89" s="91">
        <f>INDEX('2015_Road Weights'!$A:$CX,MATCH(Table12[[#This Row],[Gender]],'2015_Road Weights'!$A:$A,0),MATCH(Table12[[#This Row],[Age]],'2015_Road Weights'!$1:$1,0))</f>
        <v>0.99739999999999995</v>
      </c>
      <c r="N89" s="87">
        <f>IF(A89="M", Male_2015_Open_Standard/M89,IF(A89="F",Female_2020_Open_Standard/M89))</f>
        <v>9.334454767580895E-2</v>
      </c>
      <c r="O89" s="88">
        <f>Table12[[#This Row],[2015_AS]]*1440</f>
        <v>134.4161486531649</v>
      </c>
    </row>
    <row r="90" spans="1:15" x14ac:dyDescent="0.55000000000000004">
      <c r="A90" s="71" t="s">
        <v>2</v>
      </c>
      <c r="B90" s="71">
        <v>34</v>
      </c>
      <c r="C90" s="87">
        <f>IF(A90="M",VLOOKUP(B90,'ARRS Marathon SARs (formatted)'!$B$11:$S$97,2),IF(A90="F",VLOOKUP(B90,'ARRS Marathon SARs (formatted)'!$B$98:$S$183,2)))</f>
        <v>9.6192129629629627E-2</v>
      </c>
      <c r="D90" s="88">
        <f t="shared" si="3"/>
        <v>138.51666666666665</v>
      </c>
      <c r="E90" s="87" t="str">
        <f>IF(Table12[[#This Row],[SAR]]=$D$3,"Yes",IF(Table12[[#This Row],[SAR]]=$D$4, "Yes", "No"))</f>
        <v>No</v>
      </c>
      <c r="F90" s="71">
        <f>IF(A90="M",VLOOKUP(B90,[3]AgeStdFactors!$A$2:$V$100,16),IF(A90="F",VLOOKUP(B90,[4]AgeStdFactors!$A$2:$V$101,16)))</f>
        <v>0.99809999999999999</v>
      </c>
      <c r="G90" s="87">
        <f>IF(A90="M", Male_2020_Open_Standard/F90,IF(A90="F",Female_2020_Open_Standard/F90))</f>
        <v>9.3279082107856764E-2</v>
      </c>
      <c r="H90" s="88">
        <f t="shared" si="4"/>
        <v>134.32187823531373</v>
      </c>
      <c r="I90" s="88">
        <f>D90-H90</f>
        <v>4.1947884313529187</v>
      </c>
      <c r="J90" s="89">
        <f>I90/D90</f>
        <v>3.0283636852505732E-2</v>
      </c>
      <c r="K90" s="90">
        <f>IF(A90="M",VLOOKUP(B90,'ARRS Marathon SARs (formatted)'!$B$11:$S$97,5),IF(A90="F",VLOOKUP(B90,'ARRS Marathon SARs (formatted)'!$B$98:$S$183,5)))</f>
        <v>43212</v>
      </c>
      <c r="L90" s="71" t="str">
        <f t="shared" si="5"/>
        <v>Set after</v>
      </c>
      <c r="M90" s="91">
        <f>INDEX('2015_Road Weights'!$A:$CX,MATCH(Table12[[#This Row],[Gender]],'2015_Road Weights'!$A:$A,0),MATCH(Table12[[#This Row],[Age]],'2015_Road Weights'!$1:$1,0))</f>
        <v>0.99529999999999996</v>
      </c>
      <c r="N90" s="87">
        <f>IF(A90="M", Male_2015_Open_Standard/M90,IF(A90="F",Female_2020_Open_Standard/M90))</f>
        <v>9.3541496887221784E-2</v>
      </c>
      <c r="O90" s="88">
        <f>Table12[[#This Row],[2015_AS]]*1440</f>
        <v>134.69975551759936</v>
      </c>
    </row>
    <row r="91" spans="1:15" x14ac:dyDescent="0.55000000000000004">
      <c r="A91" s="71" t="s">
        <v>2</v>
      </c>
      <c r="B91" s="71">
        <v>35</v>
      </c>
      <c r="C91" s="87">
        <f>IF(A91="M",VLOOKUP(B91,'ARRS Marathon SARs (formatted)'!$B$11:$S$97,2),IF(A91="F",VLOOKUP(B91,'ARRS Marathon SARs (formatted)'!$B$98:$S$183,2)))</f>
        <v>9.5150462962962964E-2</v>
      </c>
      <c r="D91" s="88">
        <f t="shared" si="3"/>
        <v>137.01666666666668</v>
      </c>
      <c r="E91" s="87" t="str">
        <f>IF(Table12[[#This Row],[SAR]]=$D$3,"Yes",IF(Table12[[#This Row],[SAR]]=$D$4, "Yes", "No"))</f>
        <v>No</v>
      </c>
      <c r="F91" s="71">
        <f>IF(A91="M",VLOOKUP(B91,[3]AgeStdFactors!$A$2:$V$100,16),IF(A91="F",VLOOKUP(B91,[4]AgeStdFactors!$A$2:$V$101,16)))</f>
        <v>0.99609999999999999</v>
      </c>
      <c r="G91" s="87">
        <f>IF(A91="M", Male_2020_Open_Standard/F91,IF(A91="F",Female_2020_Open_Standard/F91))</f>
        <v>9.3466370697572368E-2</v>
      </c>
      <c r="H91" s="88">
        <f t="shared" si="4"/>
        <v>134.59157380450421</v>
      </c>
      <c r="I91" s="88">
        <f>D91-H91</f>
        <v>2.4250928621624723</v>
      </c>
      <c r="J91" s="89">
        <f>I91/D91</f>
        <v>1.7699254559025462E-2</v>
      </c>
      <c r="K91" s="90">
        <f>IF(A91="M",VLOOKUP(B91,'ARRS Marathon SARs (formatted)'!$B$11:$S$97,5),IF(A91="F",VLOOKUP(B91,'ARRS Marathon SARs (formatted)'!$B$98:$S$183,5)))</f>
        <v>42848</v>
      </c>
      <c r="L91" s="71" t="str">
        <f t="shared" si="5"/>
        <v>Set after</v>
      </c>
      <c r="M91" s="91">
        <f>INDEX('2015_Road Weights'!$A:$CX,MATCH(Table12[[#This Row],[Gender]],'2015_Road Weights'!$A:$A,0),MATCH(Table12[[#This Row],[Age]],'2015_Road Weights'!$1:$1,0))</f>
        <v>0.99260000000000004</v>
      </c>
      <c r="N91" s="87">
        <f>IF(A91="M", Male_2015_Open_Standard/M91,IF(A91="F",Female_2020_Open_Standard/M91))</f>
        <v>9.3795941821329679E-2</v>
      </c>
      <c r="O91" s="88">
        <f>Table12[[#This Row],[2015_AS]]*1440</f>
        <v>135.06615622271474</v>
      </c>
    </row>
    <row r="92" spans="1:15" x14ac:dyDescent="0.55000000000000004">
      <c r="A92" s="71" t="s">
        <v>2</v>
      </c>
      <c r="B92" s="71">
        <v>36</v>
      </c>
      <c r="C92" s="87">
        <f>IF(A92="M",VLOOKUP(B92,'ARRS Marathon SARs (formatted)'!$B$11:$S$97,2),IF(A92="F",VLOOKUP(B92,'ARRS Marathon SARs (formatted)'!$B$98:$S$183,2)))</f>
        <v>9.673611111111112E-2</v>
      </c>
      <c r="D92" s="88">
        <f t="shared" si="3"/>
        <v>139.30000000000001</v>
      </c>
      <c r="E92" s="87" t="str">
        <f>IF(Table12[[#This Row],[SAR]]=$D$3,"Yes",IF(Table12[[#This Row],[SAR]]=$D$4, "Yes", "No"))</f>
        <v>No</v>
      </c>
      <c r="F92" s="71">
        <f>IF(A92="M",VLOOKUP(B92,[3]AgeStdFactors!$A$2:$V$100,16),IF(A92="F",VLOOKUP(B92,[4]AgeStdFactors!$A$2:$V$101,16)))</f>
        <v>0.99350000000000005</v>
      </c>
      <c r="G92" s="87">
        <f>IF(A92="M", Male_2020_Open_Standard/F92,IF(A92="F",Female_2020_Open_Standard/F92))</f>
        <v>9.3710973177505624E-2</v>
      </c>
      <c r="H92" s="88">
        <f t="shared" si="4"/>
        <v>134.9438013756081</v>
      </c>
      <c r="I92" s="88">
        <f>D92-H92</f>
        <v>4.356198624391908</v>
      </c>
      <c r="J92" s="89">
        <f>I92/D92</f>
        <v>3.1272064783861506E-2</v>
      </c>
      <c r="K92" s="90">
        <f>IF(A92="M",VLOOKUP(B92,'ARRS Marathon SARs (formatted)'!$B$11:$S$97,5),IF(A92="F",VLOOKUP(B92,'ARRS Marathon SARs (formatted)'!$B$98:$S$183,5)))</f>
        <v>39719</v>
      </c>
      <c r="L92" s="71" t="str">
        <f t="shared" si="5"/>
        <v>Set before</v>
      </c>
      <c r="M92" s="91">
        <f>INDEX('2015_Road Weights'!$A:$CX,MATCH(Table12[[#This Row],[Gender]],'2015_Road Weights'!$A:$A,0),MATCH(Table12[[#This Row],[Age]],'2015_Road Weights'!$1:$1,0))</f>
        <v>0.98929999999999996</v>
      </c>
      <c r="N92" s="87">
        <f>IF(A92="M", Male_2015_Open_Standard/M92,IF(A92="F",Female_2020_Open_Standard/M92))</f>
        <v>9.4108816185031682E-2</v>
      </c>
      <c r="O92" s="88">
        <f>Table12[[#This Row],[2015_AS]]*1440</f>
        <v>135.51669530644563</v>
      </c>
    </row>
    <row r="93" spans="1:15" x14ac:dyDescent="0.55000000000000004">
      <c r="A93" s="71" t="s">
        <v>2</v>
      </c>
      <c r="B93" s="71">
        <v>37</v>
      </c>
      <c r="C93" s="87">
        <f>IF(A93="M",VLOOKUP(B93,'ARRS Marathon SARs (formatted)'!$B$11:$S$97,2),IF(A93="F",VLOOKUP(B93,'ARRS Marathon SARs (formatted)'!$B$98:$S$183,2)))</f>
        <v>9.825231481481482E-2</v>
      </c>
      <c r="D93" s="88">
        <f t="shared" si="3"/>
        <v>141.48333333333335</v>
      </c>
      <c r="E93" s="87" t="str">
        <f>IF(Table12[[#This Row],[SAR]]=$D$3,"Yes",IF(Table12[[#This Row],[SAR]]=$D$4, "Yes", "No"))</f>
        <v>No</v>
      </c>
      <c r="F93" s="71">
        <f>IF(A93="M",VLOOKUP(B93,[3]AgeStdFactors!$A$2:$V$100,16),IF(A93="F",VLOOKUP(B93,[4]AgeStdFactors!$A$2:$V$101,16)))</f>
        <v>0.99019999999999997</v>
      </c>
      <c r="G93" s="87">
        <f>IF(A93="M", Male_2020_Open_Standard/F93,IF(A93="F",Female_2020_Open_Standard/F93))</f>
        <v>9.4023279995810782E-2</v>
      </c>
      <c r="H93" s="88">
        <f t="shared" si="4"/>
        <v>135.39352319396752</v>
      </c>
      <c r="I93" s="88">
        <f>D93-H93</f>
        <v>6.0898101393658237</v>
      </c>
      <c r="J93" s="89">
        <f>I93/D93</f>
        <v>4.3042597286129039E-2</v>
      </c>
      <c r="K93" s="90">
        <f>IF(A93="M",VLOOKUP(B93,'ARRS Marathon SARs (formatted)'!$B$11:$S$97,5),IF(A93="F",VLOOKUP(B93,'ARRS Marathon SARs (formatted)'!$B$98:$S$183,5)))</f>
        <v>38830</v>
      </c>
      <c r="L93" s="71" t="str">
        <f t="shared" si="5"/>
        <v>Set before</v>
      </c>
      <c r="M93" s="91">
        <f>INDEX('2015_Road Weights'!$A:$CX,MATCH(Table12[[#This Row],[Gender]],'2015_Road Weights'!$A:$A,0),MATCH(Table12[[#This Row],[Age]],'2015_Road Weights'!$1:$1,0))</f>
        <v>0.98540000000000005</v>
      </c>
      <c r="N93" s="87">
        <f>IF(A93="M", Male_2015_Open_Standard/M93,IF(A93="F",Female_2020_Open_Standard/M93))</f>
        <v>9.4481278518217818E-2</v>
      </c>
      <c r="O93" s="88">
        <f>Table12[[#This Row],[2015_AS]]*1440</f>
        <v>136.05304106623365</v>
      </c>
    </row>
    <row r="94" spans="1:15" x14ac:dyDescent="0.55000000000000004">
      <c r="A94" s="71" t="s">
        <v>2</v>
      </c>
      <c r="B94" s="71">
        <v>38</v>
      </c>
      <c r="C94" s="87">
        <f>IF(A94="M",VLOOKUP(B94,'ARRS Marathon SARs (formatted)'!$B$11:$S$97,2),IF(A94="F",VLOOKUP(B94,'ARRS Marathon SARs (formatted)'!$B$98:$S$183,2)))</f>
        <v>9.8125000000000004E-2</v>
      </c>
      <c r="D94" s="88">
        <f t="shared" si="3"/>
        <v>141.30000000000001</v>
      </c>
      <c r="E94" s="87" t="str">
        <f>IF(Table12[[#This Row],[SAR]]=$D$3,"Yes",IF(Table12[[#This Row],[SAR]]=$D$4, "Yes", "No"))</f>
        <v>No</v>
      </c>
      <c r="F94" s="71">
        <f>IF(A94="M",VLOOKUP(B94,[3]AgeStdFactors!$A$2:$V$100,16),IF(A94="F",VLOOKUP(B94,[4]AgeStdFactors!$A$2:$V$101,16)))</f>
        <v>0.98619999999999997</v>
      </c>
      <c r="G94" s="87">
        <f>IF(A94="M", Male_2020_Open_Standard/F94,IF(A94="F",Female_2020_Open_Standard/F94))</f>
        <v>9.4404635826254149E-2</v>
      </c>
      <c r="H94" s="88">
        <f t="shared" si="4"/>
        <v>135.94267558980599</v>
      </c>
      <c r="I94" s="88">
        <f>D94-H94</f>
        <v>5.3573244101940247</v>
      </c>
      <c r="J94" s="89">
        <f>I94/D94</f>
        <v>3.791453935027618E-2</v>
      </c>
      <c r="K94" s="90">
        <f>IF(A94="M",VLOOKUP(B94,'ARRS Marathon SARs (formatted)'!$B$11:$S$97,5),IF(A94="F",VLOOKUP(B94,'ARRS Marathon SARs (formatted)'!$B$98:$S$183,5)))</f>
        <v>43359</v>
      </c>
      <c r="L94" s="71" t="str">
        <f t="shared" si="5"/>
        <v>Set after</v>
      </c>
      <c r="M94" s="91">
        <f>INDEX('2015_Road Weights'!$A:$CX,MATCH(Table12[[#This Row],[Gender]],'2015_Road Weights'!$A:$A,0),MATCH(Table12[[#This Row],[Age]],'2015_Road Weights'!$1:$1,0))</f>
        <v>0.98080000000000001</v>
      </c>
      <c r="N94" s="87">
        <f>IF(A94="M", Male_2015_Open_Standard/M94,IF(A94="F",Female_2020_Open_Standard/M94))</f>
        <v>9.4924400338348119E-2</v>
      </c>
      <c r="O94" s="88">
        <f>Table12[[#This Row],[2015_AS]]*1440</f>
        <v>136.69113648722129</v>
      </c>
    </row>
    <row r="95" spans="1:15" x14ac:dyDescent="0.55000000000000004">
      <c r="A95" s="71" t="s">
        <v>2</v>
      </c>
      <c r="B95" s="71">
        <v>39</v>
      </c>
      <c r="C95" s="87">
        <f>IF(A95="M",VLOOKUP(B95,'ARRS Marathon SARs (formatted)'!$B$11:$S$97,2),IF(A95="F",VLOOKUP(B95,'ARRS Marathon SARs (formatted)'!$B$98:$S$183,2)))</f>
        <v>9.8750000000000004E-2</v>
      </c>
      <c r="D95" s="88">
        <f t="shared" si="3"/>
        <v>142.20000000000002</v>
      </c>
      <c r="E95" s="87" t="str">
        <f>IF(Table12[[#This Row],[SAR]]=$D$3,"Yes",IF(Table12[[#This Row],[SAR]]=$D$4, "Yes", "No"))</f>
        <v>No</v>
      </c>
      <c r="F95" s="71">
        <f>IF(A95="M",VLOOKUP(B95,[3]AgeStdFactors!$A$2:$V$100,16),IF(A95="F",VLOOKUP(B95,[4]AgeStdFactors!$A$2:$V$101,16)))</f>
        <v>0.98150000000000004</v>
      </c>
      <c r="G95" s="87">
        <f>IF(A95="M", Male_2020_Open_Standard/F95,IF(A95="F",Female_2020_Open_Standard/F95))</f>
        <v>9.4856700816965706E-2</v>
      </c>
      <c r="H95" s="88">
        <f t="shared" si="4"/>
        <v>136.5936491764306</v>
      </c>
      <c r="I95" s="88">
        <f>D95-H95</f>
        <v>5.6063508235694144</v>
      </c>
      <c r="J95" s="89">
        <f>I95/D95</f>
        <v>3.9425814511739897E-2</v>
      </c>
      <c r="K95" s="90">
        <f>IF(A95="M",VLOOKUP(B95,'ARRS Marathon SARs (formatted)'!$B$11:$S$97,5),IF(A95="F",VLOOKUP(B95,'ARRS Marathon SARs (formatted)'!$B$98:$S$183,5)))</f>
        <v>43562</v>
      </c>
      <c r="L95" s="71" t="str">
        <f t="shared" si="5"/>
        <v>Set after</v>
      </c>
      <c r="M95" s="91">
        <f>INDEX('2015_Road Weights'!$A:$CX,MATCH(Table12[[#This Row],[Gender]],'2015_Road Weights'!$A:$A,0),MATCH(Table12[[#This Row],[Age]],'2015_Road Weights'!$1:$1,0))</f>
        <v>0.97570000000000001</v>
      </c>
      <c r="N95" s="87">
        <f>IF(A95="M", Male_2015_Open_Standard/M95,IF(A95="F",Female_2020_Open_Standard/M95))</f>
        <v>9.5420571745261695E-2</v>
      </c>
      <c r="O95" s="88">
        <f>Table12[[#This Row],[2015_AS]]*1440</f>
        <v>137.40562331317685</v>
      </c>
    </row>
    <row r="96" spans="1:15" x14ac:dyDescent="0.55000000000000004">
      <c r="A96" s="71" t="s">
        <v>2</v>
      </c>
      <c r="B96" s="71">
        <v>40</v>
      </c>
      <c r="C96" s="87">
        <f>IF(A96="M",VLOOKUP(B96,'ARRS Marathon SARs (formatted)'!$B$11:$S$97,2),IF(A96="F",VLOOKUP(B96,'ARRS Marathon SARs (formatted)'!$B$98:$S$183,2)))</f>
        <v>9.9664351851851851E-2</v>
      </c>
      <c r="D96" s="88">
        <f t="shared" si="3"/>
        <v>143.51666666666665</v>
      </c>
      <c r="E96" s="87" t="str">
        <f>IF(Table12[[#This Row],[SAR]]=$D$3,"Yes",IF(Table12[[#This Row],[SAR]]=$D$4, "Yes", "No"))</f>
        <v>No</v>
      </c>
      <c r="F96" s="71">
        <f>IF(A96="M",VLOOKUP(B96,[3]AgeStdFactors!$A$2:$V$100,16),IF(A96="F",VLOOKUP(B96,[4]AgeStdFactors!$A$2:$V$101,16)))</f>
        <v>0.97619999999999996</v>
      </c>
      <c r="G96" s="87">
        <f>IF(A96="M", Male_2020_Open_Standard/F96,IF(A96="F",Female_2020_Open_Standard/F96))</f>
        <v>9.5371698270694374E-2</v>
      </c>
      <c r="H96" s="88">
        <f t="shared" si="4"/>
        <v>137.3352455097999</v>
      </c>
      <c r="I96" s="88">
        <f>D96-H96</f>
        <v>6.1814211568667474</v>
      </c>
      <c r="J96" s="89">
        <f>I96/D96</f>
        <v>4.3071103171757621E-2</v>
      </c>
      <c r="K96" s="90">
        <f>IF(A96="M",VLOOKUP(B96,'ARRS Marathon SARs (formatted)'!$B$11:$S$97,5),IF(A96="F",VLOOKUP(B96,'ARRS Marathon SARs (formatted)'!$B$98:$S$183,5)))</f>
        <v>43051</v>
      </c>
      <c r="L96" s="71" t="str">
        <f t="shared" si="5"/>
        <v>Set after</v>
      </c>
      <c r="M96" s="91">
        <f>INDEX('2015_Road Weights'!$A:$CX,MATCH(Table12[[#This Row],[Gender]],'2015_Road Weights'!$A:$A,0),MATCH(Table12[[#This Row],[Age]],'2015_Road Weights'!$1:$1,0))</f>
        <v>0.96989999999999998</v>
      </c>
      <c r="N96" s="87">
        <f>IF(A96="M", Male_2015_Open_Standard/M96,IF(A96="F",Female_2020_Open_Standard/M96))</f>
        <v>9.5991186567534637E-2</v>
      </c>
      <c r="O96" s="88">
        <f>Table12[[#This Row],[2015_AS]]*1440</f>
        <v>138.22730865724986</v>
      </c>
    </row>
    <row r="97" spans="1:15" x14ac:dyDescent="0.55000000000000004">
      <c r="A97" s="71" t="s">
        <v>2</v>
      </c>
      <c r="B97" s="71">
        <v>41</v>
      </c>
      <c r="C97" s="87">
        <f>IF(A97="M",VLOOKUP(B97,'ARRS Marathon SARs (formatted)'!$B$11:$S$97,2),IF(A97="F",VLOOKUP(B97,'ARRS Marathon SARs (formatted)'!$B$98:$S$183,2)))</f>
        <v>9.8738425925925924E-2</v>
      </c>
      <c r="D97" s="88">
        <f t="shared" si="3"/>
        <v>142.18333333333334</v>
      </c>
      <c r="E97" s="87" t="str">
        <f>IF(Table12[[#This Row],[SAR]]=$D$3,"Yes",IF(Table12[[#This Row],[SAR]]=$D$4, "Yes", "No"))</f>
        <v>No</v>
      </c>
      <c r="F97" s="71">
        <f>IF(A97="M",VLOOKUP(B97,[3]AgeStdFactors!$A$2:$V$100,16),IF(A97="F",VLOOKUP(B97,[4]AgeStdFactors!$A$2:$V$101,16)))</f>
        <v>0.97019999999999995</v>
      </c>
      <c r="G97" s="87">
        <f>IF(A97="M", Male_2020_Open_Standard/F97,IF(A97="F",Female_2020_Open_Standard/F97))</f>
        <v>9.596150469166341E-2</v>
      </c>
      <c r="H97" s="88">
        <f t="shared" si="4"/>
        <v>138.18456675599532</v>
      </c>
      <c r="I97" s="88">
        <f>D97-H97</f>
        <v>3.9987665773380172</v>
      </c>
      <c r="J97" s="89">
        <f>I97/D97</f>
        <v>2.8124017657986288E-2</v>
      </c>
      <c r="K97" s="90">
        <f>IF(A97="M",VLOOKUP(B97,'ARRS Marathon SARs (formatted)'!$B$11:$S$97,5),IF(A97="F",VLOOKUP(B97,'ARRS Marathon SARs (formatted)'!$B$98:$S$183,5)))</f>
        <v>43436</v>
      </c>
      <c r="L97" s="71" t="str">
        <f t="shared" si="5"/>
        <v>Set after</v>
      </c>
      <c r="M97" s="91">
        <f>INDEX('2015_Road Weights'!$A:$CX,MATCH(Table12[[#This Row],[Gender]],'2015_Road Weights'!$A:$A,0),MATCH(Table12[[#This Row],[Age]],'2015_Road Weights'!$1:$1,0))</f>
        <v>0.96350000000000002</v>
      </c>
      <c r="N97" s="87">
        <f>IF(A97="M", Male_2015_Open_Standard/M97,IF(A97="F",Female_2020_Open_Standard/M97))</f>
        <v>9.6628803167464278E-2</v>
      </c>
      <c r="O97" s="88">
        <f>Table12[[#This Row],[2015_AS]]*1440</f>
        <v>139.14547656114857</v>
      </c>
    </row>
    <row r="98" spans="1:15" x14ac:dyDescent="0.55000000000000004">
      <c r="A98" s="71" t="s">
        <v>2</v>
      </c>
      <c r="B98" s="71">
        <v>42</v>
      </c>
      <c r="C98" s="87">
        <f>IF(A98="M",VLOOKUP(B98,'ARRS Marathon SARs (formatted)'!$B$11:$S$97,2),IF(A98="F",VLOOKUP(B98,'ARRS Marathon SARs (formatted)'!$B$98:$S$183,2)))</f>
        <v>0.10012731481481481</v>
      </c>
      <c r="D98" s="88">
        <f t="shared" si="3"/>
        <v>144.18333333333334</v>
      </c>
      <c r="E98" s="87" t="str">
        <f>IF(Table12[[#This Row],[SAR]]=$D$3,"Yes",IF(Table12[[#This Row],[SAR]]=$D$4, "Yes", "No"))</f>
        <v>No</v>
      </c>
      <c r="F98" s="71">
        <f>IF(A98="M",VLOOKUP(B98,[3]AgeStdFactors!$A$2:$V$100,16),IF(A98="F",VLOOKUP(B98,[4]AgeStdFactors!$A$2:$V$101,16)))</f>
        <v>0.96350000000000002</v>
      </c>
      <c r="G98" s="87">
        <f>IF(A98="M", Male_2020_Open_Standard/F98,IF(A98="F",Female_2020_Open_Standard/F98))</f>
        <v>9.6628803167464278E-2</v>
      </c>
      <c r="H98" s="88">
        <f t="shared" si="4"/>
        <v>139.14547656114857</v>
      </c>
      <c r="I98" s="88">
        <f>D98-H98</f>
        <v>5.0378567721847674</v>
      </c>
      <c r="J98" s="89">
        <f>I98/D98</f>
        <v>3.4940631872741421E-2</v>
      </c>
      <c r="K98" s="90">
        <f>IF(A98="M",VLOOKUP(B98,'ARRS Marathon SARs (formatted)'!$B$11:$S$97,5),IF(A98="F",VLOOKUP(B98,'ARRS Marathon SARs (formatted)'!$B$98:$S$183,5)))</f>
        <v>43583</v>
      </c>
      <c r="L98" s="71" t="str">
        <f t="shared" si="5"/>
        <v>Set after</v>
      </c>
      <c r="M98" s="91">
        <f>INDEX('2015_Road Weights'!$A:$CX,MATCH(Table12[[#This Row],[Gender]],'2015_Road Weights'!$A:$A,0),MATCH(Table12[[#This Row],[Age]],'2015_Road Weights'!$1:$1,0))</f>
        <v>0.95650000000000002</v>
      </c>
      <c r="N98" s="87">
        <f>IF(A98="M", Male_2015_Open_Standard/M98,IF(A98="F",Female_2020_Open_Standard/M98))</f>
        <v>9.7335966389808501E-2</v>
      </c>
      <c r="O98" s="88">
        <f>Table12[[#This Row],[2015_AS]]*1440</f>
        <v>140.16379160132425</v>
      </c>
    </row>
    <row r="99" spans="1:15" x14ac:dyDescent="0.55000000000000004">
      <c r="A99" s="71" t="s">
        <v>2</v>
      </c>
      <c r="B99" s="71">
        <v>43</v>
      </c>
      <c r="C99" s="87">
        <f>IF(A99="M",VLOOKUP(B99,'ARRS Marathon SARs (formatted)'!$B$11:$S$97,2),IF(A99="F",VLOOKUP(B99,'ARRS Marathon SARs (formatted)'!$B$98:$S$183,2)))</f>
        <v>0.10376157407407409</v>
      </c>
      <c r="D99" s="88">
        <f t="shared" si="3"/>
        <v>149.41666666666669</v>
      </c>
      <c r="E99" s="87" t="str">
        <f>IF(Table12[[#This Row],[SAR]]=$D$3,"Yes",IF(Table12[[#This Row],[SAR]]=$D$4, "Yes", "No"))</f>
        <v>No</v>
      </c>
      <c r="F99" s="71">
        <f>IF(A99="M",VLOOKUP(B99,[3]AgeStdFactors!$A$2:$V$100,16),IF(A99="F",VLOOKUP(B99,[4]AgeStdFactors!$A$2:$V$101,16)))</f>
        <v>0.95620000000000005</v>
      </c>
      <c r="G99" s="87">
        <f>IF(A99="M", Male_2020_Open_Standard/F99,IF(A99="F",Female_2020_Open_Standard/F99))</f>
        <v>9.7366504760355396E-2</v>
      </c>
      <c r="H99" s="88">
        <f t="shared" si="4"/>
        <v>140.20776685491177</v>
      </c>
      <c r="I99" s="88">
        <f>D99-H99</f>
        <v>9.2088998117549181</v>
      </c>
      <c r="J99" s="89">
        <f>I99/D99</f>
        <v>6.1632346760211378E-2</v>
      </c>
      <c r="K99" s="90">
        <f>IF(A99="M",VLOOKUP(B99,'ARRS Marathon SARs (formatted)'!$B$11:$S$97,5),IF(A99="F",VLOOKUP(B99,'ARRS Marathon SARs (formatted)'!$B$98:$S$183,5)))</f>
        <v>36079</v>
      </c>
      <c r="L99" s="71" t="str">
        <f t="shared" si="5"/>
        <v>Set before</v>
      </c>
      <c r="M99" s="91">
        <f>INDEX('2015_Road Weights'!$A:$CX,MATCH(Table12[[#This Row],[Gender]],'2015_Road Weights'!$A:$A,0),MATCH(Table12[[#This Row],[Age]],'2015_Road Weights'!$1:$1,0))</f>
        <v>0.94889999999999997</v>
      </c>
      <c r="N99" s="87">
        <f>IF(A99="M", Male_2015_Open_Standard/M99,IF(A99="F",Female_2020_Open_Standard/M99))</f>
        <v>9.8115556804565116E-2</v>
      </c>
      <c r="O99" s="88">
        <f>Table12[[#This Row],[2015_AS]]*1440</f>
        <v>141.28640179857376</v>
      </c>
    </row>
    <row r="100" spans="1:15" x14ac:dyDescent="0.55000000000000004">
      <c r="A100" s="71" t="s">
        <v>2</v>
      </c>
      <c r="B100" s="71">
        <v>44</v>
      </c>
      <c r="C100" s="87">
        <f>IF(A100="M",VLOOKUP(B100,'ARRS Marathon SARs (formatted)'!$B$11:$S$97,2),IF(A100="F",VLOOKUP(B100,'ARRS Marathon SARs (formatted)'!$B$98:$S$183,2)))</f>
        <v>0.10396990740740741</v>
      </c>
      <c r="D100" s="88">
        <f t="shared" si="3"/>
        <v>149.71666666666667</v>
      </c>
      <c r="E100" s="87" t="str">
        <f>IF(Table12[[#This Row],[SAR]]=$D$3,"Yes",IF(Table12[[#This Row],[SAR]]=$D$4, "Yes", "No"))</f>
        <v>No</v>
      </c>
      <c r="F100" s="71">
        <f>IF(A100="M",VLOOKUP(B100,[3]AgeStdFactors!$A$2:$V$100,16),IF(A100="F",VLOOKUP(B100,[4]AgeStdFactors!$A$2:$V$101,16)))</f>
        <v>0.94820000000000004</v>
      </c>
      <c r="G100" s="87">
        <f>IF(A100="M", Male_2020_Open_Standard/F100,IF(A100="F",Female_2020_Open_Standard/F100))</f>
        <v>9.818798971931221E-2</v>
      </c>
      <c r="H100" s="88">
        <f t="shared" si="4"/>
        <v>141.39070519580957</v>
      </c>
      <c r="I100" s="88">
        <f>D100-H100</f>
        <v>8.325961470857095</v>
      </c>
      <c r="J100" s="89">
        <f>I100/D100</f>
        <v>5.5611453662632274E-2</v>
      </c>
      <c r="K100" s="90">
        <f>IF(A100="M",VLOOKUP(B100,'ARRS Marathon SARs (formatted)'!$B$11:$S$97,5),IF(A100="F",VLOOKUP(B100,'ARRS Marathon SARs (formatted)'!$B$98:$S$183,5)))</f>
        <v>30080</v>
      </c>
      <c r="L100" s="71" t="str">
        <f t="shared" si="5"/>
        <v>Set before</v>
      </c>
      <c r="M100" s="91">
        <f>INDEX('2015_Road Weights'!$A:$CX,MATCH(Table12[[#This Row],[Gender]],'2015_Road Weights'!$A:$A,0),MATCH(Table12[[#This Row],[Age]],'2015_Road Weights'!$1:$1,0))</f>
        <v>0.94059999999999999</v>
      </c>
      <c r="N100" s="87">
        <f>IF(A100="M", Male_2015_Open_Standard/M100,IF(A100="F",Female_2020_Open_Standard/M100))</f>
        <v>9.8981343665587751E-2</v>
      </c>
      <c r="O100" s="88">
        <f>Table12[[#This Row],[2015_AS]]*1440</f>
        <v>142.53313487844636</v>
      </c>
    </row>
    <row r="101" spans="1:15" x14ac:dyDescent="0.55000000000000004">
      <c r="A101" s="71" t="s">
        <v>2</v>
      </c>
      <c r="B101" s="71">
        <v>45</v>
      </c>
      <c r="C101" s="87">
        <f>IF(A101="M",VLOOKUP(B101,'ARRS Marathon SARs (formatted)'!$B$11:$S$97,2),IF(A101="F",VLOOKUP(B101,'ARRS Marathon SARs (formatted)'!$B$98:$S$183,2)))</f>
        <v>0.10317129629629629</v>
      </c>
      <c r="D101" s="88">
        <f t="shared" si="3"/>
        <v>148.56666666666666</v>
      </c>
      <c r="E101" s="87" t="str">
        <f>IF(Table12[[#This Row],[SAR]]=$D$3,"Yes",IF(Table12[[#This Row],[SAR]]=$D$4, "Yes", "No"))</f>
        <v>No</v>
      </c>
      <c r="F101" s="71">
        <f>IF(A101="M",VLOOKUP(B101,[3]AgeStdFactors!$A$2:$V$100,16),IF(A101="F",VLOOKUP(B101,[4]AgeStdFactors!$A$2:$V$101,16)))</f>
        <v>0.9395</v>
      </c>
      <c r="G101" s="87">
        <f>IF(A101="M", Male_2020_Open_Standard/F101,IF(A101="F",Female_2020_Open_Standard/F101))</f>
        <v>9.9097234541619839E-2</v>
      </c>
      <c r="H101" s="88">
        <f t="shared" si="4"/>
        <v>142.70001773993258</v>
      </c>
      <c r="I101" s="88">
        <f>D101-H101</f>
        <v>5.8666489267340864</v>
      </c>
      <c r="J101" s="89">
        <f>I101/D101</f>
        <v>3.9488325735252995E-2</v>
      </c>
      <c r="K101" s="90">
        <f>IF(A101="M",VLOOKUP(B101,'ARRS Marathon SARs (formatted)'!$B$11:$S$97,5),IF(A101="F",VLOOKUP(B101,'ARRS Marathon SARs (formatted)'!$B$98:$S$183,5)))</f>
        <v>43002</v>
      </c>
      <c r="L101" s="71" t="str">
        <f t="shared" si="5"/>
        <v>Set after</v>
      </c>
      <c r="M101" s="91">
        <f>INDEX('2015_Road Weights'!$A:$CX,MATCH(Table12[[#This Row],[Gender]],'2015_Road Weights'!$A:$A,0),MATCH(Table12[[#This Row],[Age]],'2015_Road Weights'!$1:$1,0))</f>
        <v>0.93179999999999996</v>
      </c>
      <c r="N101" s="87">
        <f>IF(A101="M", Male_2015_Open_Standard/M101,IF(A101="F",Female_2020_Open_Standard/M101))</f>
        <v>9.9916132058222626E-2</v>
      </c>
      <c r="O101" s="88">
        <f>Table12[[#This Row],[2015_AS]]*1440</f>
        <v>143.87923016384059</v>
      </c>
    </row>
    <row r="102" spans="1:15" x14ac:dyDescent="0.55000000000000004">
      <c r="A102" s="71" t="s">
        <v>2</v>
      </c>
      <c r="B102" s="71">
        <v>46</v>
      </c>
      <c r="C102" s="87">
        <f>IF(A102="M",VLOOKUP(B102,'ARRS Marathon SARs (formatted)'!$B$11:$S$97,2),IF(A102="F",VLOOKUP(B102,'ARRS Marathon SARs (formatted)'!$B$98:$S$183,2)))</f>
        <v>0.1044675925925926</v>
      </c>
      <c r="D102" s="88">
        <f t="shared" si="3"/>
        <v>150.43333333333334</v>
      </c>
      <c r="E102" s="87" t="str">
        <f>IF(Table12[[#This Row],[SAR]]=$D$3,"Yes",IF(Table12[[#This Row],[SAR]]=$D$4, "Yes", "No"))</f>
        <v>No</v>
      </c>
      <c r="F102" s="71">
        <f>IF(A102="M",VLOOKUP(B102,[3]AgeStdFactors!$A$2:$V$100,16),IF(A102="F",VLOOKUP(B102,[4]AgeStdFactors!$A$2:$V$101,16)))</f>
        <v>0.93010000000000004</v>
      </c>
      <c r="G102" s="87">
        <f>IF(A102="M", Male_2020_Open_Standard/F102,IF(A102="F",Female_2020_Open_Standard/F102))</f>
        <v>0.10009875481330162</v>
      </c>
      <c r="H102" s="88">
        <f t="shared" si="4"/>
        <v>144.14220693115433</v>
      </c>
      <c r="I102" s="88">
        <f>D102-H102</f>
        <v>6.2911264021790032</v>
      </c>
      <c r="J102" s="89">
        <f>I102/D102</f>
        <v>4.1820029263321533E-2</v>
      </c>
      <c r="K102" s="90">
        <f>IF(A102="M",VLOOKUP(B102,'ARRS Marathon SARs (formatted)'!$B$11:$S$97,5),IF(A102="F",VLOOKUP(B102,'ARRS Marathon SARs (formatted)'!$B$98:$S$183,5)))</f>
        <v>37318</v>
      </c>
      <c r="L102" s="71" t="str">
        <f t="shared" si="5"/>
        <v>Set before</v>
      </c>
      <c r="M102" s="91">
        <f>INDEX('2015_Road Weights'!$A:$CX,MATCH(Table12[[#This Row],[Gender]],'2015_Road Weights'!$A:$A,0),MATCH(Table12[[#This Row],[Age]],'2015_Road Weights'!$1:$1,0))</f>
        <v>0.92230000000000001</v>
      </c>
      <c r="N102" s="87">
        <f>IF(A102="M", Male_2015_Open_Standard/M102,IF(A102="F",Female_2020_Open_Standard/M102))</f>
        <v>0.10094530180185605</v>
      </c>
      <c r="O102" s="88">
        <f>Table12[[#This Row],[2015_AS]]*1440</f>
        <v>145.36123459467271</v>
      </c>
    </row>
    <row r="103" spans="1:15" x14ac:dyDescent="0.55000000000000004">
      <c r="A103" s="71" t="s">
        <v>2</v>
      </c>
      <c r="B103" s="71">
        <v>47</v>
      </c>
      <c r="C103" s="87">
        <f>IF(A103="M",VLOOKUP(B103,'ARRS Marathon SARs (formatted)'!$B$11:$S$97,2),IF(A103="F",VLOOKUP(B103,'ARRS Marathon SARs (formatted)'!$B$98:$S$183,2)))</f>
        <v>0.10347222222222223</v>
      </c>
      <c r="D103" s="88">
        <f t="shared" si="3"/>
        <v>149</v>
      </c>
      <c r="E103" s="87" t="str">
        <f>IF(Table12[[#This Row],[SAR]]=$D$3,"Yes",IF(Table12[[#This Row],[SAR]]=$D$4, "Yes", "No"))</f>
        <v>No</v>
      </c>
      <c r="F103" s="71">
        <f>IF(A103="M",VLOOKUP(B103,[3]AgeStdFactors!$A$2:$V$100,16),IF(A103="F",VLOOKUP(B103,[4]AgeStdFactors!$A$2:$V$101,16)))</f>
        <v>0.92</v>
      </c>
      <c r="G103" s="87">
        <f>IF(A103="M", Male_2020_Open_Standard/F103,IF(A103="F",Female_2020_Open_Standard/F103))</f>
        <v>0.10119766505636069</v>
      </c>
      <c r="H103" s="88">
        <f t="shared" si="4"/>
        <v>145.72463768115938</v>
      </c>
      <c r="I103" s="88">
        <f>D103-H103</f>
        <v>3.2753623188406209</v>
      </c>
      <c r="J103" s="89">
        <f>I103/D103</f>
        <v>2.1982297441883361E-2</v>
      </c>
      <c r="K103" s="90">
        <f>IF(A103="M",VLOOKUP(B103,'ARRS Marathon SARs (formatted)'!$B$11:$S$97,5),IF(A103="F",VLOOKUP(B103,'ARRS Marathon SARs (formatted)'!$B$98:$S$183,5)))</f>
        <v>37542</v>
      </c>
      <c r="L103" s="71" t="str">
        <f t="shared" si="5"/>
        <v>Set before</v>
      </c>
      <c r="M103" s="91">
        <f>INDEX('2015_Road Weights'!$A:$CX,MATCH(Table12[[#This Row],[Gender]],'2015_Road Weights'!$A:$A,0),MATCH(Table12[[#This Row],[Age]],'2015_Road Weights'!$1:$1,0))</f>
        <v>0.91220000000000001</v>
      </c>
      <c r="N103" s="87">
        <f>IF(A103="M", Male_2015_Open_Standard/M103,IF(A103="F",Female_2020_Open_Standard/M103))</f>
        <v>0.10206298163982881</v>
      </c>
      <c r="O103" s="88">
        <f>Table12[[#This Row],[2015_AS]]*1440</f>
        <v>146.9706935613535</v>
      </c>
    </row>
    <row r="104" spans="1:15" x14ac:dyDescent="0.55000000000000004">
      <c r="A104" s="71" t="s">
        <v>2</v>
      </c>
      <c r="B104" s="71">
        <v>48</v>
      </c>
      <c r="C104" s="87">
        <f>IF(A104="M",VLOOKUP(B104,'ARRS Marathon SARs (formatted)'!$B$11:$S$97,2),IF(A104="F",VLOOKUP(B104,'ARRS Marathon SARs (formatted)'!$B$98:$S$183,2)))</f>
        <v>0.10956018518518518</v>
      </c>
      <c r="D104" s="88">
        <f t="shared" ref="D104:D140" si="6">C104*1440</f>
        <v>157.76666666666665</v>
      </c>
      <c r="E104" s="87" t="str">
        <f>IF(Table12[[#This Row],[SAR]]=$D$3,"Yes",IF(Table12[[#This Row],[SAR]]=$D$4, "Yes", "No"))</f>
        <v>No</v>
      </c>
      <c r="F104" s="71">
        <f>IF(A104="M",VLOOKUP(B104,[3]AgeStdFactors!$A$2:$V$100,16),IF(A104="F",VLOOKUP(B104,[4]AgeStdFactors!$A$2:$V$101,16)))</f>
        <v>0.9093</v>
      </c>
      <c r="G104" s="87">
        <f>IF(A104="M", Male_2020_Open_Standard/F104,IF(A104="F",Female_2020_Open_Standard/F104))</f>
        <v>0.10238848768486951</v>
      </c>
      <c r="H104" s="88">
        <f t="shared" si="4"/>
        <v>147.43942226621209</v>
      </c>
      <c r="I104" s="88">
        <f>D104-H104</f>
        <v>10.32724440045456</v>
      </c>
      <c r="J104" s="89">
        <f>I104/D104</f>
        <v>6.5458975705395495E-2</v>
      </c>
      <c r="K104" s="90">
        <f>IF(A104="M",VLOOKUP(B104,'ARRS Marathon SARs (formatted)'!$B$11:$S$97,5),IF(A104="F",VLOOKUP(B104,'ARRS Marathon SARs (formatted)'!$B$98:$S$183,5)))</f>
        <v>40230</v>
      </c>
      <c r="L104" s="71" t="str">
        <f t="shared" si="5"/>
        <v>Set before</v>
      </c>
      <c r="M104" s="91">
        <f>INDEX('2015_Road Weights'!$A:$CX,MATCH(Table12[[#This Row],[Gender]],'2015_Road Weights'!$A:$A,0),MATCH(Table12[[#This Row],[Age]],'2015_Road Weights'!$1:$1,0))</f>
        <v>0.90159999999999996</v>
      </c>
      <c r="N104" s="87">
        <f>IF(A104="M", Male_2015_Open_Standard/M104,IF(A104="F",Female_2020_Open_Standard/M104))</f>
        <v>0.10326292352689867</v>
      </c>
      <c r="O104" s="88">
        <f>Table12[[#This Row],[2015_AS]]*1440</f>
        <v>148.69860987873409</v>
      </c>
    </row>
    <row r="105" spans="1:15" x14ac:dyDescent="0.55000000000000004">
      <c r="A105" s="71" t="s">
        <v>2</v>
      </c>
      <c r="B105" s="71">
        <v>49</v>
      </c>
      <c r="C105" s="87">
        <f>IF(A105="M",VLOOKUP(B105,'ARRS Marathon SARs (formatted)'!$B$11:$S$97,2),IF(A105="F",VLOOKUP(B105,'ARRS Marathon SARs (formatted)'!$B$98:$S$183,2)))</f>
        <v>0.10436342592592592</v>
      </c>
      <c r="D105" s="88">
        <f t="shared" si="6"/>
        <v>150.28333333333333</v>
      </c>
      <c r="E105" s="87" t="str">
        <f>IF(Table12[[#This Row],[SAR]]=$D$3,"Yes",IF(Table12[[#This Row],[SAR]]=$D$4, "Yes", "No"))</f>
        <v>No</v>
      </c>
      <c r="F105" s="71">
        <f>IF(A105="M",VLOOKUP(B105,[3]AgeStdFactors!$A$2:$V$100,16),IF(A105="F",VLOOKUP(B105,[4]AgeStdFactors!$A$2:$V$101,16)))</f>
        <v>0.8982</v>
      </c>
      <c r="G105" s="87">
        <f>IF(A105="M", Male_2020_Open_Standard/F105,IF(A105="F",Female_2020_Open_Standard/F105))</f>
        <v>0.10365380967696709</v>
      </c>
      <c r="H105" s="88">
        <f t="shared" si="4"/>
        <v>149.26148593483262</v>
      </c>
      <c r="I105" s="88">
        <f>D105-H105</f>
        <v>1.0218473985007108</v>
      </c>
      <c r="J105" s="89">
        <f>I105/D105</f>
        <v>6.7994725418700957E-3</v>
      </c>
      <c r="K105" s="90">
        <f>IF(A105="M",VLOOKUP(B105,'ARRS Marathon SARs (formatted)'!$B$11:$S$97,5),IF(A105="F",VLOOKUP(B105,'ARRS Marathon SARs (formatted)'!$B$98:$S$183,5)))</f>
        <v>38053</v>
      </c>
      <c r="L105" s="71" t="str">
        <f t="shared" si="5"/>
        <v>Set before</v>
      </c>
      <c r="M105" s="91">
        <f>INDEX('2015_Road Weights'!$A:$CX,MATCH(Table12[[#This Row],[Gender]],'2015_Road Weights'!$A:$A,0),MATCH(Table12[[#This Row],[Age]],'2015_Road Weights'!$1:$1,0))</f>
        <v>0.89059999999999995</v>
      </c>
      <c r="N105" s="87">
        <f>IF(A105="M", Male_2015_Open_Standard/M105,IF(A105="F",Female_2020_Open_Standard/M105))</f>
        <v>0.10453834701532881</v>
      </c>
      <c r="O105" s="88">
        <f>Table12[[#This Row],[2015_AS]]*1440</f>
        <v>150.53521970207348</v>
      </c>
    </row>
    <row r="106" spans="1:15" x14ac:dyDescent="0.55000000000000004">
      <c r="A106" s="71" t="s">
        <v>2</v>
      </c>
      <c r="B106" s="71">
        <v>50</v>
      </c>
      <c r="C106" s="87">
        <f>IF(A106="M",VLOOKUP(B106,'ARRS Marathon SARs (formatted)'!$B$11:$S$97,2),IF(A106="F",VLOOKUP(B106,'ARRS Marathon SARs (formatted)'!$B$98:$S$183,2)))</f>
        <v>0.10491898148148149</v>
      </c>
      <c r="D106" s="88">
        <f t="shared" si="6"/>
        <v>151.08333333333334</v>
      </c>
      <c r="E106" s="87" t="str">
        <f>IF(Table12[[#This Row],[SAR]]=$D$3,"Yes",IF(Table12[[#This Row],[SAR]]=$D$4, "Yes", "No"))</f>
        <v>No</v>
      </c>
      <c r="F106" s="71">
        <f>IF(A106="M",VLOOKUP(B106,[3]AgeStdFactors!$A$2:$V$100,16),IF(A106="F",VLOOKUP(B106,[4]AgeStdFactors!$A$2:$V$101,16)))</f>
        <v>0.88719999999999999</v>
      </c>
      <c r="G106" s="87">
        <f>IF(A106="M", Male_2020_Open_Standard/F106,IF(A106="F",Female_2020_Open_Standard/F106))</f>
        <v>0.10493896737133886</v>
      </c>
      <c r="H106" s="88">
        <f t="shared" si="4"/>
        <v>151.11211301472795</v>
      </c>
      <c r="I106" s="88">
        <f>D106-H106</f>
        <v>-2.8779681394610179E-2</v>
      </c>
      <c r="J106" s="89">
        <f>I106/D106</f>
        <v>-1.9048879025665864E-4</v>
      </c>
      <c r="K106" s="90">
        <f>IF(A106="M",VLOOKUP(B106,'ARRS Marathon SARs (formatted)'!$B$11:$S$97,5),IF(A106="F",VLOOKUP(B106,'ARRS Marathon SARs (formatted)'!$B$98:$S$183,5)))</f>
        <v>38417</v>
      </c>
      <c r="L106" s="71" t="str">
        <f t="shared" si="5"/>
        <v>Set before</v>
      </c>
      <c r="M106" s="91">
        <f>INDEX('2015_Road Weights'!$A:$CX,MATCH(Table12[[#This Row],[Gender]],'2015_Road Weights'!$A:$A,0),MATCH(Table12[[#This Row],[Age]],'2015_Road Weights'!$1:$1,0))</f>
        <v>0.87960000000000005</v>
      </c>
      <c r="N106" s="87">
        <f>IF(A106="M", Male_2015_Open_Standard/M106,IF(A106="F",Female_2020_Open_Standard/M106))</f>
        <v>0.10584567059100936</v>
      </c>
      <c r="O106" s="88">
        <f>Table12[[#This Row],[2015_AS]]*1440</f>
        <v>152.41776565105346</v>
      </c>
    </row>
    <row r="107" spans="1:15" x14ac:dyDescent="0.55000000000000004">
      <c r="A107" s="71" t="s">
        <v>2</v>
      </c>
      <c r="B107" s="71">
        <v>51</v>
      </c>
      <c r="C107" s="87">
        <f>IF(A107="M",VLOOKUP(B107,'ARRS Marathon SARs (formatted)'!$B$11:$S$97,2),IF(A107="F",VLOOKUP(B107,'ARRS Marathon SARs (formatted)'!$B$98:$S$183,2)))</f>
        <v>0.10817129629629629</v>
      </c>
      <c r="D107" s="88">
        <f t="shared" si="6"/>
        <v>155.76666666666665</v>
      </c>
      <c r="E107" s="87" t="str">
        <f>IF(Table12[[#This Row],[SAR]]=$D$3,"Yes",IF(Table12[[#This Row],[SAR]]=$D$4, "Yes", "No"))</f>
        <v>No</v>
      </c>
      <c r="F107" s="71">
        <f>IF(A107="M",VLOOKUP(B107,[3]AgeStdFactors!$A$2:$V$100,16),IF(A107="F",VLOOKUP(B107,[4]AgeStdFactors!$A$2:$V$101,16)))</f>
        <v>0.87609999999999999</v>
      </c>
      <c r="G107" s="87">
        <f>IF(A107="M", Male_2020_Open_Standard/F107,IF(A107="F",Female_2020_Open_Standard/F107))</f>
        <v>0.10626852168913577</v>
      </c>
      <c r="H107" s="88">
        <f t="shared" si="4"/>
        <v>153.02667123235551</v>
      </c>
      <c r="I107" s="88">
        <f>D107-H107</f>
        <v>2.7399954343111403</v>
      </c>
      <c r="J107" s="89">
        <f>I107/D107</f>
        <v>1.7590383699836128E-2</v>
      </c>
      <c r="K107" s="90">
        <f>IF(A107="M",VLOOKUP(B107,'ARRS Marathon SARs (formatted)'!$B$11:$S$97,5),IF(A107="F",VLOOKUP(B107,'ARRS Marathon SARs (formatted)'!$B$98:$S$183,5)))</f>
        <v>38795</v>
      </c>
      <c r="L107" s="71" t="str">
        <f t="shared" si="5"/>
        <v>Set before</v>
      </c>
      <c r="M107" s="91">
        <f>INDEX('2015_Road Weights'!$A:$CX,MATCH(Table12[[#This Row],[Gender]],'2015_Road Weights'!$A:$A,0),MATCH(Table12[[#This Row],[Age]],'2015_Road Weights'!$1:$1,0))</f>
        <v>0.86860000000000004</v>
      </c>
      <c r="N107" s="87">
        <f>IF(A107="M", Male_2015_Open_Standard/M107,IF(A107="F",Female_2020_Open_Standard/M107))</f>
        <v>0.10718610620751996</v>
      </c>
      <c r="O107" s="88">
        <f>Table12[[#This Row],[2015_AS]]*1440</f>
        <v>154.34799293882875</v>
      </c>
    </row>
    <row r="108" spans="1:15" x14ac:dyDescent="0.55000000000000004">
      <c r="A108" s="71" t="s">
        <v>2</v>
      </c>
      <c r="B108" s="71">
        <v>52</v>
      </c>
      <c r="C108" s="87">
        <f>IF(A108="M",VLOOKUP(B108,'ARRS Marathon SARs (formatted)'!$B$11:$S$97,2),IF(A108="F",VLOOKUP(B108,'ARRS Marathon SARs (formatted)'!$B$98:$S$183,2)))</f>
        <v>0.11721064814814815</v>
      </c>
      <c r="D108" s="88">
        <f t="shared" si="6"/>
        <v>168.78333333333333</v>
      </c>
      <c r="E108" s="87" t="str">
        <f>IF(Table12[[#This Row],[SAR]]=$D$3,"Yes",IF(Table12[[#This Row],[SAR]]=$D$4, "Yes", "No"))</f>
        <v>No</v>
      </c>
      <c r="F108" s="71">
        <f>IF(A108="M",VLOOKUP(B108,[3]AgeStdFactors!$A$2:$V$100,16),IF(A108="F",VLOOKUP(B108,[4]AgeStdFactors!$A$2:$V$101,16)))</f>
        <v>0.86509999999999998</v>
      </c>
      <c r="G108" s="87">
        <f>IF(A108="M", Male_2020_Open_Standard/F108,IF(A108="F",Female_2020_Open_Standard/F108))</f>
        <v>0.10761975708224696</v>
      </c>
      <c r="H108" s="88">
        <f t="shared" si="4"/>
        <v>154.97245019843561</v>
      </c>
      <c r="I108" s="88">
        <f>D108-H108</f>
        <v>13.810883134897722</v>
      </c>
      <c r="J108" s="89">
        <f>I108/D108</f>
        <v>8.1826107247345056E-2</v>
      </c>
      <c r="K108" s="90">
        <f>IF(A108="M",VLOOKUP(B108,'ARRS Marathon SARs (formatted)'!$B$11:$S$97,5),IF(A108="F",VLOOKUP(B108,'ARRS Marathon SARs (formatted)'!$B$98:$S$183,5)))</f>
        <v>32446</v>
      </c>
      <c r="L108" s="71" t="str">
        <f t="shared" si="5"/>
        <v>Set before</v>
      </c>
      <c r="M108" s="91">
        <f>INDEX('2015_Road Weights'!$A:$CX,MATCH(Table12[[#This Row],[Gender]],'2015_Road Weights'!$A:$A,0),MATCH(Table12[[#This Row],[Age]],'2015_Road Weights'!$1:$1,0))</f>
        <v>0.85760000000000003</v>
      </c>
      <c r="N108" s="87">
        <f>IF(A108="M", Male_2015_Open_Standard/M108,IF(A108="F",Female_2020_Open_Standard/M108))</f>
        <v>0.1085609279988944</v>
      </c>
      <c r="O108" s="88">
        <f>Table12[[#This Row],[2015_AS]]*1440</f>
        <v>156.32773631840794</v>
      </c>
    </row>
    <row r="109" spans="1:15" x14ac:dyDescent="0.55000000000000004">
      <c r="A109" s="71" t="s">
        <v>2</v>
      </c>
      <c r="B109" s="71">
        <v>53</v>
      </c>
      <c r="C109" s="87">
        <f>IF(A109="M",VLOOKUP(B109,'ARRS Marathon SARs (formatted)'!$B$11:$S$97,2),IF(A109="F",VLOOKUP(B109,'ARRS Marathon SARs (formatted)'!$B$98:$S$183,2)))</f>
        <v>0.11655092592592593</v>
      </c>
      <c r="D109" s="88">
        <f t="shared" si="6"/>
        <v>167.83333333333334</v>
      </c>
      <c r="E109" s="87" t="str">
        <f>IF(Table12[[#This Row],[SAR]]=$D$3,"Yes",IF(Table12[[#This Row],[SAR]]=$D$4, "Yes", "No"))</f>
        <v>No</v>
      </c>
      <c r="F109" s="71">
        <f>IF(A109="M",VLOOKUP(B109,[3]AgeStdFactors!$A$2:$V$100,16),IF(A109="F",VLOOKUP(B109,[4]AgeStdFactors!$A$2:$V$101,16)))</f>
        <v>0.85399999999999998</v>
      </c>
      <c r="G109" s="87">
        <f>IF(A109="M", Male_2020_Open_Standard/F109,IF(A109="F",Female_2020_Open_Standard/F109))</f>
        <v>0.10901856188741434</v>
      </c>
      <c r="H109" s="88">
        <f t="shared" si="4"/>
        <v>156.98672911787665</v>
      </c>
      <c r="I109" s="88">
        <f>D109-H109</f>
        <v>10.846604215456694</v>
      </c>
      <c r="J109" s="89">
        <f>I109/D109</f>
        <v>6.4627234650188839E-2</v>
      </c>
      <c r="K109" s="90">
        <f>IF(A109="M",VLOOKUP(B109,'ARRS Marathon SARs (formatted)'!$B$11:$S$97,5),IF(A109="F",VLOOKUP(B109,'ARRS Marathon SARs (formatted)'!$B$98:$S$183,5)))</f>
        <v>40461</v>
      </c>
      <c r="L109" s="71" t="str">
        <f t="shared" si="5"/>
        <v>Set before</v>
      </c>
      <c r="M109" s="91">
        <f>INDEX('2015_Road Weights'!$A:$CX,MATCH(Table12[[#This Row],[Gender]],'2015_Road Weights'!$A:$A,0),MATCH(Table12[[#This Row],[Age]],'2015_Road Weights'!$1:$1,0))</f>
        <v>0.84660000000000002</v>
      </c>
      <c r="N109" s="87">
        <f>IF(A109="M", Male_2015_Open_Standard/M109,IF(A109="F",Female_2020_Open_Standard/M109))</f>
        <v>0.10997147631922022</v>
      </c>
      <c r="O109" s="88">
        <f>Table12[[#This Row],[2015_AS]]*1440</f>
        <v>158.3589258996771</v>
      </c>
    </row>
    <row r="110" spans="1:15" x14ac:dyDescent="0.55000000000000004">
      <c r="A110" s="71" t="s">
        <v>2</v>
      </c>
      <c r="B110" s="71">
        <v>54</v>
      </c>
      <c r="C110" s="87">
        <f>IF(A110="M",VLOOKUP(B110,'ARRS Marathon SARs (formatted)'!$B$11:$S$97,2),IF(A110="F",VLOOKUP(B110,'ARRS Marathon SARs (formatted)'!$B$98:$S$183,2)))</f>
        <v>0.12070601851851852</v>
      </c>
      <c r="D110" s="88">
        <f t="shared" si="6"/>
        <v>173.81666666666666</v>
      </c>
      <c r="E110" s="87" t="str">
        <f>IF(Table12[[#This Row],[SAR]]=$D$3,"Yes",IF(Table12[[#This Row],[SAR]]=$D$4, "Yes", "No"))</f>
        <v>No</v>
      </c>
      <c r="F110" s="71">
        <f>IF(A110="M",VLOOKUP(B110,[3]AgeStdFactors!$A$2:$V$100,16),IF(A110="F",VLOOKUP(B110,[4]AgeStdFactors!$A$2:$V$101,16)))</f>
        <v>0.84289999999999998</v>
      </c>
      <c r="G110" s="87">
        <f>IF(A110="M", Male_2020_Open_Standard/F110,IF(A110="F",Female_2020_Open_Standard/F110))</f>
        <v>0.11045420791535394</v>
      </c>
      <c r="H110" s="88">
        <f t="shared" si="4"/>
        <v>159.05405939810967</v>
      </c>
      <c r="I110" s="88">
        <f>D110-H110</f>
        <v>14.762607268556991</v>
      </c>
      <c r="J110" s="89">
        <f>I110/D110</f>
        <v>8.4932058309849401E-2</v>
      </c>
      <c r="K110" s="90">
        <f>IF(A110="M",VLOOKUP(B110,'ARRS Marathon SARs (formatted)'!$B$11:$S$97,5),IF(A110="F",VLOOKUP(B110,'ARRS Marathon SARs (formatted)'!$B$98:$S$183,5)))</f>
        <v>42904</v>
      </c>
      <c r="L110" s="71" t="str">
        <f t="shared" si="5"/>
        <v>Set after</v>
      </c>
      <c r="M110" s="91">
        <f>INDEX('2015_Road Weights'!$A:$CX,MATCH(Table12[[#This Row],[Gender]],'2015_Road Weights'!$A:$A,0),MATCH(Table12[[#This Row],[Age]],'2015_Road Weights'!$1:$1,0))</f>
        <v>0.83560000000000001</v>
      </c>
      <c r="N110" s="87">
        <f>IF(A110="M", Male_2015_Open_Standard/M110,IF(A110="F",Female_2020_Open_Standard/M110))</f>
        <v>0.11141916210130665</v>
      </c>
      <c r="O110" s="88">
        <f>Table12[[#This Row],[2015_AS]]*1440</f>
        <v>160.44359342588157</v>
      </c>
    </row>
    <row r="111" spans="1:15" x14ac:dyDescent="0.55000000000000004">
      <c r="A111" s="71" t="s">
        <v>2</v>
      </c>
      <c r="B111" s="71">
        <v>55</v>
      </c>
      <c r="C111" s="87">
        <f>IF(A111="M",VLOOKUP(B111,'ARRS Marathon SARs (formatted)'!$B$11:$S$97,2),IF(A111="F",VLOOKUP(B111,'ARRS Marathon SARs (formatted)'!$B$98:$S$183,2)))</f>
        <v>0.11960648148148149</v>
      </c>
      <c r="D111" s="88">
        <f t="shared" si="6"/>
        <v>172.23333333333335</v>
      </c>
      <c r="E111" s="87" t="str">
        <f>IF(Table12[[#This Row],[SAR]]=$D$3,"Yes",IF(Table12[[#This Row],[SAR]]=$D$4, "Yes", "No"))</f>
        <v>No</v>
      </c>
      <c r="F111" s="71">
        <f>IF(A111="M",VLOOKUP(B111,[3]AgeStdFactors!$A$2:$V$100,16),IF(A111="F",VLOOKUP(B111,[4]AgeStdFactors!$A$2:$V$101,16)))</f>
        <v>0.83189999999999997</v>
      </c>
      <c r="G111" s="87">
        <f>IF(A111="M", Male_2020_Open_Standard/F111,IF(A111="F",Female_2020_Open_Standard/F111))</f>
        <v>0.11191471553293887</v>
      </c>
      <c r="H111" s="88">
        <f t="shared" si="4"/>
        <v>161.15719036743198</v>
      </c>
      <c r="I111" s="88">
        <f>D111-H111</f>
        <v>11.076142965901369</v>
      </c>
      <c r="J111" s="89">
        <f>I111/D111</f>
        <v>6.4308939225283732E-2</v>
      </c>
      <c r="K111" s="90">
        <f>IF(A111="M",VLOOKUP(B111,'ARRS Marathon SARs (formatted)'!$B$11:$S$97,5),IF(A111="F",VLOOKUP(B111,'ARRS Marathon SARs (formatted)'!$B$98:$S$183,5)))</f>
        <v>36079</v>
      </c>
      <c r="L111" s="71" t="str">
        <f t="shared" si="5"/>
        <v>Set before</v>
      </c>
      <c r="M111" s="91">
        <f>INDEX('2015_Road Weights'!$A:$CX,MATCH(Table12[[#This Row],[Gender]],'2015_Road Weights'!$A:$A,0),MATCH(Table12[[#This Row],[Age]],'2015_Road Weights'!$1:$1,0))</f>
        <v>0.8246</v>
      </c>
      <c r="N111" s="87">
        <f>IF(A111="M", Male_2015_Open_Standard/M111,IF(A111="F",Female_2020_Open_Standard/M111))</f>
        <v>0.11290547156421518</v>
      </c>
      <c r="O111" s="88">
        <f>Table12[[#This Row],[2015_AS]]*1440</f>
        <v>162.58387905246985</v>
      </c>
    </row>
    <row r="112" spans="1:15" x14ac:dyDescent="0.55000000000000004">
      <c r="A112" s="71" t="s">
        <v>2</v>
      </c>
      <c r="B112" s="71">
        <v>56</v>
      </c>
      <c r="C112" s="87">
        <f>IF(A112="M",VLOOKUP(B112,'ARRS Marathon SARs (formatted)'!$B$11:$S$97,2),IF(A112="F",VLOOKUP(B112,'ARRS Marathon SARs (formatted)'!$B$98:$S$183,2)))</f>
        <v>0.12157407407407407</v>
      </c>
      <c r="D112" s="88">
        <f t="shared" si="6"/>
        <v>175.06666666666666</v>
      </c>
      <c r="E112" s="87" t="str">
        <f>IF(Table12[[#This Row],[SAR]]=$D$3,"Yes",IF(Table12[[#This Row],[SAR]]=$D$4, "Yes", "No"))</f>
        <v>No</v>
      </c>
      <c r="F112" s="71">
        <f>IF(A112="M",VLOOKUP(B112,[3]AgeStdFactors!$A$2:$V$100,16),IF(A112="F",VLOOKUP(B112,[4]AgeStdFactors!$A$2:$V$101,16)))</f>
        <v>0.82079999999999997</v>
      </c>
      <c r="G112" s="87">
        <f>IF(A112="M", Male_2020_Open_Standard/F112,IF(A112="F",Female_2020_Open_Standard/F112))</f>
        <v>0.11342818208071619</v>
      </c>
      <c r="H112" s="88">
        <f t="shared" si="4"/>
        <v>163.33658219623132</v>
      </c>
      <c r="I112" s="88">
        <f>D112-H112</f>
        <v>11.730084470435344</v>
      </c>
      <c r="J112" s="89">
        <f>I112/D112</f>
        <v>6.7003528962882766E-2</v>
      </c>
      <c r="K112" s="90">
        <f>IF(A112="M",VLOOKUP(B112,'ARRS Marathon SARs (formatted)'!$B$11:$S$97,5),IF(A112="F",VLOOKUP(B112,'ARRS Marathon SARs (formatted)'!$B$98:$S$183,5)))</f>
        <v>42848</v>
      </c>
      <c r="L112" s="71" t="str">
        <f t="shared" si="5"/>
        <v>Set after</v>
      </c>
      <c r="M112" s="91">
        <f>INDEX('2015_Road Weights'!$A:$CX,MATCH(Table12[[#This Row],[Gender]],'2015_Road Weights'!$A:$A,0),MATCH(Table12[[#This Row],[Age]],'2015_Road Weights'!$1:$1,0))</f>
        <v>0.81359999999999999</v>
      </c>
      <c r="N112" s="87">
        <f>IF(A112="M", Male_2015_Open_Standard/M112,IF(A112="F",Female_2020_Open_Standard/M112))</f>
        <v>0.11443197130266942</v>
      </c>
      <c r="O112" s="88">
        <f>Table12[[#This Row],[2015_AS]]*1440</f>
        <v>164.78203867584398</v>
      </c>
    </row>
    <row r="113" spans="1:15" x14ac:dyDescent="0.55000000000000004">
      <c r="A113" s="71" t="s">
        <v>2</v>
      </c>
      <c r="B113" s="71">
        <v>57</v>
      </c>
      <c r="C113" s="87">
        <f>IF(A113="M",VLOOKUP(B113,'ARRS Marathon SARs (formatted)'!$B$11:$S$97,2),IF(A113="F",VLOOKUP(B113,'ARRS Marathon SARs (formatted)'!$B$98:$S$183,2)))</f>
        <v>0.12116898148148147</v>
      </c>
      <c r="D113" s="88">
        <f t="shared" si="6"/>
        <v>174.48333333333332</v>
      </c>
      <c r="E113" s="87" t="str">
        <f>IF(Table12[[#This Row],[SAR]]=$D$3,"Yes",IF(Table12[[#This Row],[SAR]]=$D$4, "Yes", "No"))</f>
        <v>No</v>
      </c>
      <c r="F113" s="71">
        <f>IF(A113="M",VLOOKUP(B113,[3]AgeStdFactors!$A$2:$V$100,16),IF(A113="F",VLOOKUP(B113,[4]AgeStdFactors!$A$2:$V$101,16)))</f>
        <v>0.80979999999999996</v>
      </c>
      <c r="G113" s="87">
        <f>IF(A113="M", Male_2020_Open_Standard/F113,IF(A113="F",Female_2020_Open_Standard/F113))</f>
        <v>0.11496894523567774</v>
      </c>
      <c r="H113" s="88">
        <f t="shared" si="4"/>
        <v>165.55528113937595</v>
      </c>
      <c r="I113" s="88">
        <f>D113-H113</f>
        <v>8.9280521939573703</v>
      </c>
      <c r="J113" s="89">
        <f>I113/D113</f>
        <v>5.1168510042739729E-2</v>
      </c>
      <c r="K113" s="90">
        <f>IF(A113="M",VLOOKUP(B113,'ARRS Marathon SARs (formatted)'!$B$11:$S$97,5),IF(A113="F",VLOOKUP(B113,'ARRS Marathon SARs (formatted)'!$B$98:$S$183,5)))</f>
        <v>41581</v>
      </c>
      <c r="L113" s="71" t="str">
        <f t="shared" si="5"/>
        <v>Set before</v>
      </c>
      <c r="M113" s="91">
        <f>INDEX('2015_Road Weights'!$A:$CX,MATCH(Table12[[#This Row],[Gender]],'2015_Road Weights'!$A:$A,0),MATCH(Table12[[#This Row],[Age]],'2015_Road Weights'!$1:$1,0))</f>
        <v>0.80259999999999998</v>
      </c>
      <c r="N113" s="87">
        <f>IF(A113="M", Male_2015_Open_Standard/M113,IF(A113="F",Female_2020_Open_Standard/M113))</f>
        <v>0.11600031379498112</v>
      </c>
      <c r="O113" s="88">
        <f>Table12[[#This Row],[2015_AS]]*1440</f>
        <v>167.04045186477282</v>
      </c>
    </row>
    <row r="114" spans="1:15" x14ac:dyDescent="0.55000000000000004">
      <c r="A114" s="71" t="s">
        <v>2</v>
      </c>
      <c r="B114" s="71">
        <v>58</v>
      </c>
      <c r="C114" s="87">
        <f>IF(A114="M",VLOOKUP(B114,'ARRS Marathon SARs (formatted)'!$B$11:$S$97,2),IF(A114="F",VLOOKUP(B114,'ARRS Marathon SARs (formatted)'!$B$98:$S$183,2)))</f>
        <v>0.12403935185185185</v>
      </c>
      <c r="D114" s="88">
        <f t="shared" si="6"/>
        <v>178.61666666666665</v>
      </c>
      <c r="E114" s="87" t="str">
        <f>IF(Table12[[#This Row],[SAR]]=$D$3,"Yes",IF(Table12[[#This Row],[SAR]]=$D$4, "Yes", "No"))</f>
        <v>No</v>
      </c>
      <c r="F114" s="71">
        <f>IF(A114="M",VLOOKUP(B114,[3]AgeStdFactors!$A$2:$V$100,16),IF(A114="F",VLOOKUP(B114,[4]AgeStdFactors!$A$2:$V$101,16)))</f>
        <v>0.79869999999999997</v>
      </c>
      <c r="G114" s="87">
        <f>IF(A114="M", Male_2020_Open_Standard/F114,IF(A114="F",Female_2020_Open_Standard/F114))</f>
        <v>0.11656673576042549</v>
      </c>
      <c r="H114" s="88">
        <f t="shared" si="4"/>
        <v>167.8560994950127</v>
      </c>
      <c r="I114" s="88">
        <f>D114-H114</f>
        <v>10.760567171653946</v>
      </c>
      <c r="J114" s="89">
        <f>I114/D114</f>
        <v>6.0243914369621801E-2</v>
      </c>
      <c r="K114" s="90">
        <f>IF(A114="M",VLOOKUP(B114,'ARRS Marathon SARs (formatted)'!$B$11:$S$97,5),IF(A114="F",VLOOKUP(B114,'ARRS Marathon SARs (formatted)'!$B$98:$S$183,5)))</f>
        <v>41553</v>
      </c>
      <c r="L114" s="71" t="str">
        <f t="shared" si="5"/>
        <v>Set before</v>
      </c>
      <c r="M114" s="91">
        <f>INDEX('2015_Road Weights'!$A:$CX,MATCH(Table12[[#This Row],[Gender]],'2015_Road Weights'!$A:$A,0),MATCH(Table12[[#This Row],[Age]],'2015_Road Weights'!$1:$1,0))</f>
        <v>0.79159999999999997</v>
      </c>
      <c r="N114" s="87">
        <f>IF(A114="M", Male_2015_Open_Standard/M114,IF(A114="F",Female_2020_Open_Standard/M114))</f>
        <v>0.11761224337020192</v>
      </c>
      <c r="O114" s="88">
        <f>Table12[[#This Row],[2015_AS]]*1440</f>
        <v>169.36163045309075</v>
      </c>
    </row>
    <row r="115" spans="1:15" x14ac:dyDescent="0.55000000000000004">
      <c r="A115" s="71" t="s">
        <v>2</v>
      </c>
      <c r="B115" s="71">
        <v>59</v>
      </c>
      <c r="C115" s="87">
        <f>IF(A115="M",VLOOKUP(B115,'ARRS Marathon SARs (formatted)'!$B$11:$S$97,2),IF(A115="F",VLOOKUP(B115,'ARRS Marathon SARs (formatted)'!$B$98:$S$183,2)))</f>
        <v>0.12480324074074074</v>
      </c>
      <c r="D115" s="88">
        <f t="shared" si="6"/>
        <v>179.71666666666667</v>
      </c>
      <c r="E115" s="87" t="str">
        <f>IF(Table12[[#This Row],[SAR]]=$D$3,"Yes",IF(Table12[[#This Row],[SAR]]=$D$4, "Yes", "No"))</f>
        <v>No</v>
      </c>
      <c r="F115" s="71">
        <f>IF(A115="M",VLOOKUP(B115,[3]AgeStdFactors!$A$2:$V$100,16),IF(A115="F",VLOOKUP(B115,[4]AgeStdFactors!$A$2:$V$101,16)))</f>
        <v>0.78759999999999997</v>
      </c>
      <c r="G115" s="87">
        <f>IF(A115="M", Male_2020_Open_Standard/F115,IF(A115="F",Female_2020_Open_Standard/F115))</f>
        <v>0.11820956304196527</v>
      </c>
      <c r="H115" s="88">
        <f t="shared" si="4"/>
        <v>170.22177078042998</v>
      </c>
      <c r="I115" s="88">
        <f>D115-H115</f>
        <v>9.4948958862366908</v>
      </c>
      <c r="J115" s="89">
        <f>I115/D115</f>
        <v>5.2832583990930299E-2</v>
      </c>
      <c r="K115" s="90">
        <f>IF(A115="M",VLOOKUP(B115,'ARRS Marathon SARs (formatted)'!$B$11:$S$97,5),IF(A115="F",VLOOKUP(B115,'ARRS Marathon SARs (formatted)'!$B$98:$S$183,5)))</f>
        <v>41917</v>
      </c>
      <c r="L115" s="71" t="str">
        <f t="shared" si="5"/>
        <v>Set before</v>
      </c>
      <c r="M115" s="91">
        <f>INDEX('2015_Road Weights'!$A:$CX,MATCH(Table12[[#This Row],[Gender]],'2015_Road Weights'!$A:$A,0),MATCH(Table12[[#This Row],[Age]],'2015_Road Weights'!$1:$1,0))</f>
        <v>0.78059999999999996</v>
      </c>
      <c r="N115" s="87">
        <f>IF(A115="M", Male_2015_Open_Standard/M115,IF(A115="F",Female_2020_Open_Standard/M115))</f>
        <v>0.11926960267979995</v>
      </c>
      <c r="O115" s="88">
        <f>Table12[[#This Row],[2015_AS]]*1440</f>
        <v>171.74822785891195</v>
      </c>
    </row>
    <row r="116" spans="1:15" x14ac:dyDescent="0.55000000000000004">
      <c r="A116" s="71" t="s">
        <v>2</v>
      </c>
      <c r="B116" s="71">
        <v>60</v>
      </c>
      <c r="C116" s="87">
        <f>IF(A116="M",VLOOKUP(B116,'ARRS Marathon SARs (formatted)'!$B$11:$S$97,2),IF(A116="F",VLOOKUP(B116,'ARRS Marathon SARs (formatted)'!$B$98:$S$183,2)))</f>
        <v>0.12604166666666666</v>
      </c>
      <c r="D116" s="88">
        <f t="shared" si="6"/>
        <v>181.5</v>
      </c>
      <c r="E116" s="87" t="str">
        <f>IF(Table12[[#This Row],[SAR]]=$D$3,"Yes",IF(Table12[[#This Row],[SAR]]=$D$4, "Yes", "No"))</f>
        <v>No</v>
      </c>
      <c r="F116" s="71">
        <f>IF(A116="M",VLOOKUP(B116,[3]AgeStdFactors!$A$2:$V$100,16),IF(A116="F",VLOOKUP(B116,[4]AgeStdFactors!$A$2:$V$101,16)))</f>
        <v>0.77659999999999996</v>
      </c>
      <c r="G116" s="87">
        <f>IF(A116="M", Male_2020_Open_Standard/F116,IF(A116="F",Female_2020_Open_Standard/F116))</f>
        <v>0.11988391945899027</v>
      </c>
      <c r="H116" s="88">
        <f t="shared" si="4"/>
        <v>172.63284402094598</v>
      </c>
      <c r="I116" s="88">
        <f>D116-H116</f>
        <v>8.8671559790540186</v>
      </c>
      <c r="J116" s="89">
        <f>I116/D116</f>
        <v>4.8854853879085502E-2</v>
      </c>
      <c r="K116" s="90">
        <f>IF(A116="M",VLOOKUP(B116,'ARRS Marathon SARs (formatted)'!$B$11:$S$97,5),IF(A116="F",VLOOKUP(B116,'ARRS Marathon SARs (formatted)'!$B$98:$S$183,5)))</f>
        <v>40363</v>
      </c>
      <c r="L116" s="71" t="str">
        <f t="shared" si="5"/>
        <v>Set before</v>
      </c>
      <c r="M116" s="91">
        <f>INDEX('2015_Road Weights'!$A:$CX,MATCH(Table12[[#This Row],[Gender]],'2015_Road Weights'!$A:$A,0),MATCH(Table12[[#This Row],[Age]],'2015_Road Weights'!$1:$1,0))</f>
        <v>0.76959999999999995</v>
      </c>
      <c r="N116" s="87">
        <f>IF(A116="M", Male_2015_Open_Standard/M116,IF(A116="F",Female_2020_Open_Standard/M116))</f>
        <v>0.12097433972433971</v>
      </c>
      <c r="O116" s="88">
        <f>Table12[[#This Row],[2015_AS]]*1440</f>
        <v>174.20304920304918</v>
      </c>
    </row>
    <row r="117" spans="1:15" x14ac:dyDescent="0.55000000000000004">
      <c r="A117" s="71" t="s">
        <v>2</v>
      </c>
      <c r="B117" s="71">
        <v>61</v>
      </c>
      <c r="C117" s="87">
        <f>IF(A117="M",VLOOKUP(B117,'ARRS Marathon SARs (formatted)'!$B$11:$S$97,2),IF(A117="F",VLOOKUP(B117,'ARRS Marathon SARs (formatted)'!$B$98:$S$183,2)))</f>
        <v>0.12958333333333333</v>
      </c>
      <c r="D117" s="88">
        <f t="shared" si="6"/>
        <v>186.6</v>
      </c>
      <c r="E117" s="87" t="str">
        <f>IF(Table12[[#This Row],[SAR]]=$D$3,"Yes",IF(Table12[[#This Row],[SAR]]=$D$4, "Yes", "No"))</f>
        <v>No</v>
      </c>
      <c r="F117" s="71">
        <f>IF(A117="M",VLOOKUP(B117,[3]AgeStdFactors!$A$2:$V$100,16),IF(A117="F",VLOOKUP(B117,[4]AgeStdFactors!$A$2:$V$101,16)))</f>
        <v>0.76549999999999996</v>
      </c>
      <c r="G117" s="87">
        <f>IF(A117="M", Male_2020_Open_Standard/F117,IF(A117="F",Female_2020_Open_Standard/F117))</f>
        <v>0.12162227544330743</v>
      </c>
      <c r="H117" s="88">
        <f t="shared" si="4"/>
        <v>175.13607663836271</v>
      </c>
      <c r="I117" s="88">
        <f>D117-H117</f>
        <v>11.463923361637285</v>
      </c>
      <c r="J117" s="89">
        <f>I117/D117</f>
        <v>6.143581651466927E-2</v>
      </c>
      <c r="K117" s="90">
        <f>IF(A117="M",VLOOKUP(B117,'ARRS Marathon SARs (formatted)'!$B$11:$S$97,5),IF(A117="F",VLOOKUP(B117,'ARRS Marathon SARs (formatted)'!$B$98:$S$183,5)))</f>
        <v>42414</v>
      </c>
      <c r="L117" s="71" t="str">
        <f t="shared" si="5"/>
        <v>Set after</v>
      </c>
      <c r="M117" s="91">
        <f>INDEX('2015_Road Weights'!$A:$CX,MATCH(Table12[[#This Row],[Gender]],'2015_Road Weights'!$A:$A,0),MATCH(Table12[[#This Row],[Age]],'2015_Road Weights'!$1:$1,0))</f>
        <v>0.75860000000000005</v>
      </c>
      <c r="N117" s="87">
        <f>IF(A117="M", Male_2015_Open_Standard/M117,IF(A117="F",Female_2020_Open_Standard/M117))</f>
        <v>0.12272851549149991</v>
      </c>
      <c r="O117" s="88">
        <f>Table12[[#This Row],[2015_AS]]*1440</f>
        <v>176.72906230775988</v>
      </c>
    </row>
    <row r="118" spans="1:15" x14ac:dyDescent="0.55000000000000004">
      <c r="A118" s="71" t="s">
        <v>2</v>
      </c>
      <c r="B118" s="71">
        <v>62</v>
      </c>
      <c r="C118" s="87">
        <f>IF(A118="M",VLOOKUP(B118,'ARRS Marathon SARs (formatted)'!$B$11:$S$97,2),IF(A118="F",VLOOKUP(B118,'ARRS Marathon SARs (formatted)'!$B$98:$S$183,2)))</f>
        <v>0.12644675925925927</v>
      </c>
      <c r="D118" s="88">
        <f t="shared" si="6"/>
        <v>182.08333333333334</v>
      </c>
      <c r="E118" s="87" t="str">
        <f>IF(Table12[[#This Row],[SAR]]=$D$3,"Yes",IF(Table12[[#This Row],[SAR]]=$D$4, "Yes", "No"))</f>
        <v>No</v>
      </c>
      <c r="F118" s="71">
        <f>IF(A118="M",VLOOKUP(B118,[3]AgeStdFactors!$A$2:$V$100,16),IF(A118="F",VLOOKUP(B118,[4]AgeStdFactors!$A$2:$V$101,16)))</f>
        <v>0.75449999999999995</v>
      </c>
      <c r="G118" s="87">
        <f>IF(A118="M", Male_2020_Open_Standard/F118,IF(A118="F",Female_2020_Open_Standard/F118))</f>
        <v>0.12339542988979701</v>
      </c>
      <c r="H118" s="88">
        <f t="shared" si="4"/>
        <v>177.6894190413077</v>
      </c>
      <c r="I118" s="88">
        <f>D118-H118</f>
        <v>4.3939142920256415</v>
      </c>
      <c r="J118" s="89">
        <f>I118/D118</f>
        <v>2.4131337072909702E-2</v>
      </c>
      <c r="K118" s="90">
        <f>IF(A118="M",VLOOKUP(B118,'ARRS Marathon SARs (formatted)'!$B$11:$S$97,5),IF(A118="F",VLOOKUP(B118,'ARRS Marathon SARs (formatted)'!$B$98:$S$183,5)))</f>
        <v>43737</v>
      </c>
      <c r="L118" s="71" t="str">
        <f t="shared" si="5"/>
        <v>Set after</v>
      </c>
      <c r="M118" s="91">
        <f>INDEX('2015_Road Weights'!$A:$CX,MATCH(Table12[[#This Row],[Gender]],'2015_Road Weights'!$A:$A,0),MATCH(Table12[[#This Row],[Age]],'2015_Road Weights'!$1:$1,0))</f>
        <v>0.74760000000000004</v>
      </c>
      <c r="N118" s="87">
        <f>IF(A118="M", Male_2015_Open_Standard/M118,IF(A118="F",Female_2020_Open_Standard/M118))</f>
        <v>0.12453431226839463</v>
      </c>
      <c r="O118" s="88">
        <f>Table12[[#This Row],[2015_AS]]*1440</f>
        <v>179.32940966648826</v>
      </c>
    </row>
    <row r="119" spans="1:15" x14ac:dyDescent="0.55000000000000004">
      <c r="A119" s="71" t="s">
        <v>2</v>
      </c>
      <c r="B119" s="71">
        <v>63</v>
      </c>
      <c r="C119" s="87">
        <f>IF(A119="M",VLOOKUP(B119,'ARRS Marathon SARs (formatted)'!$B$11:$S$97,2),IF(A119="F",VLOOKUP(B119,'ARRS Marathon SARs (formatted)'!$B$98:$S$183,2)))</f>
        <v>0.13041666666666665</v>
      </c>
      <c r="D119" s="88">
        <f t="shared" si="6"/>
        <v>187.79999999999998</v>
      </c>
      <c r="E119" s="87" t="str">
        <f>IF(Table12[[#This Row],[SAR]]=$D$3,"Yes",IF(Table12[[#This Row],[SAR]]=$D$4, "Yes", "No"))</f>
        <v>No</v>
      </c>
      <c r="F119" s="71">
        <f>IF(A119="M",VLOOKUP(B119,[3]AgeStdFactors!$A$2:$V$100,16),IF(A119="F",VLOOKUP(B119,[4]AgeStdFactors!$A$2:$V$101,16)))</f>
        <v>0.74339999999999995</v>
      </c>
      <c r="G119" s="87">
        <f>IF(A119="M", Male_2020_Open_Standard/F119,IF(A119="F",Female_2020_Open_Standard/F119))</f>
        <v>0.12523789595352683</v>
      </c>
      <c r="H119" s="88">
        <f t="shared" si="4"/>
        <v>180.34257017307863</v>
      </c>
      <c r="I119" s="88">
        <f>D119-H119</f>
        <v>7.4574298269213557</v>
      </c>
      <c r="J119" s="89">
        <f>I119/D119</f>
        <v>3.9709423998516277E-2</v>
      </c>
      <c r="K119" s="90">
        <f>IF(A119="M",VLOOKUP(B119,'ARRS Marathon SARs (formatted)'!$B$11:$S$97,5),IF(A119="F",VLOOKUP(B119,'ARRS Marathon SARs (formatted)'!$B$98:$S$183,5)))</f>
        <v>39383</v>
      </c>
      <c r="L119" s="71" t="str">
        <f t="shared" si="5"/>
        <v>Set before</v>
      </c>
      <c r="M119" s="91">
        <f>INDEX('2015_Road Weights'!$A:$CX,MATCH(Table12[[#This Row],[Gender]],'2015_Road Weights'!$A:$A,0),MATCH(Table12[[#This Row],[Age]],'2015_Road Weights'!$1:$1,0))</f>
        <v>0.73660000000000003</v>
      </c>
      <c r="N119" s="87">
        <f>IF(A119="M", Male_2015_Open_Standard/M119,IF(A119="F",Female_2020_Open_Standard/M119))</f>
        <v>0.12639404269868562</v>
      </c>
      <c r="O119" s="88">
        <f>Table12[[#This Row],[2015_AS]]*1440</f>
        <v>182.00742148610729</v>
      </c>
    </row>
    <row r="120" spans="1:15" x14ac:dyDescent="0.55000000000000004">
      <c r="A120" s="71" t="s">
        <v>2</v>
      </c>
      <c r="B120" s="71">
        <v>64</v>
      </c>
      <c r="C120" s="87">
        <f>IF(A120="M",VLOOKUP(B120,'ARRS Marathon SARs (formatted)'!$B$11:$S$97,2),IF(A120="F",VLOOKUP(B120,'ARRS Marathon SARs (formatted)'!$B$98:$S$183,2)))</f>
        <v>0.13840277777777779</v>
      </c>
      <c r="D120" s="88">
        <f t="shared" si="6"/>
        <v>199.3</v>
      </c>
      <c r="E120" s="87" t="str">
        <f>IF(Table12[[#This Row],[SAR]]=$D$3,"Yes",IF(Table12[[#This Row],[SAR]]=$D$4, "Yes", "No"))</f>
        <v>No</v>
      </c>
      <c r="F120" s="71">
        <f>IF(A120="M",VLOOKUP(B120,[3]AgeStdFactors!$A$2:$V$100,16),IF(A120="F",VLOOKUP(B120,[4]AgeStdFactors!$A$2:$V$101,16)))</f>
        <v>0.73229999999999995</v>
      </c>
      <c r="G120" s="87">
        <f>IF(A120="M", Male_2020_Open_Standard/F120,IF(A120="F",Female_2020_Open_Standard/F120))</f>
        <v>0.12713621719493629</v>
      </c>
      <c r="H120" s="88">
        <f t="shared" si="4"/>
        <v>183.07615276070825</v>
      </c>
      <c r="I120" s="88">
        <f>D120-H120</f>
        <v>16.223847239291757</v>
      </c>
      <c r="J120" s="89">
        <f>I120/D120</f>
        <v>8.1404150723992749E-2</v>
      </c>
      <c r="K120" s="90">
        <f>IF(A120="M",VLOOKUP(B120,'ARRS Marathon SARs (formatted)'!$B$11:$S$97,5),IF(A120="F",VLOOKUP(B120,'ARRS Marathon SARs (formatted)'!$B$98:$S$183,5)))</f>
        <v>39768</v>
      </c>
      <c r="L120" s="71" t="str">
        <f t="shared" si="5"/>
        <v>Set before</v>
      </c>
      <c r="M120" s="91">
        <f>INDEX('2015_Road Weights'!$A:$CX,MATCH(Table12[[#This Row],[Gender]],'2015_Road Weights'!$A:$A,0),MATCH(Table12[[#This Row],[Age]],'2015_Road Weights'!$1:$1,0))</f>
        <v>0.72560000000000002</v>
      </c>
      <c r="N120" s="87">
        <f>IF(A120="M", Male_2015_Open_Standard/M120,IF(A120="F",Female_2020_Open_Standard/M120))</f>
        <v>0.12831015966352238</v>
      </c>
      <c r="O120" s="88">
        <f>Table12[[#This Row],[2015_AS]]*1440</f>
        <v>184.76662991547224</v>
      </c>
    </row>
    <row r="121" spans="1:15" x14ac:dyDescent="0.55000000000000004">
      <c r="A121" s="71" t="s">
        <v>2</v>
      </c>
      <c r="B121" s="71">
        <v>65</v>
      </c>
      <c r="C121" s="87">
        <f>IF(A121="M",VLOOKUP(B121,'ARRS Marathon SARs (formatted)'!$B$11:$S$97,2),IF(A121="F",VLOOKUP(B121,'ARRS Marathon SARs (formatted)'!$B$98:$S$183,2)))</f>
        <v>0.13399305555555555</v>
      </c>
      <c r="D121" s="88">
        <f t="shared" si="6"/>
        <v>192.95</v>
      </c>
      <c r="E121" s="87" t="str">
        <f>IF(Table12[[#This Row],[SAR]]=$D$3,"Yes",IF(Table12[[#This Row],[SAR]]=$D$4, "Yes", "No"))</f>
        <v>No</v>
      </c>
      <c r="F121" s="71">
        <f>IF(A121="M",VLOOKUP(B121,[3]AgeStdFactors!$A$2:$V$100,16),IF(A121="F",VLOOKUP(B121,[4]AgeStdFactors!$A$2:$V$101,16)))</f>
        <v>0.72130000000000005</v>
      </c>
      <c r="G121" s="87">
        <f>IF(A121="M", Male_2020_Open_Standard/F121,IF(A121="F",Female_2020_Open_Standard/F121))</f>
        <v>0.12907507535262974</v>
      </c>
      <c r="H121" s="88">
        <f t="shared" si="4"/>
        <v>185.86810850778681</v>
      </c>
      <c r="I121" s="88">
        <f>D121-H121</f>
        <v>7.0818914922131739</v>
      </c>
      <c r="J121" s="89">
        <f>I121/D121</f>
        <v>3.6703246914813033E-2</v>
      </c>
      <c r="K121" s="90">
        <f>IF(A121="M",VLOOKUP(B121,'ARRS Marathon SARs (formatted)'!$B$11:$S$97,5),IF(A121="F",VLOOKUP(B121,'ARRS Marathon SARs (formatted)'!$B$98:$S$183,5)))</f>
        <v>39929</v>
      </c>
      <c r="L121" s="71" t="str">
        <f t="shared" si="5"/>
        <v>Set before</v>
      </c>
      <c r="M121" s="91">
        <f>INDEX('2015_Road Weights'!$A:$CX,MATCH(Table12[[#This Row],[Gender]],'2015_Road Weights'!$A:$A,0),MATCH(Table12[[#This Row],[Age]],'2015_Road Weights'!$1:$1,0))</f>
        <v>0.71460000000000001</v>
      </c>
      <c r="N121" s="87">
        <f>IF(A121="M", Male_2015_Open_Standard/M121,IF(A121="F",Female_2020_Open_Standard/M121))</f>
        <v>0.13028526707507954</v>
      </c>
      <c r="O121" s="88">
        <f>Table12[[#This Row],[2015_AS]]*1440</f>
        <v>187.61078458811454</v>
      </c>
    </row>
    <row r="122" spans="1:15" x14ac:dyDescent="0.55000000000000004">
      <c r="A122" s="71" t="s">
        <v>2</v>
      </c>
      <c r="B122" s="71">
        <v>66</v>
      </c>
      <c r="C122" s="87">
        <f>IF(A122="M",VLOOKUP(B122,'ARRS Marathon SARs (formatted)'!$B$11:$S$97,2),IF(A122="F",VLOOKUP(B122,'ARRS Marathon SARs (formatted)'!$B$98:$S$183,2)))</f>
        <v>0.13825231481481481</v>
      </c>
      <c r="D122" s="88">
        <f t="shared" si="6"/>
        <v>199.08333333333334</v>
      </c>
      <c r="E122" s="87" t="str">
        <f>IF(Table12[[#This Row],[SAR]]=$D$3,"Yes",IF(Table12[[#This Row],[SAR]]=$D$4, "Yes", "No"))</f>
        <v>No</v>
      </c>
      <c r="F122" s="71">
        <f>IF(A122="M",VLOOKUP(B122,[3]AgeStdFactors!$A$2:$V$100,16),IF(A122="F",VLOOKUP(B122,[4]AgeStdFactors!$A$2:$V$101,16)))</f>
        <v>0.71020000000000005</v>
      </c>
      <c r="G122" s="87">
        <f>IF(A122="M", Male_2020_Open_Standard/F122,IF(A122="F",Female_2020_Open_Standard/F122))</f>
        <v>0.1310924413571555</v>
      </c>
      <c r="H122" s="88">
        <f t="shared" si="4"/>
        <v>188.77311555430393</v>
      </c>
      <c r="I122" s="88">
        <f>D122-H122</f>
        <v>10.310217779029415</v>
      </c>
      <c r="J122" s="89">
        <f>I122/D122</f>
        <v>5.1788452636397225E-2</v>
      </c>
      <c r="K122" s="90">
        <f>IF(A122="M",VLOOKUP(B122,'ARRS Marathon SARs (formatted)'!$B$11:$S$97,5),IF(A122="F",VLOOKUP(B122,'ARRS Marathon SARs (formatted)'!$B$98:$S$183,5)))</f>
        <v>41546</v>
      </c>
      <c r="L122" s="71" t="str">
        <f t="shared" si="5"/>
        <v>Set before</v>
      </c>
      <c r="M122" s="91">
        <f>INDEX('2015_Road Weights'!$A:$CX,MATCH(Table12[[#This Row],[Gender]],'2015_Road Weights'!$A:$A,0),MATCH(Table12[[#This Row],[Age]],'2015_Road Weights'!$1:$1,0))</f>
        <v>0.7036</v>
      </c>
      <c r="N122" s="87">
        <f>IF(A122="M", Male_2015_Open_Standard/M122,IF(A122="F",Female_2020_Open_Standard/M122))</f>
        <v>0.13232213168256374</v>
      </c>
      <c r="O122" s="88">
        <f>Table12[[#This Row],[2015_AS]]*1440</f>
        <v>190.54386962289178</v>
      </c>
    </row>
    <row r="123" spans="1:15" x14ac:dyDescent="0.55000000000000004">
      <c r="A123" s="71" t="s">
        <v>2</v>
      </c>
      <c r="B123" s="71">
        <v>67</v>
      </c>
      <c r="C123" s="87">
        <f>IF(A123="M",VLOOKUP(B123,'ARRS Marathon SARs (formatted)'!$B$11:$S$97,2),IF(A123="F",VLOOKUP(B123,'ARRS Marathon SARs (formatted)'!$B$98:$S$183,2)))</f>
        <v>0.13813657407407406</v>
      </c>
      <c r="D123" s="88">
        <f t="shared" si="6"/>
        <v>198.91666666666666</v>
      </c>
      <c r="E123" s="87" t="str">
        <f>IF(Table12[[#This Row],[SAR]]=$D$3,"Yes",IF(Table12[[#This Row],[SAR]]=$D$4, "Yes", "No"))</f>
        <v>No</v>
      </c>
      <c r="F123" s="71">
        <f>IF(A123="M",VLOOKUP(B123,[3]AgeStdFactors!$A$2:$V$100,16),IF(A123="F",VLOOKUP(B123,[4]AgeStdFactors!$A$2:$V$101,16)))</f>
        <v>0.69920000000000004</v>
      </c>
      <c r="G123" s="87">
        <f>IF(A123="M", Male_2020_Open_Standard/F123,IF(A123="F",Female_2020_Open_Standard/F123))</f>
        <v>0.13315482244257984</v>
      </c>
      <c r="H123" s="88">
        <f t="shared" si="4"/>
        <v>191.74294431731497</v>
      </c>
      <c r="I123" s="88">
        <f>D123-H123</f>
        <v>7.1737223493516922</v>
      </c>
      <c r="J123" s="89">
        <f>I123/D123</f>
        <v>3.6063958186937708E-2</v>
      </c>
      <c r="K123" s="90">
        <f>IF(A123="M",VLOOKUP(B123,'ARRS Marathon SARs (formatted)'!$B$11:$S$97,5),IF(A123="F",VLOOKUP(B123,'ARRS Marathon SARs (formatted)'!$B$98:$S$183,5)))</f>
        <v>43394</v>
      </c>
      <c r="L123" s="71" t="str">
        <f t="shared" si="5"/>
        <v>Set after</v>
      </c>
      <c r="M123" s="91">
        <f>INDEX('2015_Road Weights'!$A:$CX,MATCH(Table12[[#This Row],[Gender]],'2015_Road Weights'!$A:$A,0),MATCH(Table12[[#This Row],[Age]],'2015_Road Weights'!$1:$1,0))</f>
        <v>0.69259999999999999</v>
      </c>
      <c r="N123" s="87">
        <f>IF(A123="M", Male_2015_Open_Standard/M123,IF(A123="F",Female_2020_Open_Standard/M123))</f>
        <v>0.1344236960032513</v>
      </c>
      <c r="O123" s="88">
        <f>Table12[[#This Row],[2015_AS]]*1440</f>
        <v>193.57012224468187</v>
      </c>
    </row>
    <row r="124" spans="1:15" x14ac:dyDescent="0.55000000000000004">
      <c r="A124" s="71" t="s">
        <v>2</v>
      </c>
      <c r="B124" s="71">
        <v>68</v>
      </c>
      <c r="C124" s="87">
        <f>IF(A124="M",VLOOKUP(B124,'ARRS Marathon SARs (formatted)'!$B$11:$S$97,2),IF(A124="F",VLOOKUP(B124,'ARRS Marathon SARs (formatted)'!$B$98:$S$183,2)))</f>
        <v>0.1386226851851852</v>
      </c>
      <c r="D124" s="88">
        <f t="shared" si="6"/>
        <v>199.61666666666667</v>
      </c>
      <c r="E124" s="87" t="str">
        <f>IF(Table12[[#This Row],[SAR]]=$D$3,"Yes",IF(Table12[[#This Row],[SAR]]=$D$4, "Yes", "No"))</f>
        <v>No</v>
      </c>
      <c r="F124" s="71">
        <f>IF(A124="M",VLOOKUP(B124,[3]AgeStdFactors!$A$2:$V$100,16),IF(A124="F",VLOOKUP(B124,[4]AgeStdFactors!$A$2:$V$101,16)))</f>
        <v>0.68810000000000004</v>
      </c>
      <c r="G124" s="87">
        <f>IF(A124="M", Male_2020_Open_Standard/F124,IF(A124="F",Female_2020_Open_Standard/F124))</f>
        <v>0.13530279298336265</v>
      </c>
      <c r="H124" s="88">
        <f t="shared" si="4"/>
        <v>194.83602189604221</v>
      </c>
      <c r="I124" s="88">
        <f>D124-H124</f>
        <v>4.7806447706244626</v>
      </c>
      <c r="J124" s="89">
        <f>I124/D124</f>
        <v>2.3949126345284108E-2</v>
      </c>
      <c r="K124" s="90">
        <f>IF(A124="M",VLOOKUP(B124,'ARRS Marathon SARs (formatted)'!$B$11:$S$97,5),IF(A124="F",VLOOKUP(B124,'ARRS Marathon SARs (formatted)'!$B$98:$S$183,5)))</f>
        <v>43737</v>
      </c>
      <c r="L124" s="71" t="str">
        <f t="shared" si="5"/>
        <v>Set after</v>
      </c>
      <c r="M124" s="91">
        <f>INDEX('2015_Road Weights'!$A:$CX,MATCH(Table12[[#This Row],[Gender]],'2015_Road Weights'!$A:$A,0),MATCH(Table12[[#This Row],[Age]],'2015_Road Weights'!$1:$1,0))</f>
        <v>0.68159999999999998</v>
      </c>
      <c r="N124" s="87">
        <f>IF(A124="M", Male_2015_Open_Standard/M124,IF(A124="F",Female_2020_Open_Standard/M124))</f>
        <v>0.13659309250565119</v>
      </c>
      <c r="O124" s="88">
        <f>Table12[[#This Row],[2015_AS]]*1440</f>
        <v>196.69405320813772</v>
      </c>
    </row>
    <row r="125" spans="1:15" x14ac:dyDescent="0.55000000000000004">
      <c r="A125" s="71" t="s">
        <v>2</v>
      </c>
      <c r="B125" s="71">
        <v>69</v>
      </c>
      <c r="C125" s="87">
        <f>IF(A125="M",VLOOKUP(B125,'ARRS Marathon SARs (formatted)'!$B$11:$S$97,2),IF(A125="F",VLOOKUP(B125,'ARRS Marathon SARs (formatted)'!$B$98:$S$183,2)))</f>
        <v>0.14561342592592594</v>
      </c>
      <c r="D125" s="88">
        <f t="shared" si="6"/>
        <v>209.68333333333334</v>
      </c>
      <c r="E125" s="87" t="str">
        <f>IF(Table12[[#This Row],[SAR]]=$D$3,"Yes",IF(Table12[[#This Row],[SAR]]=$D$4, "Yes", "No"))</f>
        <v>No</v>
      </c>
      <c r="F125" s="71">
        <f>IF(A125="M",VLOOKUP(B125,[3]AgeStdFactors!$A$2:$V$100,16),IF(A125="F",VLOOKUP(B125,[4]AgeStdFactors!$A$2:$V$101,16)))</f>
        <v>0.67700000000000005</v>
      </c>
      <c r="G125" s="87">
        <f>IF(A125="M", Male_2020_Open_Standard/F125,IF(A125="F",Female_2020_Open_Standard/F125))</f>
        <v>0.13752119919032768</v>
      </c>
      <c r="H125" s="88">
        <f t="shared" si="4"/>
        <v>198.03052683407185</v>
      </c>
      <c r="I125" s="88">
        <f>D125-H125</f>
        <v>11.652806499261487</v>
      </c>
      <c r="J125" s="89">
        <f>I125/D125</f>
        <v>5.5573355850543613E-2</v>
      </c>
      <c r="K125" s="90">
        <f>IF(A125="M",VLOOKUP(B125,'ARRS Marathon SARs (formatted)'!$B$11:$S$97,5),IF(A125="F",VLOOKUP(B125,'ARRS Marathon SARs (formatted)'!$B$98:$S$183,5)))</f>
        <v>43023</v>
      </c>
      <c r="L125" s="71" t="str">
        <f t="shared" si="5"/>
        <v>Set after</v>
      </c>
      <c r="M125" s="91">
        <f>INDEX('2015_Road Weights'!$A:$CX,MATCH(Table12[[#This Row],[Gender]],'2015_Road Weights'!$A:$A,0),MATCH(Table12[[#This Row],[Age]],'2015_Road Weights'!$1:$1,0))</f>
        <v>0.67059999999999997</v>
      </c>
      <c r="N125" s="87">
        <f>IF(A125="M", Male_2015_Open_Standard/M125,IF(A125="F",Female_2020_Open_Standard/M125))</f>
        <v>0.13883365918856522</v>
      </c>
      <c r="O125" s="88">
        <f>Table12[[#This Row],[2015_AS]]*1440</f>
        <v>199.9204692315339</v>
      </c>
    </row>
    <row r="126" spans="1:15" x14ac:dyDescent="0.55000000000000004">
      <c r="A126" s="71" t="s">
        <v>2</v>
      </c>
      <c r="B126" s="71">
        <v>70</v>
      </c>
      <c r="C126" s="87">
        <f>IF(A126="M",VLOOKUP(B126,'ARRS Marathon SARs (formatted)'!$B$11:$S$97,2),IF(A126="F",VLOOKUP(B126,'ARRS Marathon SARs (formatted)'!$B$98:$S$183,2)))</f>
        <v>0.14432870370370371</v>
      </c>
      <c r="D126" s="88">
        <f t="shared" si="6"/>
        <v>207.83333333333334</v>
      </c>
      <c r="E126" s="87" t="str">
        <f>IF(Table12[[#This Row],[SAR]]=$D$3,"Yes",IF(Table12[[#This Row],[SAR]]=$D$4, "Yes", "No"))</f>
        <v>No</v>
      </c>
      <c r="F126" s="71">
        <f>IF(A126="M",VLOOKUP(B126,[3]AgeStdFactors!$A$2:$V$100,16),IF(A126="F",VLOOKUP(B126,[4]AgeStdFactors!$A$2:$V$101,16)))</f>
        <v>0.66600000000000004</v>
      </c>
      <c r="G126" s="87">
        <f>IF(A126="M", Male_2020_Open_Standard/F126,IF(A126="F",Female_2020_Open_Standard/F126))</f>
        <v>0.13979257034812587</v>
      </c>
      <c r="H126" s="88">
        <f t="shared" si="4"/>
        <v>201.30130130130124</v>
      </c>
      <c r="I126" s="88">
        <f>D126-H126</f>
        <v>6.5320320320321059</v>
      </c>
      <c r="J126" s="89">
        <f>I126/D126</f>
        <v>3.1429183794861773E-2</v>
      </c>
      <c r="K126" s="90">
        <f>IF(A126="M",VLOOKUP(B126,'ARRS Marathon SARs (formatted)'!$B$11:$S$97,5),IF(A126="F",VLOOKUP(B126,'ARRS Marathon SARs (formatted)'!$B$98:$S$183,5)))</f>
        <v>43380</v>
      </c>
      <c r="L126" s="71" t="str">
        <f t="shared" si="5"/>
        <v>Set after</v>
      </c>
      <c r="M126" s="91">
        <f>INDEX('2015_Road Weights'!$A:$CX,MATCH(Table12[[#This Row],[Gender]],'2015_Road Weights'!$A:$A,0),MATCH(Table12[[#This Row],[Age]],'2015_Road Weights'!$1:$1,0))</f>
        <v>0.65959999999999996</v>
      </c>
      <c r="N126" s="87">
        <f>IF(A126="M", Male_2015_Open_Standard/M126,IF(A126="F",Female_2020_Open_Standard/M126))</f>
        <v>0.14114895671899916</v>
      </c>
      <c r="O126" s="88">
        <f>Table12[[#This Row],[2015_AS]]*1440</f>
        <v>203.25449767535878</v>
      </c>
    </row>
    <row r="127" spans="1:15" x14ac:dyDescent="0.55000000000000004">
      <c r="A127" s="71" t="s">
        <v>2</v>
      </c>
      <c r="B127" s="71">
        <v>71</v>
      </c>
      <c r="C127" s="87">
        <f>IF(A127="M",VLOOKUP(B127,'ARRS Marathon SARs (formatted)'!$B$11:$S$97,2),IF(A127="F",VLOOKUP(B127,'ARRS Marathon SARs (formatted)'!$B$98:$S$183,2)))</f>
        <v>0.14222222222222222</v>
      </c>
      <c r="D127" s="88">
        <f t="shared" si="6"/>
        <v>204.8</v>
      </c>
      <c r="E127" s="87" t="str">
        <f>IF(Table12[[#This Row],[SAR]]=$D$3,"Yes",IF(Table12[[#This Row],[SAR]]=$D$4, "Yes", "No"))</f>
        <v>No</v>
      </c>
      <c r="F127" s="71">
        <f>IF(A127="M",VLOOKUP(B127,[3]AgeStdFactors!$A$2:$V$100,16),IF(A127="F",VLOOKUP(B127,[4]AgeStdFactors!$A$2:$V$101,16)))</f>
        <v>0.65490000000000004</v>
      </c>
      <c r="G127" s="87">
        <f>IF(A127="M", Male_2020_Open_Standard/F127,IF(A127="F",Female_2020_Open_Standard/F127))</f>
        <v>0.14216193594724666</v>
      </c>
      <c r="H127" s="88">
        <f t="shared" si="4"/>
        <v>204.71318776403518</v>
      </c>
      <c r="I127" s="88">
        <f>D127-H127</f>
        <v>8.6812235964828233E-2</v>
      </c>
      <c r="J127" s="89">
        <f>I127/D127</f>
        <v>4.2388787092201285E-4</v>
      </c>
      <c r="K127" s="90">
        <f>IF(A127="M",VLOOKUP(B127,'ARRS Marathon SARs (formatted)'!$B$11:$S$97,5),IF(A127="F",VLOOKUP(B127,'ARRS Marathon SARs (formatted)'!$B$98:$S$183,5)))</f>
        <v>43737</v>
      </c>
      <c r="L127" s="71" t="str">
        <f t="shared" si="5"/>
        <v>Set after</v>
      </c>
      <c r="M127" s="91">
        <f>INDEX('2015_Road Weights'!$A:$CX,MATCH(Table12[[#This Row],[Gender]],'2015_Road Weights'!$A:$A,0),MATCH(Table12[[#This Row],[Age]],'2015_Road Weights'!$1:$1,0))</f>
        <v>0.64859999999999995</v>
      </c>
      <c r="N127" s="87">
        <f>IF(A127="M", Male_2015_Open_Standard/M127,IF(A127="F",Female_2020_Open_Standard/M127))</f>
        <v>0.14354278731398681</v>
      </c>
      <c r="O127" s="88">
        <f>Table12[[#This Row],[2015_AS]]*1440</f>
        <v>206.701613732141</v>
      </c>
    </row>
    <row r="128" spans="1:15" x14ac:dyDescent="0.55000000000000004">
      <c r="A128" s="71" t="s">
        <v>2</v>
      </c>
      <c r="B128" s="71">
        <v>72</v>
      </c>
      <c r="C128" s="87">
        <f>IF(A128="M",VLOOKUP(B128,'ARRS Marathon SARs (formatted)'!$B$11:$S$97,2),IF(A128="F",VLOOKUP(B128,'ARRS Marathon SARs (formatted)'!$B$98:$S$183,2)))</f>
        <v>0.14964120370370371</v>
      </c>
      <c r="D128" s="88">
        <f t="shared" si="6"/>
        <v>215.48333333333335</v>
      </c>
      <c r="E128" s="87" t="str">
        <f>IF(Table12[[#This Row],[SAR]]=$D$3,"Yes",IF(Table12[[#This Row],[SAR]]=$D$4, "Yes", "No"))</f>
        <v>No</v>
      </c>
      <c r="F128" s="71">
        <f>IF(A128="M",VLOOKUP(B128,[3]AgeStdFactors!$A$2:$V$100,16),IF(A128="F",VLOOKUP(B128,[4]AgeStdFactors!$A$2:$V$101,16)))</f>
        <v>0.64390000000000003</v>
      </c>
      <c r="G128" s="87">
        <f>IF(A128="M", Male_2020_Open_Standard/F128,IF(A128="F",Female_2020_Open_Standard/F128))</f>
        <v>0.14459054488562173</v>
      </c>
      <c r="H128" s="88">
        <f t="shared" si="4"/>
        <v>208.2103846352953</v>
      </c>
      <c r="I128" s="88">
        <f>D128-H128</f>
        <v>7.27294869803805</v>
      </c>
      <c r="J128" s="89">
        <f>I128/D128</f>
        <v>3.375179224087578E-2</v>
      </c>
      <c r="K128" s="90">
        <f>IF(A128="M",VLOOKUP(B128,'ARRS Marathon SARs (formatted)'!$B$11:$S$97,5),IF(A128="F",VLOOKUP(B128,'ARRS Marathon SARs (formatted)'!$B$98:$S$183,5)))</f>
        <v>41560</v>
      </c>
      <c r="L128" s="71" t="str">
        <f t="shared" si="5"/>
        <v>Set before</v>
      </c>
      <c r="M128" s="91">
        <f>INDEX('2015_Road Weights'!$A:$CX,MATCH(Table12[[#This Row],[Gender]],'2015_Road Weights'!$A:$A,0),MATCH(Table12[[#This Row],[Age]],'2015_Road Weights'!$1:$1,0))</f>
        <v>0.63759999999999994</v>
      </c>
      <c r="N128" s="87">
        <f>IF(A128="M", Male_2015_Open_Standard/M128,IF(A128="F",Female_2020_Open_Standard/M128))</f>
        <v>0.14601921557693201</v>
      </c>
      <c r="O128" s="88">
        <f>Table12[[#This Row],[2015_AS]]*1440</f>
        <v>210.26767043078209</v>
      </c>
    </row>
    <row r="129" spans="1:15" x14ac:dyDescent="0.55000000000000004">
      <c r="A129" s="71" t="s">
        <v>2</v>
      </c>
      <c r="B129" s="71">
        <v>73</v>
      </c>
      <c r="C129" s="87">
        <f>IF(A129="M",VLOOKUP(B129,'ARRS Marathon SARs (formatted)'!$B$11:$S$97,2),IF(A129="F",VLOOKUP(B129,'ARRS Marathon SARs (formatted)'!$B$98:$S$183,2)))</f>
        <v>0.15438657407407408</v>
      </c>
      <c r="D129" s="88">
        <f t="shared" si="6"/>
        <v>222.31666666666666</v>
      </c>
      <c r="E129" s="87" t="str">
        <f>IF(Table12[[#This Row],[SAR]]=$D$3,"Yes",IF(Table12[[#This Row],[SAR]]=$D$4, "Yes", "No"))</f>
        <v>No</v>
      </c>
      <c r="F129" s="71">
        <f>IF(A129="M",VLOOKUP(B129,[3]AgeStdFactors!$A$2:$V$100,16),IF(A129="F",VLOOKUP(B129,[4]AgeStdFactors!$A$2:$V$101,16)))</f>
        <v>0.63280000000000003</v>
      </c>
      <c r="G129" s="87">
        <f>IF(A129="M", Male_2020_Open_Standard/F129,IF(A129="F",Female_2020_Open_Standard/F129))</f>
        <v>0.14712682024628926</v>
      </c>
      <c r="H129" s="88">
        <f t="shared" si="4"/>
        <v>211.86262115465652</v>
      </c>
      <c r="I129" s="88">
        <f>D129-H129</f>
        <v>10.45404551201014</v>
      </c>
      <c r="J129" s="89">
        <f>I129/D129</f>
        <v>4.7023219935573013E-2</v>
      </c>
      <c r="K129" s="90">
        <f>IF(A129="M",VLOOKUP(B129,'ARRS Marathon SARs (formatted)'!$B$11:$S$97,5),IF(A129="F",VLOOKUP(B129,'ARRS Marathon SARs (formatted)'!$B$98:$S$183,5)))</f>
        <v>43737</v>
      </c>
      <c r="L129" s="71" t="str">
        <f t="shared" si="5"/>
        <v>Set after</v>
      </c>
      <c r="M129" s="91">
        <f>INDEX('2015_Road Weights'!$A:$CX,MATCH(Table12[[#This Row],[Gender]],'2015_Road Weights'!$A:$A,0),MATCH(Table12[[#This Row],[Age]],'2015_Road Weights'!$1:$1,0))</f>
        <v>0.62660000000000005</v>
      </c>
      <c r="N129" s="87">
        <f>IF(A129="M", Male_2015_Open_Standard/M129,IF(A129="F",Female_2020_Open_Standard/M129))</f>
        <v>0.14858259152864958</v>
      </c>
      <c r="O129" s="88">
        <f>Table12[[#This Row],[2015_AS]]*1440</f>
        <v>213.9589318012554</v>
      </c>
    </row>
    <row r="130" spans="1:15" x14ac:dyDescent="0.55000000000000004">
      <c r="A130" s="71" t="s">
        <v>2</v>
      </c>
      <c r="B130" s="71">
        <v>74</v>
      </c>
      <c r="C130" s="87">
        <f>IF(A130="M",VLOOKUP(B130,'ARRS Marathon SARs (formatted)'!$B$11:$S$97,2),IF(A130="F",VLOOKUP(B130,'ARRS Marathon SARs (formatted)'!$B$98:$S$183,2)))</f>
        <v>0.15938657407407408</v>
      </c>
      <c r="D130" s="88">
        <f t="shared" si="6"/>
        <v>229.51666666666668</v>
      </c>
      <c r="E130" s="87" t="str">
        <f>IF(Table12[[#This Row],[SAR]]=$D$3,"Yes",IF(Table12[[#This Row],[SAR]]=$D$4, "Yes", "No"))</f>
        <v>No</v>
      </c>
      <c r="F130" s="71">
        <f>IF(A130="M",VLOOKUP(B130,[3]AgeStdFactors!$A$2:$V$100,16),IF(A130="F",VLOOKUP(B130,[4]AgeStdFactors!$A$2:$V$101,16)))</f>
        <v>0.62170000000000003</v>
      </c>
      <c r="G130" s="87">
        <f>IF(A130="M", Male_2020_Open_Standard/F130,IF(A130="F",Female_2020_Open_Standard/F130))</f>
        <v>0.14975366229990644</v>
      </c>
      <c r="H130" s="88">
        <f t="shared" si="4"/>
        <v>215.64527371186529</v>
      </c>
      <c r="I130" s="88">
        <f>D130-H130</f>
        <v>13.871392954801394</v>
      </c>
      <c r="J130" s="89">
        <f>I130/D130</f>
        <v>6.0437410303397256E-2</v>
      </c>
      <c r="K130" s="90">
        <f>IF(A130="M",VLOOKUP(B130,'ARRS Marathon SARs (formatted)'!$B$11:$S$97,5),IF(A130="F",VLOOKUP(B130,'ARRS Marathon SARs (formatted)'!$B$98:$S$183,5)))</f>
        <v>42232</v>
      </c>
      <c r="L130" s="71" t="str">
        <f t="shared" si="5"/>
        <v>Set after</v>
      </c>
      <c r="M130" s="91">
        <f>INDEX('2015_Road Weights'!$A:$CX,MATCH(Table12[[#This Row],[Gender]],'2015_Road Weights'!$A:$A,0),MATCH(Table12[[#This Row],[Age]],'2015_Road Weights'!$1:$1,0))</f>
        <v>0.61560000000000004</v>
      </c>
      <c r="N130" s="87">
        <f>IF(A130="M", Male_2015_Open_Standard/M130,IF(A130="F",Female_2020_Open_Standard/M130))</f>
        <v>0.15123757610762156</v>
      </c>
      <c r="O130" s="88">
        <f>Table12[[#This Row],[2015_AS]]*1440</f>
        <v>217.78210959497505</v>
      </c>
    </row>
    <row r="131" spans="1:15" x14ac:dyDescent="0.55000000000000004">
      <c r="A131" s="71" t="s">
        <v>2</v>
      </c>
      <c r="B131" s="71">
        <v>75</v>
      </c>
      <c r="C131" s="87">
        <f>IF(A131="M",VLOOKUP(B131,'ARRS Marathon SARs (formatted)'!$B$11:$S$97,2),IF(A131="F",VLOOKUP(B131,'ARRS Marathon SARs (formatted)'!$B$98:$S$183,2)))</f>
        <v>0.17059027777777777</v>
      </c>
      <c r="D131" s="88">
        <f t="shared" si="6"/>
        <v>245.64999999999998</v>
      </c>
      <c r="E131" s="87" t="str">
        <f>IF(Table12[[#This Row],[SAR]]=$D$3,"Yes",IF(Table12[[#This Row],[SAR]]=$D$4, "Yes", "No"))</f>
        <v>No</v>
      </c>
      <c r="F131" s="71">
        <f>IF(A131="M",VLOOKUP(B131,[3]AgeStdFactors!$A$2:$V$100,16),IF(A131="F",VLOOKUP(B131,[4]AgeStdFactors!$A$2:$V$101,16)))</f>
        <v>0.61029999999999995</v>
      </c>
      <c r="G131" s="87">
        <f>IF(A131="M", Male_2020_Open_Standard/F131,IF(A131="F",Female_2020_Open_Standard/F131))</f>
        <v>0.15255096157930828</v>
      </c>
      <c r="H131" s="88">
        <f t="shared" si="4"/>
        <v>219.67338467420393</v>
      </c>
      <c r="I131" s="88">
        <f>D131-H131</f>
        <v>25.976615325796047</v>
      </c>
      <c r="J131" s="89">
        <f>I131/D131</f>
        <v>0.10574644952491777</v>
      </c>
      <c r="K131" s="90">
        <f>IF(A131="M",VLOOKUP(B131,'ARRS Marathon SARs (formatted)'!$B$11:$S$97,5),IF(A131="F",VLOOKUP(B131,'ARRS Marathon SARs (formatted)'!$B$98:$S$183,5)))</f>
        <v>40573</v>
      </c>
      <c r="L131" s="71" t="str">
        <f t="shared" si="5"/>
        <v>Set before</v>
      </c>
      <c r="M131" s="91">
        <f>INDEX('2015_Road Weights'!$A:$CX,MATCH(Table12[[#This Row],[Gender]],'2015_Road Weights'!$A:$A,0),MATCH(Table12[[#This Row],[Age]],'2015_Road Weights'!$1:$1,0))</f>
        <v>0.60419999999999996</v>
      </c>
      <c r="N131" s="87">
        <f>IF(A131="M", Male_2015_Open_Standard/M131,IF(A131="F",Female_2020_Open_Standard/M131))</f>
        <v>0.15409111527946351</v>
      </c>
      <c r="O131" s="88">
        <f>Table12[[#This Row],[2015_AS]]*1440</f>
        <v>221.89120600242745</v>
      </c>
    </row>
    <row r="132" spans="1:15" x14ac:dyDescent="0.55000000000000004">
      <c r="A132" s="71" t="s">
        <v>2</v>
      </c>
      <c r="B132" s="71">
        <v>76</v>
      </c>
      <c r="C132" s="87">
        <f>IF(A132="M",VLOOKUP(B132,'ARRS Marathon SARs (formatted)'!$B$11:$S$97,2),IF(A132="F",VLOOKUP(B132,'ARRS Marathon SARs (formatted)'!$B$98:$S$183,2)))</f>
        <v>0.16229166666666667</v>
      </c>
      <c r="D132" s="88">
        <f t="shared" si="6"/>
        <v>233.7</v>
      </c>
      <c r="E132" s="87" t="str">
        <f>IF(Table12[[#This Row],[SAR]]=$D$3,"Yes",IF(Table12[[#This Row],[SAR]]=$D$4, "Yes", "No"))</f>
        <v>No</v>
      </c>
      <c r="F132" s="71">
        <f>IF(A132="M",VLOOKUP(B132,[3]AgeStdFactors!$A$2:$V$100,16),IF(A132="F",VLOOKUP(B132,[4]AgeStdFactors!$A$2:$V$101,16)))</f>
        <v>0.59799999999999998</v>
      </c>
      <c r="G132" s="87">
        <f>IF(A132="M", Male_2020_Open_Standard/F132,IF(A132="F",Female_2020_Open_Standard/F132))</f>
        <v>0.15568871547132415</v>
      </c>
      <c r="H132" s="88">
        <f t="shared" si="4"/>
        <v>224.19175027870679</v>
      </c>
      <c r="I132" s="88">
        <f>D132-H132</f>
        <v>9.5082497212931969</v>
      </c>
      <c r="J132" s="89">
        <f>I132/D132</f>
        <v>4.0685706980287534E-2</v>
      </c>
      <c r="K132" s="90">
        <f>IF(A132="M",VLOOKUP(B132,'ARRS Marathon SARs (formatted)'!$B$11:$S$97,5),IF(A132="F",VLOOKUP(B132,'ARRS Marathon SARs (formatted)'!$B$98:$S$183,5)))</f>
        <v>41236</v>
      </c>
      <c r="L132" s="71" t="str">
        <f t="shared" si="5"/>
        <v>Set before</v>
      </c>
      <c r="M132" s="91">
        <f>INDEX('2015_Road Weights'!$A:$CX,MATCH(Table12[[#This Row],[Gender]],'2015_Road Weights'!$A:$A,0),MATCH(Table12[[#This Row],[Age]],'2015_Road Weights'!$1:$1,0))</f>
        <v>0.59199999999999997</v>
      </c>
      <c r="N132" s="87">
        <f>IF(A132="M", Male_2015_Open_Standard/M132,IF(A132="F",Female_2020_Open_Standard/M132))</f>
        <v>0.15726664164164161</v>
      </c>
      <c r="O132" s="88">
        <f>Table12[[#This Row],[2015_AS]]*1440</f>
        <v>226.46396396396392</v>
      </c>
    </row>
    <row r="133" spans="1:15" x14ac:dyDescent="0.55000000000000004">
      <c r="A133" s="71" t="s">
        <v>2</v>
      </c>
      <c r="B133" s="71">
        <v>77</v>
      </c>
      <c r="C133" s="87">
        <f>IF(A133="M",VLOOKUP(B133,'ARRS Marathon SARs (formatted)'!$B$11:$S$97,2),IF(A133="F",VLOOKUP(B133,'ARRS Marathon SARs (formatted)'!$B$98:$S$183,2)))</f>
        <v>0.18364583333333331</v>
      </c>
      <c r="D133" s="88">
        <f t="shared" si="6"/>
        <v>264.45</v>
      </c>
      <c r="E133" s="87" t="str">
        <f>IF(Table12[[#This Row],[SAR]]=$D$3,"Yes",IF(Table12[[#This Row],[SAR]]=$D$4, "Yes", "No"))</f>
        <v>No</v>
      </c>
      <c r="F133" s="71">
        <f>IF(A133="M",VLOOKUP(B133,[3]AgeStdFactors!$A$2:$V$100,16),IF(A133="F",VLOOKUP(B133,[4]AgeStdFactors!$A$2:$V$101,16)))</f>
        <v>0.58499999999999996</v>
      </c>
      <c r="G133" s="87">
        <f>IF(A133="M", Male_2020_Open_Standard/F133,IF(A133="F",Female_2020_Open_Standard/F133))</f>
        <v>0.15914846470402025</v>
      </c>
      <c r="H133" s="88">
        <f t="shared" si="4"/>
        <v>229.17378917378915</v>
      </c>
      <c r="I133" s="88">
        <f>D133-H133</f>
        <v>35.276210826210843</v>
      </c>
      <c r="J133" s="89">
        <f>I133/D133</f>
        <v>0.13339463348916938</v>
      </c>
      <c r="K133" s="90">
        <f>IF(A133="M",VLOOKUP(B133,'ARRS Marathon SARs (formatted)'!$B$11:$S$97,5),IF(A133="F",VLOOKUP(B133,'ARRS Marathon SARs (formatted)'!$B$98:$S$183,5)))</f>
        <v>41784</v>
      </c>
      <c r="L133" s="71" t="str">
        <f t="shared" si="5"/>
        <v>Set before</v>
      </c>
      <c r="M133" s="91">
        <f>INDEX('2015_Road Weights'!$A:$CX,MATCH(Table12[[#This Row],[Gender]],'2015_Road Weights'!$A:$A,0),MATCH(Table12[[#This Row],[Age]],'2015_Road Weights'!$1:$1,0))</f>
        <v>0.57899999999999996</v>
      </c>
      <c r="N133" s="87">
        <f>IF(A133="M", Male_2015_Open_Standard/M133,IF(A133="F",Female_2020_Open_Standard/M133))</f>
        <v>0.16079767159214481</v>
      </c>
      <c r="O133" s="88">
        <f>Table12[[#This Row],[2015_AS]]*1440</f>
        <v>231.54864709268853</v>
      </c>
    </row>
    <row r="134" spans="1:15" x14ac:dyDescent="0.55000000000000004">
      <c r="A134" s="71" t="s">
        <v>2</v>
      </c>
      <c r="B134" s="71">
        <v>78</v>
      </c>
      <c r="C134" s="87">
        <f>IF(A134="M",VLOOKUP(B134,'ARRS Marathon SARs (formatted)'!$B$11:$S$97,2),IF(A134="F",VLOOKUP(B134,'ARRS Marathon SARs (formatted)'!$B$98:$S$183,2)))</f>
        <v>0.18046296296296296</v>
      </c>
      <c r="D134" s="88">
        <f t="shared" si="6"/>
        <v>259.86666666666667</v>
      </c>
      <c r="E134" s="87" t="str">
        <f>IF(Table12[[#This Row],[SAR]]=$D$3,"Yes",IF(Table12[[#This Row],[SAR]]=$D$4, "Yes", "No"))</f>
        <v>No</v>
      </c>
      <c r="F134" s="71">
        <f>IF(A134="M",VLOOKUP(B134,[3]AgeStdFactors!$A$2:$V$100,16),IF(A134="F",VLOOKUP(B134,[4]AgeStdFactors!$A$2:$V$101,16)))</f>
        <v>0.57110000000000005</v>
      </c>
      <c r="G134" s="87">
        <f>IF(A134="M", Male_2020_Open_Standard/F134,IF(A134="F",Female_2020_Open_Standard/F134))</f>
        <v>0.16302197837830823</v>
      </c>
      <c r="H134" s="88">
        <f t="shared" si="4"/>
        <v>234.75164886476387</v>
      </c>
      <c r="I134" s="88">
        <f>D134-H134</f>
        <v>25.115017801902809</v>
      </c>
      <c r="J134" s="89">
        <f>I134/D134</f>
        <v>9.6645784255654732E-2</v>
      </c>
      <c r="K134" s="90">
        <f>IF(A134="M",VLOOKUP(B134,'ARRS Marathon SARs (formatted)'!$B$11:$S$97,5),IF(A134="F",VLOOKUP(B134,'ARRS Marathon SARs (formatted)'!$B$98:$S$183,5)))</f>
        <v>42155</v>
      </c>
      <c r="L134" s="71" t="str">
        <f t="shared" si="5"/>
        <v>Set after</v>
      </c>
      <c r="M134" s="91">
        <f>INDEX('2015_Road Weights'!$A:$CX,MATCH(Table12[[#This Row],[Gender]],'2015_Road Weights'!$A:$A,0),MATCH(Table12[[#This Row],[Age]],'2015_Road Weights'!$1:$1,0))</f>
        <v>0.56520000000000004</v>
      </c>
      <c r="N134" s="87">
        <f>IF(A134="M", Male_2015_Open_Standard/M134,IF(A134="F",Female_2020_Open_Standard/M134))</f>
        <v>0.16472372939110375</v>
      </c>
      <c r="O134" s="88">
        <f>Table12[[#This Row],[2015_AS]]*1440</f>
        <v>237.20217032318939</v>
      </c>
    </row>
    <row r="135" spans="1:15" x14ac:dyDescent="0.55000000000000004">
      <c r="A135" s="71" t="s">
        <v>2</v>
      </c>
      <c r="B135" s="71">
        <v>79</v>
      </c>
      <c r="C135" s="87">
        <f>IF(A135="M",VLOOKUP(B135,'ARRS Marathon SARs (formatted)'!$B$11:$S$97,2),IF(A135="F",VLOOKUP(B135,'ARRS Marathon SARs (formatted)'!$B$98:$S$183,2)))</f>
        <v>0.17488425925925924</v>
      </c>
      <c r="D135" s="88">
        <f t="shared" si="6"/>
        <v>251.83333333333331</v>
      </c>
      <c r="E135" s="87" t="str">
        <f>IF(Table12[[#This Row],[SAR]]=$D$3,"Yes",IF(Table12[[#This Row],[SAR]]=$D$4, "Yes", "No"))</f>
        <v>No</v>
      </c>
      <c r="F135" s="71">
        <f>IF(A135="M",VLOOKUP(B135,[3]AgeStdFactors!$A$2:$V$100,16),IF(A135="F",VLOOKUP(B135,[4]AgeStdFactors!$A$2:$V$101,16)))</f>
        <v>0.55640000000000001</v>
      </c>
      <c r="G135" s="87">
        <f>IF(A135="M", Male_2020_Open_Standard/F135,IF(A135="F",Female_2020_Open_Standard/F135))</f>
        <v>0.16732899326357267</v>
      </c>
      <c r="H135" s="88">
        <f t="shared" si="4"/>
        <v>240.95375029954465</v>
      </c>
      <c r="I135" s="88">
        <f>D135-H135</f>
        <v>10.879583033788663</v>
      </c>
      <c r="J135" s="89">
        <f>I135/D135</f>
        <v>4.3201520981291847E-2</v>
      </c>
      <c r="K135" s="90">
        <f>IF(A135="M",VLOOKUP(B135,'ARRS Marathon SARs (formatted)'!$B$11:$S$97,5),IF(A135="F",VLOOKUP(B135,'ARRS Marathon SARs (formatted)'!$B$98:$S$183,5)))</f>
        <v>42078</v>
      </c>
      <c r="L135" s="71" t="str">
        <f t="shared" si="5"/>
        <v>Set after</v>
      </c>
      <c r="M135" s="91">
        <f>INDEX('2015_Road Weights'!$A:$CX,MATCH(Table12[[#This Row],[Gender]],'2015_Road Weights'!$A:$A,0),MATCH(Table12[[#This Row],[Age]],'2015_Road Weights'!$1:$1,0))</f>
        <v>0.55059999999999998</v>
      </c>
      <c r="N135" s="87">
        <f>IF(A135="M", Male_2015_Open_Standard/M135,IF(A135="F",Female_2020_Open_Standard/M135))</f>
        <v>0.16909163067898991</v>
      </c>
      <c r="O135" s="88">
        <f>Table12[[#This Row],[2015_AS]]*1440</f>
        <v>243.49194817774548</v>
      </c>
    </row>
    <row r="136" spans="1:15" x14ac:dyDescent="0.55000000000000004">
      <c r="A136" s="71" t="s">
        <v>2</v>
      </c>
      <c r="B136" s="71">
        <v>80</v>
      </c>
      <c r="C136" s="87">
        <f>IF(A136="M",VLOOKUP(B136,'ARRS Marathon SARs (formatted)'!$B$11:$S$97,2),IF(A136="F",VLOOKUP(B136,'ARRS Marathon SARs (formatted)'!$B$98:$S$183,2)))</f>
        <v>0.17550925925925928</v>
      </c>
      <c r="D136" s="88">
        <f t="shared" si="6"/>
        <v>252.73333333333338</v>
      </c>
      <c r="E136" s="87" t="str">
        <f>IF(Table12[[#This Row],[SAR]]=$D$3,"Yes",IF(Table12[[#This Row],[SAR]]=$D$4, "Yes", "No"))</f>
        <v>No</v>
      </c>
      <c r="F136" s="71">
        <f>IF(A136="M",VLOOKUP(B136,[3]AgeStdFactors!$A$2:$V$100,16),IF(A136="F",VLOOKUP(B136,[4]AgeStdFactors!$A$2:$V$101,16)))</f>
        <v>0.54100000000000004</v>
      </c>
      <c r="G136" s="87">
        <f>IF(A136="M", Male_2020_Open_Standard/F136,IF(A136="F",Female_2020_Open_Standard/F136))</f>
        <v>0.17209214760046548</v>
      </c>
      <c r="H136" s="88">
        <f t="shared" ref="H136:H140" si="7">G136*1440</f>
        <v>247.81269254467028</v>
      </c>
      <c r="I136" s="88">
        <f>D136-H136</f>
        <v>4.9206407886630927</v>
      </c>
      <c r="J136" s="89">
        <f>I136/D136</f>
        <v>1.9469694494842094E-2</v>
      </c>
      <c r="K136" s="90">
        <f>IF(A136="M",VLOOKUP(B136,'ARRS Marathon SARs (formatted)'!$B$11:$S$97,5),IF(A136="F",VLOOKUP(B136,'ARRS Marathon SARs (formatted)'!$B$98:$S$183,5)))</f>
        <v>41784</v>
      </c>
      <c r="L136" s="71" t="str">
        <f t="shared" ref="L136:L140" si="8">IF(K136&gt;=$K$3,"Set after","Set before")</f>
        <v>Set before</v>
      </c>
      <c r="M136" s="91">
        <f>INDEX('2015_Road Weights'!$A:$CX,MATCH(Table12[[#This Row],[Gender]],'2015_Road Weights'!$A:$A,0),MATCH(Table12[[#This Row],[Age]],'2015_Road Weights'!$1:$1,0))</f>
        <v>0.53520000000000001</v>
      </c>
      <c r="N136" s="87">
        <f>IF(A136="M", Male_2015_Open_Standard/M136,IF(A136="F",Female_2020_Open_Standard/M136))</f>
        <v>0.17395712229419252</v>
      </c>
      <c r="O136" s="88">
        <f>Table12[[#This Row],[2015_AS]]*1440</f>
        <v>250.49825610363723</v>
      </c>
    </row>
    <row r="137" spans="1:15" x14ac:dyDescent="0.55000000000000004">
      <c r="A137" s="71" t="s">
        <v>2</v>
      </c>
      <c r="B137" s="71">
        <v>81</v>
      </c>
      <c r="C137" s="87">
        <f>IF(A137="M",VLOOKUP(B137,'ARRS Marathon SARs (formatted)'!$B$11:$S$97,2),IF(A137="F",VLOOKUP(B137,'ARRS Marathon SARs (formatted)'!$B$98:$S$183,2)))</f>
        <v>0.17188657407407407</v>
      </c>
      <c r="D137" s="88">
        <f t="shared" si="6"/>
        <v>247.51666666666665</v>
      </c>
      <c r="E137" s="87" t="str">
        <f>IF(Table12[[#This Row],[SAR]]=$D$3,"Yes",IF(Table12[[#This Row],[SAR]]=$D$4, "Yes", "No"))</f>
        <v>No</v>
      </c>
      <c r="F137" s="71">
        <f>IF(A137="M",VLOOKUP(B137,[3]AgeStdFactors!$A$2:$V$100,16),IF(A137="F",VLOOKUP(B137,[4]AgeStdFactors!$A$2:$V$101,16)))</f>
        <v>0.52470000000000006</v>
      </c>
      <c r="G137" s="87">
        <f>IF(A137="M", Male_2020_Open_Standard/F137,IF(A137="F",Female_2020_Open_Standard/F137))</f>
        <v>0.17743825395817006</v>
      </c>
      <c r="H137" s="88">
        <f t="shared" si="7"/>
        <v>255.51108569976489</v>
      </c>
      <c r="I137" s="88">
        <f>D137-H137</f>
        <v>-7.9944190330982394</v>
      </c>
      <c r="J137" s="89">
        <f>I137/D137</f>
        <v>-3.2298507978310846E-2</v>
      </c>
      <c r="K137" s="90">
        <f>IF(A137="M",VLOOKUP(B137,'ARRS Marathon SARs (formatted)'!$B$11:$S$97,5),IF(A137="F",VLOOKUP(B137,'ARRS Marathon SARs (formatted)'!$B$98:$S$183,5)))</f>
        <v>42792</v>
      </c>
      <c r="L137" s="71" t="str">
        <f t="shared" si="8"/>
        <v>Set after</v>
      </c>
      <c r="M137" s="91">
        <f>INDEX('2015_Road Weights'!$A:$CX,MATCH(Table12[[#This Row],[Gender]],'2015_Road Weights'!$A:$A,0),MATCH(Table12[[#This Row],[Age]],'2015_Road Weights'!$1:$1,0))</f>
        <v>0.51900000000000002</v>
      </c>
      <c r="N137" s="87">
        <f>IF(A137="M", Male_2015_Open_Standard/M137,IF(A137="F",Female_2020_Open_Standard/M137))</f>
        <v>0.17938699778776848</v>
      </c>
      <c r="O137" s="88">
        <f>Table12[[#This Row],[2015_AS]]*1440</f>
        <v>258.31727681438662</v>
      </c>
    </row>
    <row r="138" spans="1:15" x14ac:dyDescent="0.55000000000000004">
      <c r="A138" s="71" t="s">
        <v>2</v>
      </c>
      <c r="B138" s="71">
        <v>82</v>
      </c>
      <c r="C138" s="87">
        <f>IF(A138="M",VLOOKUP(B138,'ARRS Marathon SARs (formatted)'!$B$11:$S$97,2),IF(A138="F",VLOOKUP(B138,'ARRS Marathon SARs (formatted)'!$B$98:$S$183,2)))</f>
        <v>0.19032407407407406</v>
      </c>
      <c r="D138" s="88">
        <f t="shared" si="6"/>
        <v>274.06666666666666</v>
      </c>
      <c r="E138" s="87" t="str">
        <f>IF(Table12[[#This Row],[SAR]]=$D$3,"Yes",IF(Table12[[#This Row],[SAR]]=$D$4, "Yes", "No"))</f>
        <v>No</v>
      </c>
      <c r="F138" s="71">
        <f>IF(A138="M",VLOOKUP(B138,[3]AgeStdFactors!$A$2:$V$100,16),IF(A138="F",VLOOKUP(B138,[4]AgeStdFactors!$A$2:$V$101,16)))</f>
        <v>0.50770000000000004</v>
      </c>
      <c r="G138" s="87">
        <f>IF(A138="M", Male_2020_Open_Standard/F138,IF(A138="F",Female_2020_Open_Standard/F138))</f>
        <v>0.18337965698611744</v>
      </c>
      <c r="H138" s="88">
        <f t="shared" si="7"/>
        <v>264.0667060600091</v>
      </c>
      <c r="I138" s="88">
        <f>D138-H138</f>
        <v>9.9999606066575666</v>
      </c>
      <c r="J138" s="89">
        <f>I138/D138</f>
        <v>3.6487328898045124E-2</v>
      </c>
      <c r="K138" s="90">
        <f>IF(A138="M",VLOOKUP(B138,'ARRS Marathon SARs (formatted)'!$B$11:$S$97,5),IF(A138="F",VLOOKUP(B138,'ARRS Marathon SARs (formatted)'!$B$98:$S$183,5)))</f>
        <v>43156</v>
      </c>
      <c r="L138" s="71" t="str">
        <f t="shared" si="8"/>
        <v>Set after</v>
      </c>
      <c r="M138" s="91">
        <f>INDEX('2015_Road Weights'!$A:$CX,MATCH(Table12[[#This Row],[Gender]],'2015_Road Weights'!$A:$A,0),MATCH(Table12[[#This Row],[Age]],'2015_Road Weights'!$1:$1,0))</f>
        <v>0.502</v>
      </c>
      <c r="N138" s="87">
        <f>IF(A138="M", Male_2015_Open_Standard/M138,IF(A138="F",Female_2020_Open_Standard/M138))</f>
        <v>0.18546185627858933</v>
      </c>
      <c r="O138" s="88">
        <f>Table12[[#This Row],[2015_AS]]*1440</f>
        <v>267.0650730411686</v>
      </c>
    </row>
    <row r="139" spans="1:15" x14ac:dyDescent="0.55000000000000004">
      <c r="A139" s="71" t="s">
        <v>2</v>
      </c>
      <c r="B139" s="71">
        <v>83</v>
      </c>
      <c r="C139" s="87">
        <f>IF(A139="M",VLOOKUP(B139,'ARRS Marathon SARs (formatted)'!$B$11:$S$97,2),IF(A139="F",VLOOKUP(B139,'ARRS Marathon SARs (formatted)'!$B$98:$S$183,2)))</f>
        <v>0.2023611111111111</v>
      </c>
      <c r="D139" s="88">
        <f t="shared" si="6"/>
        <v>291.39999999999998</v>
      </c>
      <c r="E139" s="87" t="str">
        <f>IF(Table12[[#This Row],[SAR]]=$D$3,"Yes",IF(Table12[[#This Row],[SAR]]=$D$4, "Yes", "No"))</f>
        <v>No</v>
      </c>
      <c r="F139" s="71">
        <f>IF(A139="M",VLOOKUP(B139,[3]AgeStdFactors!$A$2:$V$100,16),IF(A139="F",VLOOKUP(B139,[4]AgeStdFactors!$A$2:$V$101,16)))</f>
        <v>0.48980000000000001</v>
      </c>
      <c r="G139" s="87">
        <f>IF(A139="M", Male_2020_Open_Standard/F139,IF(A139="F",Female_2020_Open_Standard/F139))</f>
        <v>0.1900813635195015</v>
      </c>
      <c r="H139" s="88">
        <f t="shared" si="7"/>
        <v>273.71716346808216</v>
      </c>
      <c r="I139" s="88">
        <f>D139-H139</f>
        <v>17.682836531917815</v>
      </c>
      <c r="J139" s="89">
        <f>I139/D139</f>
        <v>6.068234911433705E-2</v>
      </c>
      <c r="K139" s="90">
        <f>IF(A139="M",VLOOKUP(B139,'ARRS Marathon SARs (formatted)'!$B$11:$S$97,5),IF(A139="F",VLOOKUP(B139,'ARRS Marathon SARs (formatted)'!$B$98:$S$183,5)))</f>
        <v>43530</v>
      </c>
      <c r="L139" s="71" t="str">
        <f t="shared" si="8"/>
        <v>Set after</v>
      </c>
      <c r="M139" s="91">
        <f>INDEX('2015_Road Weights'!$A:$CX,MATCH(Table12[[#This Row],[Gender]],'2015_Road Weights'!$A:$A,0),MATCH(Table12[[#This Row],[Age]],'2015_Road Weights'!$1:$1,0))</f>
        <v>0.48420000000000002</v>
      </c>
      <c r="N139" s="87">
        <f>IF(A139="M", Male_2015_Open_Standard/M139,IF(A139="F",Female_2020_Open_Standard/M139))</f>
        <v>0.19227974360151143</v>
      </c>
      <c r="O139" s="88">
        <f>Table12[[#This Row],[2015_AS]]*1440</f>
        <v>276.88283078617644</v>
      </c>
    </row>
    <row r="140" spans="1:15" x14ac:dyDescent="0.55000000000000004">
      <c r="A140" s="71" t="s">
        <v>2</v>
      </c>
      <c r="B140" s="71">
        <v>84</v>
      </c>
      <c r="C140" s="87">
        <f>IF(A140="M",VLOOKUP(B140,'ARRS Marathon SARs (formatted)'!$B$11:$S$97,2),IF(A140="F",VLOOKUP(B140,'ARRS Marathon SARs (formatted)'!$B$98:$S$183,2)))</f>
        <v>0.23914351851851853</v>
      </c>
      <c r="D140" s="88">
        <f t="shared" si="6"/>
        <v>344.36666666666667</v>
      </c>
      <c r="E140" s="87" t="str">
        <f>IF(Table12[[#This Row],[SAR]]=$D$3,"Yes",IF(Table12[[#This Row],[SAR]]=$D$4, "Yes", "No"))</f>
        <v>No</v>
      </c>
      <c r="F140" s="71">
        <f>IF(A140="M",VLOOKUP(B140,[3]AgeStdFactors!$A$2:$V$100,16),IF(A140="F",VLOOKUP(B140,[4]AgeStdFactors!$A$2:$V$101,16)))</f>
        <v>0.47110000000000002</v>
      </c>
      <c r="G140" s="87">
        <f>IF(A140="M", Male_2020_Open_Standard/F140,IF(A140="F",Female_2020_Open_Standard/F140))</f>
        <v>0.197626516348656</v>
      </c>
      <c r="H140" s="88">
        <f t="shared" si="7"/>
        <v>284.58218354206463</v>
      </c>
      <c r="I140" s="88">
        <f>D140-H140</f>
        <v>59.784483124602048</v>
      </c>
      <c r="J140" s="89">
        <f>I140/D140</f>
        <v>0.17360705582596664</v>
      </c>
      <c r="K140" s="90">
        <f>IF(A140="M",VLOOKUP(B140,'ARRS Marathon SARs (formatted)'!$B$11:$S$97,5),IF(A140="F",VLOOKUP(B140,'ARRS Marathon SARs (formatted)'!$B$98:$S$183,5)))</f>
        <v>41182</v>
      </c>
      <c r="L140" s="71" t="str">
        <f t="shared" si="8"/>
        <v>Set before</v>
      </c>
      <c r="M140" s="91">
        <f>INDEX('2015_Road Weights'!$A:$CX,MATCH(Table12[[#This Row],[Gender]],'2015_Road Weights'!$A:$A,0),MATCH(Table12[[#This Row],[Age]],'2015_Road Weights'!$1:$1,0))</f>
        <v>0.46560000000000001</v>
      </c>
      <c r="N140" s="87">
        <f>IF(A140="M", Male_2015_Open_Standard/M140,IF(A140="F",Female_2020_Open_Standard/M140))</f>
        <v>0.19996102201858212</v>
      </c>
      <c r="O140" s="88">
        <f>Table12[[#This Row],[2015_AS]]*1440</f>
        <v>287.94387170675827</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ARRS Marathon SARs (formatted)</vt:lpstr>
      <vt:lpstr>Chart for PowerPoint</vt:lpstr>
      <vt:lpstr>Other Marathon Records</vt:lpstr>
      <vt:lpstr>ARRS Marathon SARs (original)</vt:lpstr>
      <vt:lpstr>2015_Road Weights</vt:lpstr>
      <vt:lpstr>SAR vs 2020AS</vt:lpstr>
      <vt:lpstr>'2015_Road Weights'!Events</vt:lpstr>
      <vt:lpstr>Female_2015_Open_Standard</vt:lpstr>
      <vt:lpstr>Female_2020_Open_Standard</vt:lpstr>
      <vt:lpstr>Male_2015_Open_Standard</vt:lpstr>
      <vt:lpstr>Male_2020_Open_Standard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Anderson</dc:creator>
  <cp:lastModifiedBy>Erin Anderson</cp:lastModifiedBy>
  <dcterms:created xsi:type="dcterms:W3CDTF">2020-06-17T19:20:57Z</dcterms:created>
  <dcterms:modified xsi:type="dcterms:W3CDTF">2020-07-05T23:45:54Z</dcterms:modified>
</cp:coreProperties>
</file>