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rinlee/Documents/Data Analytics/Homework/Instructions/"/>
    </mc:Choice>
  </mc:AlternateContent>
  <xr:revisionPtr revIDLastSave="0" documentId="13_ncr:1_{27F8C95F-B653-DF42-AD83-CA191D9C2A2F}" xr6:coauthVersionLast="36" xr6:coauthVersionMax="36" xr10:uidLastSave="{00000000-0000-0000-0000-000000000000}"/>
  <bookViews>
    <workbookView xWindow="0" yWindow="460" windowWidth="28040" windowHeight="15580" xr2:uid="{00000000-000D-0000-FFFF-FFFF00000000}"/>
  </bookViews>
  <sheets>
    <sheet name="Data" sheetId="1" r:id="rId1"/>
    <sheet name="Pivot- Category" sheetId="3" r:id="rId2"/>
    <sheet name="Pivot- Subcategory" sheetId="5" r:id="rId3"/>
    <sheet name="Launch Date Outcomes" sheetId="6" r:id="rId4"/>
    <sheet name="Bonus" sheetId="7" r:id="rId5"/>
    <sheet name="Sheet8" sheetId="8" r:id="rId6"/>
  </sheets>
  <definedNames>
    <definedName name="_xlnm._FilterDatabase" localSheetId="0" hidden="1">Data!$A$1:$T$4115</definedName>
  </definedNames>
  <calcPr calcId="181029"/>
  <pivotCaches>
    <pivotCache cacheId="25" r:id="rId7"/>
    <pivotCache cacheId="3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" i="8" l="1"/>
  <c r="I7" i="8"/>
  <c r="I6" i="8"/>
  <c r="I5" i="8"/>
  <c r="I4" i="8"/>
  <c r="I3" i="8"/>
  <c r="I2" i="8"/>
  <c r="H8" i="8"/>
  <c r="H7" i="8"/>
  <c r="H6" i="8"/>
  <c r="H5" i="8"/>
  <c r="H4" i="8"/>
  <c r="H3" i="8"/>
  <c r="H2" i="8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2" i="7"/>
  <c r="B11" i="7"/>
  <c r="B10" i="7"/>
  <c r="B9" i="7"/>
  <c r="B8" i="7"/>
  <c r="B7" i="7"/>
  <c r="B6" i="7"/>
  <c r="B5" i="7"/>
  <c r="B4" i="7"/>
  <c r="B3" i="7"/>
  <c r="B1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9" i="7" l="1"/>
  <c r="G9" i="7"/>
  <c r="E2" i="7"/>
  <c r="H2" i="7" s="1"/>
  <c r="E10" i="7"/>
  <c r="G10" i="7" s="1"/>
  <c r="E6" i="7"/>
  <c r="F6" i="7" s="1"/>
  <c r="E13" i="7"/>
  <c r="F13" i="7" s="1"/>
  <c r="E9" i="7"/>
  <c r="H9" i="7" s="1"/>
  <c r="E5" i="7"/>
  <c r="F5" i="7" s="1"/>
  <c r="E12" i="7"/>
  <c r="H12" i="7" s="1"/>
  <c r="E8" i="7"/>
  <c r="G8" i="7" s="1"/>
  <c r="E4" i="7"/>
  <c r="G4" i="7" s="1"/>
  <c r="E11" i="7"/>
  <c r="G11" i="7" s="1"/>
  <c r="E7" i="7"/>
  <c r="G7" i="7" s="1"/>
  <c r="E3" i="7"/>
  <c r="F3" i="7" s="1"/>
  <c r="H11" i="7" l="1"/>
  <c r="G5" i="7"/>
  <c r="H4" i="7"/>
  <c r="F10" i="7"/>
  <c r="F4" i="7"/>
  <c r="H10" i="7"/>
  <c r="H13" i="7"/>
  <c r="G6" i="7"/>
  <c r="F11" i="7"/>
  <c r="G3" i="7"/>
  <c r="H5" i="7"/>
  <c r="F12" i="7"/>
  <c r="H6" i="7"/>
  <c r="F2" i="7"/>
  <c r="G12" i="7"/>
  <c r="F7" i="7"/>
  <c r="G2" i="7"/>
  <c r="H8" i="7"/>
  <c r="H7" i="7"/>
  <c r="H3" i="7"/>
  <c r="G13" i="7"/>
  <c r="F8" i="7"/>
</calcChain>
</file>

<file path=xl/sharedStrings.xml><?xml version="1.0" encoding="utf-8"?>
<sst xmlns="http://schemas.openxmlformats.org/spreadsheetml/2006/main" count="28550" uniqueCount="8412">
  <si>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</si>
  <si>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</si>
  <si>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</si>
  <si>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</si>
  <si>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</si>
  <si>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</si>
  <si>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</si>
  <si>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</si>
  <si>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</si>
  <si>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</si>
  <si>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</si>
  <si>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</si>
  <si>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</si>
  <si>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</si>
  <si>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</si>
  <si>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</si>
  <si>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</si>
  <si>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</si>
  <si>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</si>
  <si>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</si>
  <si>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</si>
  <si>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</si>
  <si>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</si>
  <si>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</si>
  <si>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</si>
  <si>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</si>
  <si>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</si>
  <si>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</si>
  <si>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</si>
  <si>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</si>
  <si>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</si>
  <si>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</si>
  <si>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</si>
  <si>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</si>
  <si>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</si>
  <si>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</si>
  <si>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</si>
  <si>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</si>
  <si>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</si>
  <si>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</si>
  <si>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</si>
  <si>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</si>
  <si>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</si>
  <si>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</si>
  <si>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</si>
  <si>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</si>
  <si>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</si>
  <si>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</si>
  <si>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</si>
  <si>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</si>
  <si>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</si>
  <si>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</si>
  <si>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</si>
  <si>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</si>
  <si>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</si>
  <si>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</si>
  <si>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</si>
  <si>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</si>
  <si>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</si>
  <si>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</si>
  <si>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</si>
  <si>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</si>
  <si>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</si>
  <si>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</si>
  <si>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</si>
  <si>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</si>
  <si>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</si>
  <si>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</si>
  <si>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</si>
  <si>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</si>
  <si>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</si>
  <si>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</si>
  <si>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</si>
  <si>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</si>
  <si>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</si>
  <si>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</si>
  <si>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</si>
  <si>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</si>
  <si>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</si>
  <si>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</si>
  <si>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</si>
  <si>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</si>
  <si>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</si>
  <si>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</si>
  <si>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</si>
  <si>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</si>
  <si>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</si>
  <si>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</si>
  <si>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</si>
  <si>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</si>
  <si>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</si>
  <si>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</si>
  <si>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</si>
  <si>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</si>
  <si>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</si>
  <si>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</si>
  <si>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</si>
  <si>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</si>
  <si>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</si>
  <si>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</si>
  <si>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</si>
  <si>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</si>
  <si>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</si>
  <si>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</si>
  <si>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</si>
  <si>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</si>
  <si>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</si>
  <si>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</si>
  <si>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</si>
  <si>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</si>
  <si>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</si>
  <si>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</si>
  <si>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</si>
  <si>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</si>
  <si>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</si>
  <si>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</si>
  <si>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</si>
  <si>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</si>
  <si>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</si>
  <si>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</si>
  <si>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</si>
  <si>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</si>
  <si>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</si>
  <si>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</si>
  <si>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</si>
  <si>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</si>
  <si>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</si>
  <si>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</si>
  <si>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</si>
  <si>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</si>
  <si>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</si>
  <si>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</si>
  <si>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</si>
  <si>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</si>
  <si>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</si>
  <si>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</si>
  <si>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</si>
  <si>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</si>
  <si>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</si>
  <si>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</si>
  <si>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</si>
  <si>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</si>
  <si>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</si>
  <si>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</si>
  <si>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</si>
  <si>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</si>
  <si>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</si>
  <si>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</si>
  <si>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</si>
  <si>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</si>
  <si>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</si>
  <si>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</si>
  <si>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</si>
  <si>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</si>
  <si>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</si>
  <si>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</si>
  <si>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</si>
  <si>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</si>
  <si>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</si>
  <si>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</si>
  <si>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</si>
  <si>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</si>
  <si>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</si>
  <si>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</si>
  <si>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</si>
  <si>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</si>
  <si>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</si>
  <si>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</si>
  <si>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</si>
  <si>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</si>
  <si>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</si>
  <si>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</si>
  <si>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</si>
  <si>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</si>
  <si>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</si>
  <si>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</si>
  <si>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</si>
  <si>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</si>
  <si>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</si>
  <si>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</si>
  <si>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</si>
  <si>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</si>
  <si>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</si>
  <si>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</si>
  <si>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</si>
  <si>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</si>
  <si>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</si>
  <si>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</si>
  <si>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</si>
  <si>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</si>
  <si>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</si>
  <si>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</si>
  <si>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</si>
  <si>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</si>
  <si>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</si>
  <si>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</si>
  <si>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</si>
  <si>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</si>
  <si>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</si>
  <si>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</si>
  <si>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</si>
  <si>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</si>
  <si>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</si>
  <si>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</si>
  <si>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</si>
  <si>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</si>
  <si>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</si>
  <si>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</si>
  <si>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</si>
  <si>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</si>
  <si>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</si>
  <si>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</si>
  <si>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</si>
  <si>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</si>
  <si>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</si>
  <si>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</si>
  <si>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</si>
  <si>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</si>
  <si>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</si>
  <si>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</si>
  <si>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</si>
  <si>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</si>
  <si>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</si>
  <si>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</si>
  <si>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</si>
  <si>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</si>
  <si>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</si>
  <si>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</si>
  <si>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</si>
  <si>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</si>
  <si>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</si>
  <si>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</si>
  <si>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</si>
  <si>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</si>
  <si>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</si>
  <si>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</si>
  <si>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</si>
  <si>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</si>
  <si>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</si>
  <si>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</si>
  <si>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</si>
  <si>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</si>
  <si>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</si>
  <si>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</si>
  <si>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</si>
  <si>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</si>
  <si>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</si>
  <si>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</si>
  <si>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</si>
  <si>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</si>
  <si>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</si>
  <si>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</si>
  <si>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</si>
  <si>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</si>
  <si>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</si>
  <si>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</si>
  <si>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</si>
  <si>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</si>
  <si>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</si>
  <si>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</si>
  <si>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</si>
  <si>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</si>
  <si>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</si>
  <si>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</si>
  <si>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</si>
  <si>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</si>
  <si>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</si>
  <si>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</si>
  <si>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</si>
  <si>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</si>
  <si>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</si>
  <si>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</si>
  <si>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</si>
  <si>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</si>
  <si>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</si>
  <si>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</si>
  <si>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</si>
  <si>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</si>
  <si>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</si>
  <si>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</si>
  <si>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</si>
  <si>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</si>
  <si>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</si>
  <si>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</si>
  <si>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</si>
  <si>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</si>
  <si>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</si>
  <si>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</si>
  <si>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</si>
  <si>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</si>
  <si>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</si>
  <si>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</si>
  <si>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</si>
  <si>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</si>
  <si>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</si>
  <si>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</si>
  <si>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</si>
  <si>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</si>
  <si>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</si>
  <si>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</si>
  <si>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</si>
  <si>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</si>
  <si>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</si>
  <si>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</si>
  <si>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</si>
  <si>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</si>
  <si>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</si>
  <si>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</si>
  <si>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</si>
  <si>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</si>
  <si>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</si>
  <si>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</si>
  <si>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</si>
  <si>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</si>
  <si>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</si>
  <si>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</si>
  <si>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</si>
  <si>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</si>
  <si>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</si>
  <si>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</si>
  <si>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</si>
  <si>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</si>
  <si>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</si>
  <si>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</si>
  <si>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</si>
  <si>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</si>
  <si>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</si>
  <si>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</si>
  <si>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</si>
  <si>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</si>
  <si>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</si>
  <si>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</si>
  <si>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</si>
  <si>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</si>
  <si>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</si>
  <si>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</si>
  <si>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</si>
  <si>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</si>
  <si>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</si>
  <si>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</si>
  <si>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</si>
  <si>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</si>
  <si>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</si>
  <si>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</si>
  <si>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</si>
  <si>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</si>
  <si>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</si>
  <si>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</si>
  <si>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</si>
  <si>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</si>
  <si>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</si>
  <si>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</si>
  <si>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</si>
  <si>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</si>
  <si>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</si>
  <si>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</si>
  <si>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</si>
  <si>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</si>
  <si>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</si>
  <si>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</si>
  <si>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</si>
  <si>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</si>
  <si>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</si>
  <si>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</si>
  <si>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</si>
  <si>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</si>
  <si>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</si>
  <si>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</si>
  <si>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</si>
  <si>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</si>
  <si>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</si>
  <si>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</si>
  <si>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</si>
  <si>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</si>
  <si>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</si>
  <si>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</si>
  <si>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</si>
  <si>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</si>
  <si>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</si>
  <si>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</si>
  <si>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</si>
  <si>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</si>
  <si>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</si>
  <si>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</si>
  <si>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</si>
  <si>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</si>
  <si>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</si>
  <si>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</si>
  <si>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</si>
  <si>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</si>
  <si>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</si>
  <si>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</si>
  <si>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</si>
  <si>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</si>
  <si>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</si>
  <si>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</si>
  <si>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</si>
  <si>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</si>
  <si>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</si>
  <si>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</si>
  <si>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</si>
  <si>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</si>
  <si>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</si>
  <si>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</si>
  <si>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</si>
  <si>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</si>
  <si>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</si>
  <si>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</si>
  <si>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</si>
  <si>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</si>
  <si>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</si>
  <si>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</si>
  <si>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</si>
  <si>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</si>
  <si>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</si>
  <si>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</si>
  <si>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</si>
  <si>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</si>
  <si>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</si>
  <si>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</si>
  <si>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</si>
  <si>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</si>
  <si>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</si>
  <si>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</si>
  <si>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</si>
  <si>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</si>
  <si>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</si>
  <si>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</si>
  <si>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</si>
  <si>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</si>
  <si>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</si>
  <si>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</si>
  <si>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</si>
  <si>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</si>
  <si>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</si>
  <si>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</si>
  <si>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</si>
  <si>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</si>
  <si>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</si>
  <si>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</si>
  <si>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</si>
  <si>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</si>
  <si>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</si>
  <si>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</si>
  <si>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</si>
  <si>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</si>
  <si>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</si>
  <si>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</si>
  <si>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</si>
  <si>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</si>
  <si>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</si>
  <si>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</si>
  <si>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</si>
  <si>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</si>
  <si>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</si>
  <si>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</si>
  <si>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</si>
  <si>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</si>
  <si>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</si>
  <si>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</si>
  <si>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</si>
  <si>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</si>
  <si>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</si>
  <si>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</si>
  <si>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</si>
  <si>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</si>
  <si>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</si>
  <si>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</si>
  <si>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</si>
  <si>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</si>
  <si>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</si>
  <si>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</si>
  <si>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</si>
  <si>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</si>
  <si>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</si>
  <si>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</si>
  <si>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</si>
  <si>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</si>
  <si>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</si>
  <si>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</si>
  <si>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</si>
  <si>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</si>
  <si>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</si>
  <si>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</si>
  <si>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</si>
  <si>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</si>
  <si>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</si>
  <si>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</si>
  <si>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</si>
  <si>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</si>
  <si>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</si>
  <si>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</si>
  <si>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</si>
  <si>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</si>
  <si>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</si>
  <si>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</si>
  <si>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</si>
  <si>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</si>
  <si>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</si>
  <si>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</si>
  <si>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</si>
  <si>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</si>
  <si>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</si>
  <si>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</si>
  <si>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</si>
  <si>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</si>
  <si>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</si>
  <si>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</si>
  <si>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</si>
  <si>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</si>
  <si>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</si>
  <si>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</si>
  <si>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</si>
  <si>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</si>
  <si>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</si>
  <si>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</si>
  <si>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</si>
  <si>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</si>
  <si>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</si>
  <si>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</si>
  <si>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</si>
  <si>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</si>
  <si>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</si>
  <si>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</si>
  <si>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</si>
  <si>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</si>
  <si>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</si>
  <si>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</si>
  <si>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</si>
  <si>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</si>
  <si>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</si>
  <si>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</si>
  <si>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</si>
  <si>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</si>
  <si>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</si>
  <si>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</si>
  <si>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</si>
  <si>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</si>
  <si>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</si>
  <si>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</si>
  <si>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</si>
  <si>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</si>
  <si>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</si>
  <si>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</si>
  <si>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</si>
  <si>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</si>
  <si>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</si>
  <si>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</si>
  <si>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</si>
  <si>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</si>
  <si>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</si>
  <si>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</si>
  <si>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</si>
  <si>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</si>
  <si>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</si>
  <si>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</si>
  <si>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</si>
  <si>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</si>
  <si>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</si>
  <si>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</si>
  <si>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</si>
  <si>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</si>
  <si>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</si>
  <si>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</si>
  <si>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</si>
  <si>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</si>
  <si>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</si>
  <si>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</si>
  <si>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</si>
  <si>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</si>
  <si>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</si>
  <si>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</si>
  <si>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</si>
  <si>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</si>
  <si>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</si>
  <si>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</si>
  <si>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</si>
  <si>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</si>
  <si>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</si>
  <si>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</si>
  <si>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</si>
  <si>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</si>
  <si>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</si>
  <si>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</si>
  <si>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</si>
  <si>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</si>
  <si>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</si>
  <si>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</si>
  <si>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</si>
  <si>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</si>
  <si>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</si>
  <si>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</si>
  <si>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</si>
  <si>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</si>
  <si>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</si>
  <si>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</si>
  <si>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</si>
  <si>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</si>
  <si>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</si>
  <si>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</si>
  <si>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</si>
  <si>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</si>
  <si>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</si>
  <si>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</si>
  <si>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</si>
  <si>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</si>
  <si>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</si>
  <si>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</si>
  <si>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</si>
  <si>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</si>
  <si>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</si>
  <si>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</si>
  <si>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</si>
  <si>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</si>
  <si>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</si>
  <si>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</si>
  <si>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</si>
  <si>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</si>
  <si>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</si>
  <si>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</si>
  <si>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</si>
  <si>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</si>
  <si>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</si>
  <si>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</si>
  <si>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</si>
  <si>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</si>
  <si>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</si>
  <si>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</si>
  <si>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</si>
  <si>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</si>
  <si>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</si>
  <si>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</si>
  <si>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</si>
  <si>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</si>
  <si>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</si>
  <si>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</si>
  <si>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</si>
  <si>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</si>
  <si>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</si>
  <si>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</si>
  <si>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</si>
  <si>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</si>
  <si>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</si>
  <si>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</si>
  <si>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</si>
  <si>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</si>
  <si>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</si>
  <si>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</si>
  <si>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</si>
  <si>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</si>
  <si>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</si>
  <si>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</si>
  <si>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</si>
  <si>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</si>
  <si>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</si>
  <si>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</si>
  <si>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</si>
  <si>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</si>
  <si>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</si>
  <si>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</si>
  <si>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</si>
  <si>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</si>
  <si>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</si>
  <si>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</si>
  <si>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</si>
  <si>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</si>
  <si>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</si>
  <si>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</si>
  <si>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</si>
  <si>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</si>
  <si>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</si>
  <si>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</si>
  <si>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</si>
  <si>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</si>
  <si>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</si>
  <si>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</si>
  <si>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</si>
  <si>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</si>
  <si>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</si>
  <si>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</si>
  <si>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</si>
  <si>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</si>
  <si>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</si>
  <si>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</si>
  <si>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</si>
  <si>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</si>
  <si>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</si>
  <si>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</si>
  <si>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</si>
  <si>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</si>
  <si>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</si>
  <si>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</si>
  <si>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</si>
  <si>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</si>
  <si>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</si>
  <si>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</si>
  <si>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</si>
  <si>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</si>
  <si>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</si>
  <si>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</si>
  <si>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</si>
  <si>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</si>
  <si>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</si>
  <si>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</si>
  <si>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</si>
  <si>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</si>
  <si>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</si>
  <si>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</si>
  <si>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</si>
  <si>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</si>
  <si>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</si>
  <si>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</si>
  <si>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</si>
  <si>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</si>
  <si>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</si>
  <si>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</si>
  <si>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</si>
  <si>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</si>
  <si>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</si>
  <si>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</si>
  <si>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</si>
  <si>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</si>
  <si>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</si>
  <si>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</si>
  <si>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</si>
  <si>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</si>
  <si>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</si>
  <si>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</si>
  <si>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</si>
  <si>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</si>
  <si>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</si>
  <si>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</si>
  <si>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</si>
  <si>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</si>
  <si>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</si>
  <si>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</si>
  <si>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</si>
  <si>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</si>
  <si>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</si>
  <si>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</si>
  <si>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</si>
  <si>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</si>
  <si>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</si>
  <si>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</si>
  <si>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</si>
  <si>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</si>
  <si>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</si>
  <si>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</si>
  <si>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</si>
  <si>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</si>
  <si>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</si>
  <si>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</si>
  <si>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</si>
  <si>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</si>
  <si>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</si>
  <si>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</si>
  <si>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</si>
  <si>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</si>
  <si>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</si>
  <si>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</si>
  <si>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</si>
  <si>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</si>
  <si>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</si>
  <si>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</si>
  <si>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</si>
  <si>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</si>
  <si>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</si>
  <si>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</si>
  <si>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</si>
  <si>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</si>
  <si>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</si>
  <si>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</si>
  <si>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</si>
  <si>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</si>
  <si>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</si>
  <si>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</si>
  <si>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</si>
  <si>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</si>
  <si>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</si>
  <si>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</si>
  <si>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</si>
  <si>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</si>
  <si>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</si>
  <si>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</si>
  <si>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</si>
  <si>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</si>
  <si>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</si>
  <si>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</si>
  <si>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</si>
  <si>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</si>
  <si>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</si>
  <si>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</si>
  <si>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</si>
  <si>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</si>
  <si>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</si>
  <si>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</si>
  <si>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</si>
  <si>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</si>
  <si>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</si>
  <si>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</si>
  <si>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</si>
  <si>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</si>
  <si>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</si>
  <si>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</si>
  <si>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</si>
  <si>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</si>
  <si>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</si>
  <si>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</si>
  <si>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</si>
  <si>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</si>
  <si>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</si>
  <si>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</si>
  <si>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</si>
  <si>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</si>
  <si>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</si>
  <si>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</si>
  <si>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</si>
  <si>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</si>
  <si>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</si>
  <si>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</si>
  <si>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</si>
  <si>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</si>
  <si>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</si>
  <si>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</si>
  <si>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</si>
  <si>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</si>
  <si>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</si>
  <si>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</si>
  <si>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</si>
  <si>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</si>
  <si>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</si>
  <si>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</si>
  <si>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</si>
  <si>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</si>
  <si>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</si>
  <si>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</si>
  <si>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</si>
  <si>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</si>
  <si>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</si>
  <si>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</si>
  <si>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</si>
  <si>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</si>
  <si>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</si>
  <si>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</si>
  <si>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</si>
  <si>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</si>
  <si>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</si>
  <si>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</si>
  <si>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</si>
  <si>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</si>
  <si>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</si>
  <si>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</si>
  <si>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</si>
  <si>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</si>
  <si>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</si>
  <si>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</si>
  <si>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</si>
  <si>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</si>
  <si>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</si>
  <si>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</si>
  <si>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</si>
  <si>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</si>
  <si>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</si>
  <si>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</si>
  <si>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</si>
  <si>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</si>
  <si>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</si>
  <si>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</si>
  <si>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</si>
  <si>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</si>
  <si>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</si>
  <si>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</si>
  <si>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</si>
  <si>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</si>
  <si>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</si>
  <si>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</si>
  <si>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</si>
  <si>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</si>
  <si>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</si>
  <si>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</si>
  <si>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</si>
  <si>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</si>
  <si>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</si>
  <si>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</si>
  <si>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</si>
  <si>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</si>
  <si>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</si>
  <si>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</si>
  <si>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</si>
  <si>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</si>
  <si>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</si>
  <si>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</si>
  <si>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</si>
  <si>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</si>
  <si>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</si>
  <si>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</si>
  <si>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</si>
  <si>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</si>
  <si>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</si>
  <si>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</si>
  <si>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</si>
  <si>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</si>
  <si>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</si>
  <si>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</si>
  <si>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</si>
  <si>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</si>
  <si>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</si>
  <si>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</si>
  <si>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</si>
  <si>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</si>
  <si>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</si>
  <si>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</si>
  <si>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</si>
  <si>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</si>
  <si>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</si>
  <si>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</si>
  <si>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</si>
  <si>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</si>
  <si>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</si>
  <si>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</si>
  <si>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</si>
  <si>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</si>
  <si>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</si>
  <si>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</si>
  <si>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</si>
  <si>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</si>
  <si>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</si>
  <si>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</si>
  <si>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</si>
  <si>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</si>
  <si>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</si>
  <si>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</si>
  <si>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</si>
  <si>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</si>
  <si>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</si>
  <si>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</si>
  <si>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</si>
  <si>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</si>
  <si>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</si>
  <si>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</si>
  <si>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</si>
  <si>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</si>
  <si>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</si>
  <si>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</si>
  <si>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</si>
  <si>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</si>
  <si>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</si>
  <si>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</si>
  <si>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</si>
  <si>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</si>
  <si>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</si>
  <si>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</si>
  <si>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</si>
  <si>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</si>
  <si>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</si>
  <si>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</si>
  <si>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</si>
  <si>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</si>
  <si>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</si>
  <si>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</si>
  <si>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</si>
  <si>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</si>
  <si>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</si>
  <si>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</si>
  <si>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</si>
  <si>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</si>
  <si>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</si>
  <si>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</si>
  <si>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</si>
  <si>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</si>
  <si>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</si>
  <si>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</si>
  <si>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</si>
  <si>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</si>
  <si>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</si>
  <si>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</si>
  <si>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</si>
  <si>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</si>
  <si>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</si>
  <si>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</si>
  <si>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</si>
  <si>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</si>
  <si>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</si>
  <si>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</si>
  <si>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</si>
  <si>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</si>
  <si>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</si>
  <si>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</si>
  <si>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</si>
  <si>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</si>
  <si>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</si>
  <si>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</si>
  <si>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</si>
  <si>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</si>
  <si>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</si>
  <si>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</si>
  <si>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</si>
  <si>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</si>
  <si>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</si>
  <si>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</si>
  <si>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</si>
  <si>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</si>
  <si>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</si>
  <si>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</si>
  <si>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</si>
  <si>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</si>
  <si>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</si>
  <si>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</si>
  <si>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</si>
  <si>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</si>
  <si>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</si>
  <si>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</si>
  <si>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</si>
  <si>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</si>
  <si>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</si>
  <si>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</si>
  <si>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</si>
  <si>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</si>
  <si>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</si>
  <si>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</si>
  <si>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</si>
  <si>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</si>
  <si>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</si>
  <si>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</si>
  <si>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</si>
  <si>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</si>
  <si>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</si>
  <si>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</si>
  <si>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</si>
  <si>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</si>
  <si>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</si>
  <si>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</si>
  <si>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</si>
  <si>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</si>
  <si>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</si>
  <si>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</si>
  <si>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</si>
  <si>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</si>
  <si>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</si>
  <si>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</si>
  <si>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</si>
  <si>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</si>
  <si>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</si>
  <si>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</si>
  <si>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</si>
  <si>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</si>
  <si>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</si>
  <si>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</si>
  <si>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</si>
  <si>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</si>
  <si>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</si>
  <si>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</si>
  <si>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</si>
  <si>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</si>
  <si>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</si>
  <si>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</si>
  <si>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</si>
  <si>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</si>
  <si>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</si>
  <si>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</si>
  <si>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</si>
  <si>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</si>
  <si>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</si>
  <si>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</si>
  <si>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</si>
  <si>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</si>
  <si>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</si>
  <si>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</si>
  <si>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</si>
  <si>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</si>
  <si>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</si>
  <si>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</si>
  <si>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</si>
  <si>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</si>
  <si>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</si>
  <si>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</si>
  <si>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</si>
  <si>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</si>
  <si>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</si>
  <si>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</si>
  <si>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</si>
  <si>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</si>
  <si>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</si>
  <si>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</si>
  <si>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</si>
  <si>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</si>
  <si>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</si>
  <si>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</si>
  <si>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</si>
  <si>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</si>
  <si>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</si>
  <si>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</si>
  <si>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</si>
  <si>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</si>
  <si>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</si>
  <si>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</si>
  <si>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</si>
  <si>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</si>
  <si>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</si>
  <si>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</si>
  <si>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</si>
  <si>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</si>
  <si>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</si>
  <si>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</si>
  <si>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</si>
  <si>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</si>
  <si>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</si>
  <si>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</si>
  <si>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</si>
  <si>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</si>
  <si>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</si>
  <si>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</si>
  <si>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</si>
  <si>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</si>
  <si>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</si>
  <si>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</si>
  <si>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</si>
  <si>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</si>
  <si>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</si>
  <si>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</si>
  <si>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</si>
  <si>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</si>
  <si>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</si>
  <si>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</si>
  <si>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</si>
  <si>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</si>
  <si>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</si>
  <si>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</si>
  <si>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</si>
  <si>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</si>
  <si>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</si>
  <si>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</si>
  <si>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</si>
  <si>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</si>
  <si>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</si>
  <si>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</si>
  <si>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</si>
  <si>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</si>
  <si>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</si>
  <si>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</si>
  <si>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</si>
  <si>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</si>
  <si>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</si>
  <si>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</si>
  <si>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</si>
  <si>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</si>
  <si>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</si>
  <si>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</si>
  <si>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</si>
  <si>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</si>
  <si>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</si>
  <si>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</si>
  <si>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</si>
  <si>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</si>
  <si>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</si>
  <si>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</si>
  <si>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</si>
  <si>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</si>
  <si>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</si>
  <si>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</si>
  <si>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</si>
  <si>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</si>
  <si>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</si>
  <si>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</si>
  <si>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</si>
  <si>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</si>
  <si>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</si>
  <si>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</si>
  <si>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</si>
  <si>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</si>
  <si>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</si>
  <si>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</si>
  <si>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</si>
  <si>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</si>
  <si>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</si>
  <si>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</si>
  <si>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</si>
  <si>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</si>
  <si>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</si>
  <si>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</si>
  <si>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</si>
  <si>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</si>
  <si>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</si>
  <si>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</si>
  <si>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</si>
  <si>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</si>
  <si>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</si>
  <si>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</si>
  <si>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</si>
  <si>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</si>
  <si>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</si>
  <si>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</si>
  <si>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</si>
  <si>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</si>
  <si>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</si>
  <si>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</si>
  <si>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</si>
  <si>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</si>
  <si>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</si>
  <si>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</si>
  <si>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</si>
  <si>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</si>
  <si>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</si>
  <si>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</si>
  <si>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</si>
  <si>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</si>
  <si>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</si>
  <si>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</si>
  <si>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</si>
  <si>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</si>
  <si>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</si>
  <si>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</si>
  <si>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</si>
  <si>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</si>
  <si>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</si>
  <si>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</si>
  <si>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</si>
  <si>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</si>
  <si>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</si>
  <si>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</si>
  <si>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</si>
  <si>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</si>
  <si>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</si>
  <si>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</si>
  <si>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</si>
  <si>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</si>
  <si>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</si>
  <si>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</si>
  <si>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</si>
  <si>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</si>
  <si>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</si>
  <si>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</si>
  <si>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</si>
  <si>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</si>
  <si>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</si>
  <si>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</si>
  <si>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</si>
  <si>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</si>
  <si>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</si>
  <si>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</si>
  <si>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</si>
  <si>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</si>
  <si>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</si>
  <si>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</si>
  <si>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</si>
  <si>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</si>
  <si>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</si>
  <si>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</si>
  <si>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</si>
  <si>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</si>
  <si>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</si>
  <si>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</si>
  <si>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</si>
  <si>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</si>
  <si>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</si>
  <si>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</si>
  <si>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</si>
  <si>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</si>
  <si>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</si>
  <si>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</si>
  <si>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</si>
  <si>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</si>
  <si>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</si>
  <si>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</si>
  <si>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</si>
  <si>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</si>
  <si>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</si>
  <si>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</si>
  <si>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</si>
  <si>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</si>
  <si>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</si>
  <si>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</si>
  <si>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</si>
  <si>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</si>
  <si>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</si>
  <si>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</si>
  <si>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</si>
  <si>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</si>
  <si>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</si>
  <si>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</si>
  <si>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</si>
  <si>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</si>
  <si>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</si>
  <si>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</si>
  <si>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</si>
  <si>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</si>
  <si>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</si>
  <si>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</si>
  <si>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</si>
  <si>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</si>
  <si>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</si>
  <si>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</si>
  <si>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</si>
  <si>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</si>
  <si>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</si>
  <si>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</si>
  <si>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</si>
  <si>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</si>
  <si>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</si>
  <si>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</si>
  <si>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</si>
  <si>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</si>
  <si>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</si>
  <si>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</si>
  <si>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</si>
  <si>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</si>
  <si>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</si>
  <si>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</si>
  <si>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</si>
  <si>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</si>
  <si>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</si>
  <si>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</si>
  <si>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</si>
  <si>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</si>
  <si>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</si>
  <si>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</si>
  <si>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</si>
  <si>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</si>
  <si>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</si>
  <si>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</si>
  <si>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</si>
  <si>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</si>
  <si>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</si>
  <si>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</si>
  <si>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</si>
  <si>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</si>
  <si>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</si>
  <si>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</si>
  <si>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</si>
  <si>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</si>
  <si>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</si>
  <si>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</si>
  <si>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</si>
  <si>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</si>
  <si>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</si>
  <si>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</si>
  <si>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</si>
  <si>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</si>
  <si>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</si>
  <si>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</si>
  <si>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</si>
  <si>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</si>
  <si>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</si>
  <si>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</si>
  <si>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</si>
  <si>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</si>
  <si>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</si>
  <si>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</si>
  <si>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</si>
  <si>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</si>
  <si>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</si>
  <si>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</si>
  <si>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</si>
  <si>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</si>
  <si>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</si>
  <si>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</si>
  <si>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</si>
  <si>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</si>
  <si>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</si>
  <si>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</si>
  <si>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</si>
  <si>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</si>
  <si>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</si>
  <si>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</si>
  <si>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</si>
  <si>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</si>
  <si>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</si>
  <si>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</si>
  <si>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</si>
  <si>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</si>
  <si>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</si>
  <si>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</si>
  <si>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</si>
  <si>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</si>
  <si>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</si>
  <si>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</si>
  <si>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</si>
  <si>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</si>
  <si>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</si>
  <si>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</si>
  <si>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</si>
  <si>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</si>
  <si>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</si>
  <si>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</si>
  <si>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</si>
  <si>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</si>
  <si>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</si>
  <si>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</si>
  <si>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</si>
  <si>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</si>
  <si>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</si>
  <si>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</si>
  <si>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</si>
  <si>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</si>
  <si>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</si>
  <si>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</si>
  <si>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</si>
  <si>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</si>
  <si>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</si>
  <si>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</si>
  <si>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</si>
  <si>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</si>
  <si>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</si>
  <si>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</si>
  <si>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</si>
  <si>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</si>
  <si>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</si>
  <si>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</si>
  <si>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</si>
  <si>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</si>
  <si>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</si>
  <si>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</si>
  <si>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</si>
  <si>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</si>
  <si>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</si>
  <si>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</si>
  <si>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</si>
  <si>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</si>
  <si>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</si>
  <si>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</si>
  <si>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</si>
  <si>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</si>
  <si>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</si>
  <si>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</si>
  <si>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</si>
  <si>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</si>
  <si>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</si>
  <si>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</si>
  <si>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</si>
  <si>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</si>
  <si>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</si>
  <si>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</si>
  <si>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</si>
  <si>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</si>
  <si>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</si>
  <si>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</si>
  <si>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</si>
  <si>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</si>
  <si>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</si>
  <si>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</si>
  <si>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</si>
  <si>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</si>
  <si>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</si>
  <si>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</si>
  <si>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</si>
  <si>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</si>
  <si>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</si>
  <si>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</si>
  <si>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</si>
  <si>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</si>
  <si>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</si>
  <si>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</si>
  <si>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</si>
  <si>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</si>
  <si>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</si>
  <si>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</si>
  <si>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</si>
  <si>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</si>
  <si>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</si>
  <si>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</si>
  <si>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</si>
  <si>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</si>
  <si>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</si>
  <si>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</si>
  <si>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</si>
  <si>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</si>
  <si>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</si>
  <si>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</si>
  <si>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</si>
  <si>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</si>
  <si>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</si>
  <si>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</si>
  <si>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</si>
  <si>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</si>
  <si>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</si>
  <si>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</si>
  <si>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</si>
  <si>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</si>
  <si>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</si>
  <si>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</si>
  <si>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</si>
  <si>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</si>
  <si>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</si>
  <si>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</si>
  <si>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</si>
  <si>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</si>
  <si>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</si>
  <si>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</si>
  <si>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</si>
  <si>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</si>
  <si>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</si>
  <si>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</si>
  <si>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</si>
  <si>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</si>
  <si>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</si>
  <si>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</si>
  <si>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</si>
  <si>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</si>
  <si>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</si>
  <si>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</si>
  <si>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</si>
  <si>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</si>
  <si>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</si>
  <si>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</si>
  <si>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</si>
  <si>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</si>
  <si>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</si>
  <si>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</si>
  <si>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</si>
  <si>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</si>
  <si>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</si>
  <si>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</si>
  <si>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</si>
  <si>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</si>
  <si>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</si>
  <si>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</si>
  <si>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</si>
  <si>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</si>
  <si>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</si>
  <si>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</si>
  <si>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</si>
  <si>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</si>
  <si>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</si>
  <si>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</si>
  <si>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</si>
  <si>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</si>
  <si>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</si>
  <si>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</si>
  <si>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</si>
  <si>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</si>
  <si>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</si>
  <si>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</si>
  <si>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</si>
  <si>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</si>
  <si>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</si>
  <si>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</si>
  <si>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</si>
  <si>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</si>
  <si>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</si>
  <si>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</si>
  <si>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</si>
  <si>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</si>
  <si>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</si>
  <si>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</si>
  <si>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</si>
  <si>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</si>
  <si>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</si>
  <si>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</si>
  <si>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</si>
  <si>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</si>
  <si>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</si>
  <si>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</si>
  <si>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</si>
  <si>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</si>
  <si>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</si>
  <si>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</si>
  <si>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</si>
  <si>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</si>
  <si>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</si>
  <si>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</si>
  <si>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</si>
  <si>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</si>
  <si>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</si>
  <si>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</si>
  <si>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</si>
  <si>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</si>
  <si>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</si>
  <si>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</si>
  <si>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</si>
  <si>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</si>
  <si>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</si>
  <si>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</si>
  <si>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</si>
  <si>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</si>
  <si>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</si>
  <si>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</si>
  <si>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</si>
  <si>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</si>
  <si>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</si>
  <si>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</si>
  <si>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</si>
  <si>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</si>
  <si>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</si>
  <si>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</si>
  <si>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</si>
  <si>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</si>
  <si>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</si>
  <si>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</si>
  <si>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</si>
  <si>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</si>
  <si>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</si>
  <si>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</si>
  <si>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</si>
  <si>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</si>
  <si>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</si>
  <si>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</si>
  <si>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</si>
  <si>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</si>
  <si>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</si>
  <si>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</si>
  <si>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</si>
  <si>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</si>
  <si>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</si>
  <si>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</si>
  <si>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</si>
  <si>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</si>
  <si>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</si>
  <si>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</si>
  <si>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</si>
  <si>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</si>
  <si>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</si>
  <si>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</si>
  <si>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</si>
  <si>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</si>
  <si>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</si>
  <si>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</si>
  <si>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</si>
  <si>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</si>
  <si>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</si>
  <si>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</si>
  <si>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</si>
  <si>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</si>
  <si>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</si>
  <si>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</si>
  <si>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</si>
  <si>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</si>
  <si>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</si>
  <si>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</si>
  <si>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</si>
  <si>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</si>
  <si>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</si>
  <si>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</si>
  <si>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</si>
  <si>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</si>
  <si>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</si>
  <si>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</si>
  <si>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</si>
  <si>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</si>
  <si>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</si>
  <si>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</si>
  <si>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</si>
  <si>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</si>
  <si>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</si>
  <si>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</si>
  <si>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</si>
  <si>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</si>
  <si>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</si>
  <si>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</si>
  <si>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</si>
  <si>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</si>
  <si>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</si>
  <si>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</si>
  <si>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</si>
  <si>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</si>
  <si>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</si>
  <si>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</si>
  <si>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</si>
  <si>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</si>
  <si>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</si>
  <si>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</si>
  <si>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</si>
  <si>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</si>
  <si>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</si>
  <si>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</si>
  <si>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</si>
  <si>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</si>
  <si>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</si>
  <si>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</si>
  <si>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</si>
  <si>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</si>
  <si>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</si>
  <si>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</si>
  <si>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</si>
  <si>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</si>
  <si>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</si>
  <si>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</si>
  <si>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</si>
  <si>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</si>
  <si>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</si>
  <si>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</si>
  <si>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</si>
  <si>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</si>
  <si>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</si>
  <si>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</si>
  <si>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</si>
  <si>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</si>
  <si>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</si>
  <si>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</si>
  <si>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</si>
  <si>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</si>
  <si>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</si>
  <si>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</si>
  <si>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</si>
  <si>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</si>
  <si>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</si>
  <si>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</si>
  <si>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</si>
  <si>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</si>
  <si>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</si>
  <si>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</si>
  <si>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</si>
  <si>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</si>
  <si>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</si>
  <si>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</si>
  <si>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</si>
  <si>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</si>
  <si>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</si>
  <si>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</si>
  <si>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</si>
  <si>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</si>
  <si>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</si>
  <si>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</si>
  <si>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</si>
  <si>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</si>
  <si>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</si>
  <si>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</si>
  <si>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</si>
  <si>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</si>
  <si>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</si>
  <si>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</si>
  <si>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</si>
  <si>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</si>
  <si>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</si>
  <si>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</si>
  <si>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</si>
  <si>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</si>
  <si>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</si>
  <si>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</si>
  <si>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</si>
  <si>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</si>
  <si>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</si>
  <si>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</si>
  <si>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</si>
  <si>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</si>
  <si>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</si>
  <si>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</si>
  <si>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</si>
  <si>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</si>
  <si>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</si>
  <si>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</si>
  <si>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</si>
  <si>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</si>
  <si>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</si>
  <si>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</si>
  <si>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</si>
  <si>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</si>
  <si>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</si>
  <si>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</si>
  <si>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</si>
  <si>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</si>
  <si>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</si>
  <si>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</si>
  <si>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</si>
  <si>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</si>
  <si>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</si>
  <si>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</si>
  <si>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</si>
  <si>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</si>
  <si>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</si>
  <si>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</si>
  <si>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</si>
  <si>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</si>
  <si>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</si>
  <si>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</si>
  <si>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</si>
  <si>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</si>
  <si>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</si>
  <si>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</si>
  <si>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</si>
  <si>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</si>
  <si>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</si>
  <si>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</si>
  <si>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</si>
  <si>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</si>
  <si>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</si>
  <si>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</si>
  <si>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</si>
  <si>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</si>
  <si>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</si>
  <si>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</si>
  <si>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</si>
  <si>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</si>
  <si>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</si>
  <si>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</si>
  <si>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</si>
  <si>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</si>
  <si>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</si>
  <si>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</si>
  <si>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</si>
  <si>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</si>
  <si>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</si>
  <si>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</si>
  <si>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</si>
  <si>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</si>
  <si>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</si>
  <si>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</si>
  <si>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</si>
  <si>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</si>
  <si>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</si>
  <si>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</si>
  <si>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</si>
  <si>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</si>
  <si>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</si>
  <si>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</si>
  <si>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</si>
  <si>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</si>
  <si>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</si>
  <si>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</si>
  <si>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</si>
  <si>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</si>
  <si>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</si>
  <si>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</si>
  <si>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</si>
  <si>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</si>
  <si>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</si>
  <si>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</si>
  <si>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</si>
  <si>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</si>
  <si>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</si>
  <si>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</si>
  <si>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</si>
  <si>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</si>
  <si>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</si>
  <si>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</si>
  <si>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</si>
  <si>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</si>
  <si>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</si>
  <si>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</si>
  <si>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</si>
  <si>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</si>
  <si>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</si>
  <si>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</si>
  <si>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</si>
  <si>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</si>
  <si>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</si>
  <si>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</si>
  <si>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</si>
  <si>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</si>
  <si>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</si>
  <si>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</si>
  <si>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</si>
  <si>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</si>
  <si>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</si>
  <si>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</si>
  <si>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</si>
  <si>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</si>
  <si>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</si>
  <si>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</si>
  <si>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</si>
  <si>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</si>
  <si>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</si>
  <si>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</si>
  <si>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</si>
  <si>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</si>
  <si>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</si>
  <si>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</si>
  <si>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</si>
  <si>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</si>
  <si>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</si>
  <si>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</si>
  <si>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</si>
  <si>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</si>
  <si>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</si>
  <si>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</si>
  <si>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</si>
  <si>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</si>
  <si>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</si>
  <si>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</si>
  <si>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</si>
  <si>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</si>
  <si>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</si>
  <si>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</si>
  <si>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</si>
  <si>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</si>
  <si>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</si>
  <si>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</si>
  <si>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</si>
  <si>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</si>
  <si>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</si>
  <si>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</si>
  <si>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</si>
  <si>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</si>
  <si>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</si>
  <si>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</si>
  <si>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</si>
  <si>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</si>
  <si>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</si>
  <si>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</si>
  <si>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</si>
  <si>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</si>
  <si>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</si>
  <si>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</si>
  <si>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</si>
  <si>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</si>
  <si>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</si>
  <si>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</si>
  <si>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</si>
  <si>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</si>
  <si>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</si>
  <si>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</si>
  <si>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</si>
  <si>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</si>
  <si>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</si>
  <si>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</si>
  <si>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</si>
  <si>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</si>
  <si>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</si>
  <si>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</si>
  <si>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</si>
  <si>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</si>
  <si>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</si>
  <si>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</si>
  <si>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</si>
  <si>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</si>
  <si>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</si>
  <si>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</si>
  <si>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</si>
  <si>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</si>
  <si>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</si>
  <si>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</si>
  <si>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</si>
  <si>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</si>
  <si>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</si>
  <si>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</si>
  <si>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</si>
  <si>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</si>
  <si>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</si>
  <si>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</si>
  <si>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</si>
  <si>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</si>
  <si>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</si>
  <si>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</si>
  <si>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</si>
  <si>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</si>
  <si>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</si>
  <si>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</si>
  <si>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</si>
  <si>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</si>
  <si>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</si>
  <si>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</si>
  <si>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</si>
  <si>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</si>
  <si>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</si>
  <si>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</si>
  <si>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</si>
  <si>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</si>
  <si>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</si>
  <si>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</si>
  <si>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</si>
  <si>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</si>
  <si>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</si>
  <si>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</si>
  <si>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</si>
  <si>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</si>
  <si>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</si>
  <si>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</si>
  <si>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</si>
  <si>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</si>
  <si>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</si>
  <si>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</si>
  <si>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</si>
  <si>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</si>
  <si>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</si>
  <si>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</si>
  <si>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</si>
  <si>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</si>
  <si>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</si>
  <si>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</si>
  <si>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</si>
  <si>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</si>
  <si>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</si>
  <si>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</si>
  <si>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</si>
  <si>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</si>
  <si>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</si>
  <si>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</si>
  <si>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</si>
  <si>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</si>
  <si>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</si>
  <si>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</si>
  <si>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</si>
  <si>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</si>
  <si>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</si>
  <si>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</si>
  <si>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</si>
  <si>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</si>
  <si>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</si>
  <si>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</si>
  <si>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</si>
  <si>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</si>
  <si>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</si>
  <si>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</si>
  <si>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</si>
  <si>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</si>
  <si>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</si>
  <si>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</si>
  <si>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</si>
  <si>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</si>
  <si>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</si>
  <si>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</si>
  <si>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</si>
  <si>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</si>
  <si>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</si>
  <si>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</si>
  <si>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</si>
  <si>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</si>
  <si>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</si>
  <si>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</si>
  <si>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</si>
  <si>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</si>
  <si>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</si>
  <si>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</si>
  <si>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</si>
  <si>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</si>
  <si>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</si>
  <si>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</si>
  <si>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</si>
  <si>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</si>
  <si>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</si>
  <si>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</si>
  <si>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</si>
  <si>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</si>
  <si>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</si>
  <si>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</si>
  <si>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</si>
  <si>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</si>
  <si>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</si>
  <si>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</si>
  <si>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</si>
  <si>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</si>
  <si>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</si>
  <si>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</si>
  <si>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</si>
  <si>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</si>
  <si>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</si>
  <si>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</si>
  <si>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</si>
  <si>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</si>
  <si>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</si>
  <si>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</si>
  <si>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</si>
  <si>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</si>
  <si>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</si>
  <si>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</si>
  <si>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</si>
  <si>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</si>
  <si>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</si>
  <si>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</si>
  <si>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</si>
  <si>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</si>
  <si>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</si>
  <si>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</si>
  <si>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</si>
  <si>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</si>
  <si>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</si>
  <si>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</si>
  <si>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</si>
  <si>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</si>
  <si>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</si>
  <si>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</si>
  <si>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</si>
  <si>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</si>
  <si>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</si>
  <si>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</si>
  <si>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</si>
  <si>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</si>
  <si>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</si>
  <si>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</si>
  <si>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</si>
  <si>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</si>
  <si>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</si>
  <si>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</si>
  <si>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</si>
  <si>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</si>
  <si>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</si>
  <si>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</si>
  <si>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</si>
  <si>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</si>
  <si>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</si>
  <si>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</si>
  <si>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</si>
  <si>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</si>
  <si>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</si>
  <si>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</si>
  <si>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</si>
  <si>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</si>
  <si>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</si>
  <si>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</si>
  <si>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</si>
  <si>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</si>
  <si>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</si>
  <si>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</si>
  <si>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</si>
  <si>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</si>
  <si>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</si>
  <si>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</si>
  <si>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</si>
  <si>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</si>
  <si>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</si>
  <si>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</si>
  <si>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</si>
  <si>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</si>
  <si>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</si>
  <si>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</si>
  <si>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</si>
  <si>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</si>
  <si>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</si>
  <si>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</si>
  <si>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</si>
  <si>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</si>
  <si>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</si>
  <si>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</si>
  <si>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</si>
  <si>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</si>
  <si>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</si>
  <si>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</si>
  <si>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</si>
  <si>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</si>
  <si>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</si>
  <si>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</si>
  <si>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</si>
  <si>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</si>
  <si>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</si>
  <si>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</si>
  <si>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</si>
  <si>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</si>
  <si>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</si>
  <si>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</si>
  <si>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</si>
  <si>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</si>
  <si>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</si>
  <si>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</si>
  <si>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</si>
  <si>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</si>
  <si>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</si>
  <si>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</si>
  <si>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</si>
  <si>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</si>
  <si>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</si>
  <si>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</si>
  <si>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</si>
  <si>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</si>
  <si>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</si>
  <si>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</si>
  <si>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</si>
  <si>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</si>
  <si>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</si>
  <si>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</si>
  <si>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</si>
  <si>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</si>
  <si>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</si>
  <si>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</si>
  <si>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</si>
  <si>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</si>
  <si>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</si>
  <si>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</si>
  <si>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</si>
  <si>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</si>
  <si>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</si>
  <si>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</si>
  <si>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</si>
  <si>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</si>
  <si>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</si>
  <si>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</si>
  <si>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</si>
  <si>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</si>
  <si>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</si>
  <si>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</si>
  <si>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</si>
  <si>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</si>
  <si>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</si>
  <si>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</si>
  <si>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</si>
  <si>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</si>
  <si>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</si>
  <si>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</si>
  <si>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</si>
  <si>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</si>
  <si>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</si>
  <si>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</si>
  <si>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</si>
  <si>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</si>
  <si>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</si>
  <si>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</si>
  <si>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</si>
  <si>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</si>
  <si>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</si>
  <si>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</si>
  <si>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</si>
  <si>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</si>
  <si>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</si>
  <si>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</si>
  <si>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</si>
  <si>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</si>
  <si>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</si>
  <si>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</si>
  <si>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</si>
  <si>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</si>
  <si>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</si>
  <si>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</si>
  <si>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</si>
  <si>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</si>
  <si>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</si>
  <si>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</si>
  <si>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</si>
  <si>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</si>
  <si>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</si>
  <si>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</si>
  <si>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</si>
  <si>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</si>
  <si>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</si>
  <si>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</si>
  <si>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</si>
  <si>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</si>
  <si>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</si>
  <si>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</si>
  <si>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</si>
  <si>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</si>
  <si>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</si>
  <si>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</si>
  <si>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</si>
  <si>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</si>
  <si>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</si>
  <si>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</si>
  <si>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</si>
  <si>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</si>
  <si>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</si>
  <si>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</si>
  <si>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</si>
  <si>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</si>
  <si>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</si>
  <si>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</si>
  <si>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</si>
  <si>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</si>
  <si>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</si>
  <si>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</si>
  <si>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</si>
  <si>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</si>
  <si>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</si>
  <si>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</si>
  <si>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</si>
  <si>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</si>
  <si>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</si>
  <si>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</si>
  <si>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</si>
  <si>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</si>
  <si>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</si>
  <si>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</si>
  <si>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</si>
  <si>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</si>
  <si>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</si>
  <si>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</si>
  <si>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</si>
  <si>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</si>
  <si>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</si>
  <si>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</si>
  <si>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</si>
  <si>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</si>
  <si>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</si>
  <si>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</si>
  <si>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</si>
  <si>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</si>
  <si>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</si>
  <si>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</si>
  <si>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</si>
  <si>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</si>
  <si>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</si>
  <si>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</si>
  <si>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</si>
  <si>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</si>
  <si>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</si>
  <si>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</si>
  <si>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</si>
  <si>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</si>
  <si>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</si>
  <si>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</si>
  <si>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</si>
  <si>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</si>
  <si>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</si>
  <si>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</si>
  <si>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</si>
  <si>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</si>
  <si>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</si>
  <si>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</si>
  <si>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</si>
  <si>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</si>
  <si>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</si>
  <si>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</si>
  <si>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</si>
  <si>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</si>
  <si>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</si>
  <si>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</si>
  <si>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</si>
  <si>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</si>
  <si>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</si>
  <si>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</si>
  <si>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</si>
  <si>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</si>
  <si>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</si>
  <si>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</si>
  <si>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</si>
  <si>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</si>
  <si>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</si>
  <si>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</si>
  <si>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</si>
  <si>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</si>
  <si>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</si>
  <si>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</si>
  <si>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</si>
  <si>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</si>
  <si>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</si>
  <si>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</si>
  <si>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</si>
  <si>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</si>
  <si>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</si>
  <si>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</si>
  <si>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</si>
  <si>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</si>
  <si>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</si>
  <si>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</si>
  <si>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</si>
  <si>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</si>
  <si>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</si>
  <si>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</si>
  <si>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</si>
  <si>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</si>
  <si>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</si>
  <si>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</si>
  <si>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</si>
  <si>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</si>
  <si>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</si>
  <si>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</si>
  <si>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</si>
  <si>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</si>
  <si>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</si>
  <si>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</si>
  <si>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</si>
  <si>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</si>
  <si>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</si>
  <si>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</si>
  <si>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</si>
  <si>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</si>
  <si>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</si>
  <si>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</si>
  <si>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</si>
  <si>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</si>
  <si>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</si>
  <si>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</si>
  <si>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</si>
  <si>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</si>
  <si>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</si>
  <si>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</si>
  <si>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</si>
  <si>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</si>
  <si>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</si>
  <si>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</si>
  <si>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</si>
  <si>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</si>
  <si>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</si>
  <si>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</si>
  <si>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</si>
  <si>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</si>
  <si>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</si>
  <si>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</si>
  <si>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</si>
  <si>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</si>
  <si>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</si>
  <si>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</si>
  <si>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</si>
  <si>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</si>
  <si>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</si>
  <si>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</si>
  <si>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</si>
  <si>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</si>
  <si>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</si>
  <si>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</si>
  <si>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</si>
  <si>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</si>
  <si>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</si>
  <si>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</si>
  <si>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</si>
  <si>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</si>
  <si>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</si>
  <si>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</si>
  <si>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</si>
  <si>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</si>
  <si>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</si>
  <si>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</si>
  <si>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</si>
  <si>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</si>
  <si>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</si>
  <si>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</si>
  <si>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</si>
  <si>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</si>
  <si>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</si>
  <si>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</si>
  <si>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</si>
  <si>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</si>
  <si>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</si>
  <si>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</si>
  <si>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</si>
  <si>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</si>
  <si>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</si>
  <si>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</si>
  <si>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</si>
  <si>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</si>
  <si>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</si>
  <si>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</si>
  <si>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</si>
  <si>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</si>
  <si>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</si>
  <si>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</si>
  <si>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</si>
  <si>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</si>
  <si>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</si>
  <si>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</si>
  <si>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</si>
  <si>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</si>
  <si>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</si>
  <si>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</si>
  <si>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</si>
  <si>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</si>
  <si>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</si>
  <si>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</si>
  <si>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</si>
  <si>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</si>
  <si>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</si>
  <si>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</si>
  <si>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</si>
  <si>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</si>
  <si>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</si>
  <si>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</si>
  <si>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</si>
  <si>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</si>
  <si>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</si>
  <si>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</si>
  <si>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</si>
  <si>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</si>
  <si>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</si>
  <si>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</si>
  <si>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</si>
  <si>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</si>
  <si>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</si>
  <si>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</si>
  <si>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</si>
  <si>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</si>
  <si>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</si>
  <si>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</si>
  <si>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</si>
  <si>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</si>
  <si>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</si>
  <si>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</si>
  <si>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</si>
  <si>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</si>
  <si>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</si>
  <si>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</si>
  <si>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</si>
  <si>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</si>
  <si>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</si>
  <si>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</si>
  <si>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</si>
  <si>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</si>
  <si>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</si>
  <si>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</si>
  <si>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</si>
  <si>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</si>
  <si>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</si>
  <si>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</si>
  <si>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</si>
  <si>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</si>
  <si>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</si>
  <si>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</si>
  <si>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</si>
  <si>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</si>
  <si>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</si>
  <si>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</si>
  <si>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</si>
  <si>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</si>
  <si>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</si>
  <si>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</si>
  <si>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</si>
  <si>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</si>
  <si>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</si>
  <si>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</si>
  <si>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</si>
  <si>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</si>
  <si>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</si>
  <si>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</si>
  <si>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</si>
  <si>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</si>
  <si>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</si>
  <si>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</si>
  <si>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</si>
  <si>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</si>
  <si>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</si>
  <si>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</si>
  <si>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</si>
  <si>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</si>
  <si>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</si>
  <si>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</si>
  <si>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</si>
  <si>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</si>
  <si>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</si>
  <si>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</si>
  <si>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</si>
  <si>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</si>
  <si>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</si>
  <si>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</si>
  <si>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</si>
  <si>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</si>
  <si>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</si>
  <si>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</si>
  <si>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</si>
  <si>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</si>
  <si>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</si>
  <si>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</si>
  <si>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</si>
  <si>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</si>
  <si>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</si>
  <si>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</si>
  <si>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</si>
  <si>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</si>
  <si>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</si>
  <si>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</si>
  <si>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</si>
  <si>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</si>
  <si>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</si>
  <si>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</si>
  <si>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</si>
  <si>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</si>
  <si>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</si>
  <si>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</si>
  <si>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</si>
  <si>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</si>
  <si>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</si>
  <si>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</si>
  <si>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</si>
  <si>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</si>
  <si>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</si>
  <si>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</si>
  <si>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</si>
  <si>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</si>
  <si>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</si>
  <si>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</si>
  <si>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</si>
  <si>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</si>
  <si>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</si>
  <si>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</si>
  <si>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</si>
  <si>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</si>
  <si>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</si>
  <si>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</si>
  <si>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</si>
  <si>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</si>
  <si>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</si>
  <si>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</si>
  <si>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</si>
  <si>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</si>
  <si>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</si>
  <si>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</si>
  <si>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</si>
  <si>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</si>
  <si>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</si>
  <si>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</si>
  <si>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</si>
  <si>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</si>
  <si>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</si>
  <si>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</si>
  <si>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</si>
  <si>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</si>
  <si>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</si>
  <si>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</si>
  <si>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</si>
  <si>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</si>
  <si>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</si>
  <si>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</si>
  <si>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</si>
  <si>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</si>
  <si>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</si>
  <si>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</si>
  <si>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</si>
  <si>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</si>
  <si>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</si>
  <si>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</si>
  <si>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</si>
  <si>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</si>
  <si>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</si>
  <si>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</si>
  <si>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</si>
  <si>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</si>
  <si>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</si>
  <si>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</si>
  <si>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</si>
  <si>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</si>
  <si>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</si>
  <si>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</si>
  <si>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</si>
  <si>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</si>
  <si>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</si>
  <si>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</si>
  <si>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</si>
  <si>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</si>
  <si>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</si>
  <si>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</si>
  <si>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</si>
  <si>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</si>
  <si>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</si>
  <si>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</si>
  <si>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</si>
  <si>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</si>
  <si>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</si>
  <si>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</si>
  <si>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</si>
  <si>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</si>
  <si>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</si>
  <si>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</si>
  <si>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</si>
  <si>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</si>
  <si>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</si>
  <si>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</si>
  <si>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</si>
  <si>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</si>
  <si>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</si>
  <si>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</si>
  <si>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</si>
  <si>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</si>
  <si>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</si>
  <si>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</si>
  <si>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</si>
  <si>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</si>
  <si>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</si>
  <si>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</si>
  <si>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</si>
  <si>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</si>
  <si>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</si>
  <si>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</si>
  <si>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</si>
  <si>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</si>
  <si>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</si>
  <si>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</si>
  <si>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</si>
  <si>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</si>
  <si>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</si>
  <si>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</si>
  <si>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</si>
  <si>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</si>
  <si>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</si>
  <si>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</si>
  <si>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</si>
  <si>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</si>
  <si>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</si>
  <si>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</si>
  <si>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</si>
  <si>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</si>
  <si>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</si>
  <si>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</si>
  <si>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</si>
  <si>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</si>
  <si>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</si>
  <si>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</si>
  <si>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</si>
  <si>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</si>
  <si>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</si>
  <si>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</si>
  <si>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</si>
  <si>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</si>
  <si>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</si>
  <si>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</si>
  <si>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</si>
  <si>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</si>
  <si>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</si>
  <si>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</si>
  <si>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</si>
  <si>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</si>
  <si>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</si>
  <si>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</si>
  <si>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</si>
  <si>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</si>
  <si>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</si>
  <si>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</si>
  <si>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</si>
  <si>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</si>
  <si>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</si>
  <si>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</si>
  <si>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</si>
  <si>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</si>
  <si>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</si>
  <si>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</si>
  <si>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</si>
  <si>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</si>
  <si>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</si>
  <si>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</si>
  <si>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</si>
  <si>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</si>
  <si>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</si>
  <si>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</si>
  <si>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</si>
  <si>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</si>
  <si>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</si>
  <si>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</si>
  <si>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</si>
  <si>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</si>
  <si>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</si>
  <si>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</si>
  <si>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</si>
  <si>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</si>
  <si>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</si>
  <si>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</si>
  <si>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</si>
  <si>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</si>
  <si>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</si>
  <si>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</si>
  <si>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</si>
  <si>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</si>
  <si>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</si>
  <si>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</si>
  <si>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</si>
  <si>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</si>
  <si>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</si>
  <si>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</si>
  <si>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</si>
  <si>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</si>
  <si>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</si>
  <si>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</si>
  <si>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</si>
  <si>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</si>
  <si>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</si>
  <si>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</si>
  <si>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</si>
  <si>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</si>
  <si>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</si>
  <si>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</si>
  <si>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</si>
  <si>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</si>
  <si>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</si>
  <si>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</si>
  <si>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</si>
  <si>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</si>
  <si>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</si>
  <si>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</si>
  <si>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</si>
  <si>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</si>
  <si>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</si>
  <si>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</si>
  <si>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</si>
  <si>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</si>
  <si>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</si>
  <si>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</si>
  <si>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</si>
  <si>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</si>
  <si>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</si>
  <si>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</si>
  <si>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</si>
  <si>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</si>
  <si>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</si>
  <si>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</si>
  <si>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</si>
  <si>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</si>
  <si>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</si>
  <si>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</si>
  <si>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</si>
  <si>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</si>
  <si>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</si>
  <si>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</si>
  <si>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</si>
  <si>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</si>
  <si>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</si>
  <si>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</si>
  <si>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</si>
  <si>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</si>
  <si>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</si>
  <si>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</si>
  <si>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</si>
  <si>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</si>
  <si>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</si>
  <si>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</si>
  <si>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</si>
  <si>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</si>
  <si>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</si>
  <si>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</si>
  <si>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</si>
  <si>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</si>
  <si>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</si>
  <si>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</si>
  <si>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</si>
  <si>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</si>
  <si>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</si>
  <si>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</si>
  <si>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</si>
  <si>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</si>
  <si>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</si>
  <si>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</si>
  <si>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</si>
  <si>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</si>
  <si>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</si>
  <si>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</si>
  <si>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</si>
  <si>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</si>
  <si>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</si>
  <si>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</si>
  <si>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</si>
  <si>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</si>
  <si>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</si>
  <si>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</si>
  <si>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</si>
  <si>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</si>
  <si>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</si>
  <si>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</si>
  <si>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</si>
  <si>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</si>
  <si>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</si>
  <si>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</si>
  <si>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</si>
  <si>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</si>
  <si>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</si>
  <si>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</si>
  <si>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</si>
  <si>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</si>
  <si>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</si>
  <si>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</si>
  <si>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</si>
  <si>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</si>
  <si>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</si>
  <si>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</si>
  <si>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</si>
  <si>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</si>
  <si>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</si>
  <si>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</si>
  <si>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</si>
  <si>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</si>
  <si>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</si>
  <si>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</si>
  <si>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</si>
  <si>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</si>
  <si>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</si>
  <si>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</si>
  <si>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</si>
  <si>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</si>
  <si>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</si>
  <si>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</si>
  <si>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</si>
  <si>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</si>
  <si>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</si>
  <si>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</si>
  <si>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</si>
  <si>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</si>
  <si>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</si>
  <si>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</si>
  <si>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</si>
  <si>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</si>
  <si>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</si>
  <si>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</si>
  <si>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</si>
  <si>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</si>
  <si>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</si>
  <si>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</si>
  <si>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</si>
  <si>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</si>
  <si>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</si>
  <si>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</si>
  <si>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</si>
  <si>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</si>
  <si>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</si>
  <si>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</si>
  <si>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</si>
  <si>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</si>
  <si>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</si>
  <si>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</si>
  <si>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</si>
  <si>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</si>
  <si>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</si>
  <si>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</si>
  <si>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</si>
  <si>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</si>
  <si>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</si>
  <si>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</si>
  <si>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</si>
  <si>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</si>
  <si>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</si>
  <si>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</si>
  <si>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</si>
  <si>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</si>
  <si>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</si>
  <si>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</si>
  <si>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</si>
  <si>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</si>
  <si>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</si>
  <si>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</si>
  <si>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</si>
  <si>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</si>
  <si>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</si>
  <si>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</si>
  <si>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</si>
  <si>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</si>
  <si>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</si>
  <si>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</si>
  <si>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</si>
  <si>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</si>
  <si>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</si>
  <si>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</si>
  <si>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</si>
  <si>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</si>
  <si>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</si>
  <si>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</si>
  <si>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</si>
  <si>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</si>
  <si>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</si>
  <si>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</si>
  <si>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</si>
  <si>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</si>
  <si>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</si>
  <si>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</si>
  <si>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</si>
  <si>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</si>
  <si>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</si>
  <si>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</si>
  <si>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</si>
  <si>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</si>
  <si>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</si>
  <si>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</si>
  <si>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</si>
  <si>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</si>
  <si>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</si>
  <si>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</si>
  <si>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</si>
  <si>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</si>
  <si>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</si>
  <si>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</si>
  <si>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</si>
  <si>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</si>
  <si>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</si>
  <si>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</si>
  <si>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</si>
  <si>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</si>
  <si>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</si>
  <si>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</si>
  <si>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</si>
  <si>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</si>
  <si>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</si>
  <si>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</si>
  <si>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</si>
  <si>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</si>
  <si>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</si>
  <si>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</si>
  <si>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</si>
  <si>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</si>
  <si>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</si>
  <si>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</si>
  <si>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</si>
  <si>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</si>
  <si>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</si>
  <si>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</si>
  <si>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</si>
  <si>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</si>
  <si>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</si>
  <si>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</si>
  <si>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</si>
  <si>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</si>
  <si>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</si>
  <si>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</si>
  <si>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</si>
  <si>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</si>
  <si>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</si>
  <si>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</si>
  <si>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</si>
  <si>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</si>
  <si>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</si>
  <si>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</si>
  <si>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</si>
  <si>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</si>
  <si>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</si>
  <si>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</si>
  <si>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</si>
  <si>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</si>
  <si>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</si>
  <si>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</si>
  <si>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</si>
  <si>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</si>
  <si>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</si>
  <si>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</si>
  <si>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</si>
  <si>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</si>
  <si>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</si>
  <si>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</si>
  <si>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</si>
  <si>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</si>
  <si>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</si>
  <si>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</si>
  <si>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</si>
  <si>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</si>
  <si>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</si>
  <si>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</si>
  <si>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</si>
  <si>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</si>
  <si>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</si>
  <si>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</si>
  <si>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</si>
  <si>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</si>
  <si>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</si>
  <si>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</si>
  <si>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</si>
  <si>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</si>
  <si>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</si>
  <si>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</si>
  <si>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</si>
  <si>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</si>
  <si>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</si>
  <si>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</si>
  <si>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</si>
  <si>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</si>
  <si>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</si>
  <si>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</si>
  <si>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</si>
  <si>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</si>
  <si>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</si>
  <si>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</si>
  <si>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</si>
  <si>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</si>
  <si>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</si>
  <si>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</si>
  <si>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</si>
  <si>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</si>
  <si>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</si>
  <si>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</si>
  <si>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</si>
  <si>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</si>
  <si>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</si>
  <si>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</si>
  <si>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</si>
  <si>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</si>
  <si>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</si>
  <si>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</si>
  <si>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</si>
  <si>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</si>
  <si>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</si>
  <si>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</si>
  <si>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</si>
  <si>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</si>
  <si>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</si>
  <si>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</si>
  <si>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</si>
  <si>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</si>
  <si>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</si>
  <si>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</si>
  <si>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</si>
  <si>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</si>
  <si>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</si>
  <si>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</si>
  <si>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</si>
  <si>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</si>
  <si>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</si>
  <si>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</si>
  <si>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</si>
  <si>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</si>
  <si>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</si>
  <si>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</si>
  <si>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</si>
  <si>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</si>
  <si>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</si>
  <si>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</si>
  <si>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</si>
  <si>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</si>
  <si>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</si>
  <si>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</si>
  <si>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</si>
  <si>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</si>
  <si>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</si>
  <si>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</si>
  <si>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</si>
  <si>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</si>
  <si>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</si>
  <si>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</si>
  <si>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</si>
  <si>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</si>
  <si>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</si>
  <si>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</si>
  <si>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</si>
  <si>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</si>
  <si>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</si>
  <si>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</si>
  <si>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</si>
  <si>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</si>
  <si>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</si>
  <si>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</si>
  <si>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</si>
  <si>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</si>
  <si>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</si>
  <si>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</si>
  <si>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</si>
  <si>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</si>
  <si>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</si>
  <si>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</si>
  <si>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</si>
  <si>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</si>
  <si>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</si>
  <si>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</si>
  <si>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</si>
  <si>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</si>
  <si>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</si>
  <si>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</si>
  <si>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</si>
  <si>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</si>
  <si>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</si>
  <si>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</si>
  <si>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</si>
  <si>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</si>
  <si>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</si>
  <si>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</si>
  <si>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</si>
  <si>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</si>
  <si>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</si>
  <si>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</si>
  <si>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</si>
  <si>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</si>
  <si>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</si>
  <si>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</si>
  <si>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</si>
  <si>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</si>
  <si>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</si>
  <si>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</si>
  <si>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</si>
  <si>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</si>
  <si>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</si>
  <si>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</si>
  <si>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</si>
  <si>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</si>
  <si>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</si>
  <si>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</si>
  <si>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</si>
  <si>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</si>
  <si>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</si>
  <si>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</si>
  <si>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</si>
  <si>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</si>
  <si>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</si>
  <si>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</si>
  <si>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</si>
  <si>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</si>
  <si>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</si>
  <si>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</si>
  <si>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</si>
  <si>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</si>
  <si>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</si>
  <si>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</si>
  <si>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</si>
  <si>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</si>
  <si>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</si>
  <si>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</si>
  <si>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</si>
  <si>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</si>
  <si>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</si>
  <si>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</si>
  <si>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</si>
  <si>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</si>
  <si>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</si>
  <si>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</si>
  <si>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</si>
  <si>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</si>
  <si>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</si>
  <si>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</si>
  <si>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</si>
  <si>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</si>
  <si>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</si>
  <si>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</si>
  <si>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</si>
  <si>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</si>
  <si>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</si>
  <si>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</si>
  <si>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</si>
  <si>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</si>
  <si>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</si>
  <si>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</si>
  <si>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</si>
  <si>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</si>
  <si>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</si>
  <si>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</si>
  <si>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</si>
  <si>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</si>
  <si>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</si>
  <si>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</si>
  <si>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</si>
  <si>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</si>
  <si>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</si>
  <si>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</si>
  <si>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</si>
  <si>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</si>
  <si>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</si>
  <si>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</si>
  <si>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</si>
  <si>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</si>
  <si>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</si>
  <si>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</si>
  <si>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</si>
  <si>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</si>
  <si>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</si>
  <si>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</si>
  <si>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</si>
  <si>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</si>
  <si>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</si>
  <si>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</si>
  <si>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</si>
  <si>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</si>
  <si>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</si>
  <si>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</si>
  <si>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</si>
  <si>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</si>
  <si>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</si>
  <si>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</si>
  <si>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</si>
  <si>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</si>
  <si>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</si>
  <si>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</si>
  <si>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</si>
  <si>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</si>
  <si>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</si>
  <si>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</si>
  <si>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</si>
  <si>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</si>
  <si>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</si>
  <si>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</si>
  <si>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</si>
  <si>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</si>
  <si>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</si>
  <si>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</si>
  <si>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</si>
  <si>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</si>
  <si>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</si>
  <si>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</si>
  <si>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</si>
  <si>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</si>
  <si>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</si>
  <si>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</si>
  <si>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</si>
  <si>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</si>
  <si>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</si>
  <si>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</si>
  <si>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</si>
  <si>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</si>
  <si>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</si>
  <si>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</si>
  <si>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</si>
  <si>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</si>
  <si>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</si>
  <si>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</si>
  <si>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</si>
  <si>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</si>
  <si>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</si>
  <si>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</si>
  <si>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</si>
  <si>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</si>
  <si>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</si>
  <si>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</si>
  <si>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</si>
  <si>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</si>
  <si>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</si>
  <si>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</si>
  <si>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</si>
  <si>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</si>
  <si>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</si>
  <si>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</si>
  <si>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</si>
  <si>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</si>
  <si>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</si>
  <si>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</si>
  <si>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</si>
  <si>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</si>
  <si>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</si>
  <si>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</si>
  <si>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</si>
  <si>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</si>
  <si>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</si>
  <si>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</si>
  <si>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</si>
  <si>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</si>
  <si>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</si>
  <si>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</si>
  <si>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</si>
  <si>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</si>
  <si>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</si>
  <si>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</si>
  <si>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</si>
  <si>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</si>
  <si>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</si>
  <si>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</si>
  <si>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</si>
  <si>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</si>
  <si>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</si>
  <si>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</si>
  <si>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</si>
  <si>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</si>
  <si>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</si>
  <si>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</si>
  <si>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</si>
  <si>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</si>
  <si>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</si>
  <si>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</si>
  <si>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</si>
  <si>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</si>
  <si>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</si>
  <si>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</si>
  <si>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</si>
  <si>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</si>
  <si>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</si>
  <si>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</si>
  <si>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</si>
  <si>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</si>
  <si>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</si>
  <si>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</si>
  <si>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</si>
  <si>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</si>
  <si>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</si>
  <si>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</si>
  <si>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</si>
  <si>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</si>
  <si>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</si>
  <si>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</si>
  <si>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</si>
  <si>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</si>
  <si>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</si>
  <si>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</si>
  <si>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</si>
  <si>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</si>
  <si>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</si>
  <si>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</si>
  <si>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</si>
  <si>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</si>
  <si>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</si>
  <si>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</si>
  <si>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</si>
  <si>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</si>
  <si>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</si>
  <si>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</si>
  <si>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</si>
  <si>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</si>
  <si>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</si>
  <si>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</si>
  <si>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</si>
  <si>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</si>
  <si>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</si>
  <si>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</si>
  <si>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</si>
  <si>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</si>
  <si>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</si>
  <si>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</si>
  <si>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</si>
  <si>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</si>
  <si>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</si>
  <si>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</si>
  <si>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</si>
  <si>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</si>
  <si>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</si>
  <si>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</si>
  <si>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</si>
  <si>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</si>
  <si>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</si>
  <si>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</si>
  <si>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</si>
  <si>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</si>
  <si>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</si>
  <si>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</si>
  <si>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</si>
  <si>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</si>
  <si>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</si>
  <si>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</si>
  <si>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</si>
  <si>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</si>
  <si>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</si>
  <si>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</si>
  <si>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</si>
  <si>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</si>
  <si>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</si>
  <si>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</si>
  <si>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</si>
  <si>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</si>
  <si>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</si>
  <si>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</si>
  <si>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</si>
  <si>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</si>
  <si>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</si>
  <si>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</si>
  <si>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</si>
  <si>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</si>
  <si>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</si>
  <si>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</si>
  <si>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</si>
  <si>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</si>
  <si>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</si>
  <si>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</si>
  <si>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</si>
  <si>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</si>
  <si>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</si>
  <si>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</si>
  <si>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</si>
  <si>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</si>
  <si>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</si>
  <si>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</si>
  <si>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</si>
  <si>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</si>
  <si>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</si>
  <si>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</si>
  <si>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</si>
  <si>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</si>
  <si>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</si>
  <si>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</si>
  <si>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</si>
  <si>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</si>
  <si>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</si>
  <si>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</si>
  <si>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</si>
  <si>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</si>
  <si>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</si>
  <si>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</si>
  <si>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</si>
  <si>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</si>
  <si>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</si>
  <si>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</si>
  <si>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</si>
  <si>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</si>
  <si>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</si>
  <si>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</si>
  <si>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</si>
  <si>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</si>
  <si>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</si>
  <si>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</si>
  <si>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</si>
  <si>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</si>
  <si>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</si>
  <si>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</si>
  <si>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</si>
  <si>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</si>
  <si>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</si>
  <si>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</si>
  <si>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</si>
  <si>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</si>
  <si>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</si>
  <si>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</si>
  <si>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</si>
  <si>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</si>
  <si>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</si>
  <si>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</si>
  <si>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</si>
  <si>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</si>
  <si>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</si>
  <si>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</si>
  <si>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</si>
  <si>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</si>
  <si>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</si>
  <si>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</si>
  <si>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</si>
  <si>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</si>
  <si>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</si>
  <si>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</si>
  <si>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</si>
  <si>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</si>
  <si>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</si>
  <si>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</si>
  <si>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</si>
  <si>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</si>
  <si>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</si>
  <si>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</si>
  <si>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</si>
  <si>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</si>
  <si>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</si>
  <si>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</si>
  <si>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</si>
  <si>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</si>
  <si>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</si>
  <si>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</si>
  <si>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</si>
  <si>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</si>
  <si>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</si>
  <si>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</si>
  <si>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</si>
  <si>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</si>
  <si>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</si>
  <si>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</si>
  <si>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</si>
  <si>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</si>
  <si>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</si>
  <si>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</si>
  <si>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</si>
  <si>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</si>
  <si>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</si>
  <si>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</si>
  <si>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</si>
  <si>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</si>
  <si>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</si>
  <si>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</si>
  <si>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</si>
  <si>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</si>
  <si>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</si>
  <si>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</si>
  <si>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</si>
  <si>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</si>
  <si>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</si>
  <si>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</si>
  <si>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</si>
  <si>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</si>
  <si>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</si>
  <si>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</si>
  <si>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</si>
  <si>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</si>
  <si>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</si>
  <si>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</si>
  <si>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</si>
  <si>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</si>
  <si>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</si>
  <si>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</si>
  <si>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</si>
  <si>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</si>
  <si>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</si>
  <si>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</si>
  <si>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</si>
  <si>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</si>
  <si>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</si>
  <si>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</si>
  <si>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</si>
  <si>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</si>
  <si>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</si>
  <si>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</si>
  <si>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</si>
  <si>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</si>
  <si>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</si>
  <si>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</si>
  <si>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</si>
  <si>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</si>
  <si>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</si>
  <si>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</si>
  <si>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</si>
  <si>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</si>
  <si>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</si>
  <si>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</si>
  <si>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</si>
  <si>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</si>
  <si>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</si>
  <si>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</si>
  <si>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</si>
  <si>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</si>
  <si>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</si>
  <si>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</si>
  <si>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</si>
  <si>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</si>
  <si>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</si>
  <si>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</si>
  <si>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</si>
  <si>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</si>
  <si>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</si>
  <si>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</si>
  <si>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</si>
  <si>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</si>
  <si>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</si>
  <si>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</si>
  <si>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</si>
  <si>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</si>
  <si>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</si>
  <si>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</si>
  <si>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</si>
  <si>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</si>
  <si>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</si>
  <si>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</si>
  <si>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</si>
  <si>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</si>
  <si>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</si>
  <si>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</si>
  <si>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</si>
  <si>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</si>
  <si>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</si>
  <si>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</si>
  <si>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</si>
  <si>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</si>
  <si>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</si>
  <si>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</si>
  <si>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</si>
  <si>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</si>
  <si>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</si>
  <si>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</si>
  <si>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</si>
  <si>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</si>
  <si>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</si>
  <si>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</si>
  <si>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</si>
  <si>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</si>
  <si>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</si>
  <si>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</si>
  <si>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</si>
  <si>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</si>
  <si>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</si>
  <si>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</si>
  <si>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</si>
  <si>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</si>
  <si>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</si>
  <si>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</si>
  <si>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</si>
  <si>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</si>
  <si>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</si>
  <si>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</si>
  <si>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</si>
  <si>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</si>
  <si>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</si>
  <si>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</si>
  <si>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</si>
  <si>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</si>
  <si>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</si>
  <si>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</si>
  <si>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</si>
  <si>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</si>
  <si>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</si>
  <si>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</si>
  <si>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</si>
  <si>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</si>
  <si>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</si>
  <si>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</si>
  <si>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</si>
  <si>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</si>
  <si>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</si>
  <si>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</si>
  <si>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</si>
  <si>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</si>
  <si>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</si>
  <si>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</si>
  <si>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</si>
  <si>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</si>
  <si>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</si>
  <si>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</si>
  <si>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</si>
  <si>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</si>
  <si>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</si>
  <si>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</si>
  <si>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</si>
  <si>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</si>
  <si>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</si>
  <si>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</si>
  <si>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</si>
  <si>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</si>
  <si>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</si>
  <si>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</si>
  <si>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</si>
  <si>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</si>
  <si>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</si>
  <si>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</si>
  <si>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</si>
  <si>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</si>
  <si>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</si>
  <si>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</si>
  <si>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</si>
  <si>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</si>
  <si>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</si>
  <si>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</si>
  <si>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</si>
  <si>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</si>
  <si>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</si>
  <si>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</si>
  <si>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</si>
  <si>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</si>
  <si>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</si>
  <si>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</si>
  <si>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</si>
  <si>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</si>
  <si>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</si>
  <si>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</si>
  <si>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</si>
  <si>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</si>
  <si>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</si>
  <si>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</si>
  <si>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</si>
  <si>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</si>
  <si>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</si>
  <si>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</si>
  <si>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</si>
  <si>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</si>
  <si>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</si>
  <si>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</si>
  <si>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</si>
  <si>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</si>
  <si>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</si>
  <si>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</si>
  <si>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</si>
  <si>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</si>
  <si>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</si>
  <si>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</si>
  <si>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</si>
  <si>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</si>
  <si>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</si>
  <si>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</si>
  <si>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</si>
  <si>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</si>
  <si>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</si>
  <si>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</si>
  <si>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</si>
  <si>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</si>
  <si>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</si>
  <si>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</si>
  <si>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</si>
  <si>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</si>
  <si>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</si>
  <si>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</si>
  <si>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</si>
  <si>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</si>
  <si>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</si>
  <si>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</si>
  <si>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</si>
  <si>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</si>
  <si>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</si>
  <si>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</si>
  <si>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</si>
  <si>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</si>
  <si>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</si>
  <si>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</si>
  <si>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</si>
  <si>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</si>
  <si>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</si>
  <si>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</si>
  <si>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</si>
  <si>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</si>
  <si>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</si>
  <si>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</si>
  <si>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</si>
  <si>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</si>
  <si>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</si>
  <si>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</si>
  <si>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</si>
  <si>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</si>
  <si>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</si>
  <si>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</si>
  <si>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</si>
  <si>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</si>
  <si>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</si>
  <si>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</si>
  <si>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</si>
  <si>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</si>
  <si>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</si>
  <si>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</si>
  <si>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</si>
  <si>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</si>
  <si>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</si>
  <si>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</si>
  <si>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</si>
  <si>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</si>
  <si>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</si>
  <si>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</si>
  <si>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</si>
  <si>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</si>
  <si>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</si>
  <si>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</si>
  <si>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</si>
  <si>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</si>
  <si>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</si>
  <si>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</si>
  <si>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</si>
  <si>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</si>
  <si>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</si>
  <si>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</si>
  <si>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</si>
  <si>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</si>
  <si>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</si>
  <si>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</si>
  <si>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</si>
  <si>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</si>
  <si>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</si>
  <si>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</si>
  <si>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</si>
  <si>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</si>
  <si>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</si>
  <si>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</si>
  <si>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</si>
  <si>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</si>
  <si>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</si>
  <si>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</si>
  <si>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</si>
  <si>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</si>
  <si>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</si>
  <si>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</si>
  <si>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</si>
  <si>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</si>
  <si>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</si>
  <si>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</si>
  <si>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</si>
  <si>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</si>
  <si>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</si>
  <si>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</si>
  <si>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</si>
  <si>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</si>
  <si>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</si>
  <si>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</si>
  <si>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</si>
  <si>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</si>
  <si>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</si>
  <si>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</si>
  <si>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</si>
  <si>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</si>
  <si>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</si>
  <si>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</si>
  <si>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</si>
  <si>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</si>
  <si>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</si>
  <si>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</si>
  <si>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</si>
  <si>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</si>
  <si>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</si>
  <si>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</si>
  <si>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</si>
  <si>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</si>
  <si>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</si>
  <si>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</si>
  <si>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</si>
  <si>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</si>
  <si>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</si>
  <si>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</si>
  <si>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</si>
  <si>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</si>
  <si>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</si>
  <si>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</si>
  <si>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</si>
  <si>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</si>
  <si>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</si>
  <si>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</si>
  <si>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</si>
  <si>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</si>
  <si>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</si>
  <si>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</si>
  <si>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</si>
  <si>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</si>
  <si>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</si>
  <si>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</si>
  <si>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</si>
  <si>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</si>
  <si>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</si>
  <si>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</si>
  <si>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</si>
  <si>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</si>
  <si>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</si>
  <si>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</si>
  <si>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</si>
  <si>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</si>
  <si>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</si>
  <si>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</si>
  <si>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</si>
  <si>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</si>
  <si>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</si>
  <si>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</si>
  <si>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</si>
  <si>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</si>
  <si>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</si>
  <si>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</si>
  <si>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</si>
  <si>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</si>
  <si>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</si>
  <si>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</si>
  <si>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</si>
  <si>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</si>
  <si>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</si>
  <si>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</si>
  <si>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</si>
  <si>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</si>
  <si>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</si>
  <si>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</si>
  <si>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</si>
  <si>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</si>
  <si>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</si>
  <si>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</si>
  <si>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</si>
  <si>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</si>
  <si>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</si>
  <si>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</si>
  <si>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</si>
  <si>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</si>
  <si>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</si>
  <si>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</si>
  <si>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</si>
  <si>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</si>
  <si>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</si>
  <si>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</si>
  <si>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</si>
  <si>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</si>
  <si>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</si>
  <si>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</si>
  <si>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</si>
  <si>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</si>
  <si>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</si>
  <si>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</si>
  <si>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</si>
  <si>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</si>
  <si>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</si>
  <si>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</si>
  <si>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</si>
  <si>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</si>
  <si>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</si>
  <si>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</si>
  <si>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</si>
  <si>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</si>
  <si>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</si>
  <si>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</si>
  <si>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</si>
  <si>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</si>
  <si>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</si>
  <si>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</si>
  <si>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</si>
  <si>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</si>
  <si>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</si>
  <si>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</si>
  <si>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</si>
  <si>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</si>
  <si>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</si>
  <si>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</si>
  <si>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</si>
  <si>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</si>
  <si>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</si>
  <si>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</si>
  <si>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</si>
  <si>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</si>
  <si>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</si>
  <si>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</si>
  <si>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</si>
  <si>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</si>
  <si>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</si>
  <si>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</si>
  <si>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</si>
  <si>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</si>
  <si>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</si>
  <si>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</si>
  <si>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</si>
  <si>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</si>
  <si>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</si>
  <si>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</si>
  <si>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</si>
  <si>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</si>
  <si>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</si>
  <si>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</si>
  <si>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</si>
  <si>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</si>
  <si>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</si>
  <si>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</si>
  <si>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</si>
  <si>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</si>
  <si>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</si>
  <si>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</si>
  <si>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</si>
  <si>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</si>
  <si>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</si>
  <si>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</si>
  <si>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</si>
  <si>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</si>
  <si>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</si>
  <si>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</si>
  <si>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</si>
  <si>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</si>
  <si>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</si>
  <si>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</si>
  <si>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</si>
  <si>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</si>
  <si>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</si>
  <si>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</si>
  <si>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</si>
  <si>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</si>
  <si>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</si>
  <si>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</si>
  <si>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</si>
  <si>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</si>
  <si>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</si>
  <si>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</si>
  <si>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</si>
  <si>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</si>
  <si>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</si>
  <si>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</si>
  <si>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</si>
  <si>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</si>
  <si>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</si>
  <si>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</si>
  <si>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</si>
  <si>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</si>
  <si>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</si>
  <si>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</si>
  <si>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</si>
  <si>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</si>
  <si>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</si>
  <si>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</si>
  <si>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</si>
  <si>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</si>
  <si>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</si>
  <si>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</si>
  <si>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</si>
  <si>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</si>
  <si>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</si>
  <si>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</si>
  <si>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</si>
  <si>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</si>
  <si>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</si>
  <si>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</si>
  <si>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</si>
  <si>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</si>
  <si>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</si>
  <si>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</si>
  <si>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</si>
  <si>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</si>
  <si>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</si>
  <si>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</si>
  <si>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</si>
  <si>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</si>
  <si>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</si>
  <si>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</si>
  <si>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</si>
  <si>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</si>
  <si>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</si>
  <si>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</si>
  <si>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</si>
  <si>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</si>
  <si>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</si>
  <si>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</si>
  <si>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</si>
  <si>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</si>
  <si>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</si>
  <si>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</si>
  <si>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</si>
  <si>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</si>
  <si>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</si>
  <si>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</si>
  <si>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</si>
  <si>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</si>
  <si>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</si>
  <si>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</si>
  <si>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</si>
  <si>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</si>
  <si>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</si>
  <si>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</si>
  <si>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</si>
  <si>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</si>
  <si>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</si>
  <si>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</si>
  <si>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</si>
  <si>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</si>
  <si>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</si>
  <si>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</si>
  <si>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</si>
  <si>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</si>
  <si>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</si>
  <si>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</si>
  <si>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</si>
  <si>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</si>
  <si>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</si>
  <si>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</si>
  <si>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</si>
  <si>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</si>
  <si>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</si>
  <si>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</si>
  <si>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</si>
  <si>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</si>
  <si>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</si>
  <si>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</si>
  <si>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</si>
  <si>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</si>
  <si>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</si>
  <si>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</si>
  <si>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</si>
  <si>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</si>
  <si>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</si>
  <si>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</si>
  <si>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</si>
  <si>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</si>
  <si>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</si>
  <si>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</si>
  <si>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</si>
  <si>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</si>
  <si>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</si>
  <si>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</si>
  <si>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</si>
  <si>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</si>
  <si>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</si>
  <si>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</si>
  <si>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</si>
  <si>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</si>
  <si>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</si>
  <si>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</si>
  <si>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</si>
  <si>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</si>
  <si>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</si>
  <si>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</si>
  <si>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</si>
  <si>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</si>
  <si>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</si>
  <si>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</si>
  <si>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</si>
  <si>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</si>
  <si>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</si>
  <si>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</si>
  <si>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</si>
  <si>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</si>
  <si>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</si>
  <si>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</si>
  <si>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</si>
  <si>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</si>
  <si>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</si>
  <si>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</si>
  <si>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</si>
  <si>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</si>
  <si>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</si>
  <si>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</si>
  <si>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</si>
  <si>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</si>
  <si>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</si>
  <si>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</si>
  <si>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</si>
  <si>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</si>
  <si>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</si>
  <si>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</si>
  <si>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</si>
  <si>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</si>
  <si>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</si>
  <si>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</si>
  <si>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</si>
  <si>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</si>
  <si>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</si>
  <si>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</si>
  <si>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</si>
  <si>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</si>
  <si>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</si>
  <si>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</si>
  <si>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</si>
  <si>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</si>
  <si>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</si>
  <si>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</si>
  <si>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</si>
  <si>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</si>
  <si>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</si>
  <si>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</si>
  <si>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</si>
  <si>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</si>
  <si>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</si>
  <si>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</si>
  <si>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</si>
  <si>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</si>
  <si>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</si>
  <si>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</si>
  <si>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</si>
  <si>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</si>
  <si>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</si>
  <si>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</si>
  <si>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</si>
  <si>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</si>
  <si>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</si>
  <si>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</si>
  <si>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</si>
  <si>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</si>
  <si>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</si>
  <si>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</si>
  <si>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</si>
  <si>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</si>
  <si>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</si>
  <si>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</si>
  <si>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</si>
  <si>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</si>
  <si>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</si>
  <si>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</si>
  <si>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</si>
  <si>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</si>
  <si>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</si>
  <si>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</si>
  <si>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</si>
  <si>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</si>
  <si>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</si>
  <si>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</si>
  <si>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</si>
  <si>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</si>
  <si>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</si>
  <si>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</si>
  <si>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</si>
  <si>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</si>
  <si>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</si>
  <si>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</si>
  <si>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</si>
  <si>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</si>
  <si>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</si>
  <si>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</si>
  <si>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</si>
  <si>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</si>
  <si>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</si>
  <si>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</si>
  <si>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</si>
  <si>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</si>
  <si>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</si>
  <si>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</si>
  <si>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</si>
  <si>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</si>
  <si>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</si>
  <si>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</si>
  <si>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</si>
  <si>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</si>
  <si>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</si>
  <si>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</si>
  <si>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</si>
  <si>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</si>
  <si>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</si>
  <si>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</si>
  <si>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</si>
  <si>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</si>
  <si>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</si>
  <si>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</si>
  <si>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</si>
  <si>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</si>
  <si>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</si>
  <si>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</si>
  <si>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</si>
  <si>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</si>
  <si>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</si>
  <si>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</si>
  <si>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</si>
  <si>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</si>
  <si>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</si>
  <si>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</si>
  <si>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</si>
  <si>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</si>
  <si>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</si>
  <si>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</si>
  <si>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</si>
  <si>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</si>
  <si>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</si>
  <si>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</si>
  <si>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</si>
  <si>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</si>
  <si>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</si>
  <si>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</si>
  <si>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</si>
  <si>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</si>
  <si>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</si>
  <si>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</si>
  <si>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</si>
  <si>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</si>
  <si>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</si>
  <si>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</si>
  <si>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</si>
  <si>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</si>
  <si>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</si>
  <si>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</si>
  <si>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</si>
  <si>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</si>
  <si>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</si>
  <si>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</si>
  <si>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</si>
  <si>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</si>
  <si>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</si>
  <si>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</si>
  <si>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</si>
  <si>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</si>
  <si>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</si>
  <si>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</si>
  <si>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</si>
  <si>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</si>
  <si>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</si>
  <si>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</si>
  <si>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</si>
  <si>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</si>
  <si>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</si>
  <si>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</si>
  <si>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</si>
  <si>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</si>
  <si>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</si>
  <si>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</si>
  <si>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</si>
  <si>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</si>
  <si>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</si>
  <si>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</si>
  <si>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</si>
  <si>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</si>
  <si>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</si>
  <si>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</si>
  <si>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</si>
  <si>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</si>
  <si>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</si>
  <si>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</si>
  <si>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</si>
  <si>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</si>
  <si>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</si>
  <si>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</si>
  <si>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</si>
  <si>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</si>
  <si>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</si>
  <si>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</si>
  <si>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</si>
  <si>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</si>
  <si>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</si>
  <si>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</si>
  <si>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</si>
  <si>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</si>
  <si>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</si>
  <si>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</si>
  <si>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</si>
  <si>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</si>
  <si>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</si>
  <si>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</si>
  <si>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</si>
  <si>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</si>
  <si>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</si>
  <si>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</si>
  <si>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</si>
  <si>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</si>
  <si>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</si>
  <si>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</si>
  <si>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</si>
  <si>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</si>
  <si>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</si>
  <si>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</si>
  <si>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</si>
  <si>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</si>
  <si>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</si>
  <si>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</si>
  <si>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</si>
  <si>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</si>
  <si>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</si>
  <si>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</si>
  <si>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</si>
  <si>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</si>
  <si>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</si>
  <si>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</si>
  <si>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</si>
  <si>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</si>
  <si>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</si>
  <si>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</si>
  <si>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</si>
  <si>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</si>
  <si>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</si>
  <si>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</si>
  <si>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</si>
  <si>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</si>
  <si>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</si>
  <si>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</si>
  <si>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</si>
  <si>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</si>
  <si>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</si>
  <si>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</si>
  <si>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</si>
  <si>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</si>
  <si>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</si>
  <si>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</si>
  <si>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</si>
  <si>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</si>
  <si>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</si>
  <si>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</si>
  <si>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</si>
  <si>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</si>
  <si>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</si>
  <si>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</si>
  <si>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</si>
  <si>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</si>
  <si>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</si>
  <si>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</si>
  <si>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</si>
  <si>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</si>
  <si>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</si>
  <si>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</si>
  <si>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</si>
  <si>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</si>
  <si>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</si>
  <si>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</si>
  <si>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</si>
  <si>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</si>
  <si>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</si>
  <si>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</si>
  <si>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</si>
  <si>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</si>
  <si>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</si>
  <si>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</si>
  <si>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</si>
  <si>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</si>
  <si>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</si>
  <si>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</si>
  <si>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</si>
  <si>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</si>
  <si>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</si>
  <si>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</si>
  <si>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</si>
  <si>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</si>
  <si>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</si>
  <si>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</si>
  <si>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</si>
  <si>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</si>
  <si>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</si>
  <si>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</si>
  <si>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</si>
  <si>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</si>
  <si>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</si>
  <si>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</si>
  <si>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</si>
  <si>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</si>
  <si>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</si>
  <si>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</si>
  <si>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</si>
  <si>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</si>
  <si>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</si>
  <si>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</si>
  <si>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</si>
  <si>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</si>
  <si>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</si>
  <si>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</si>
  <si>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</si>
  <si>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</si>
  <si>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</si>
  <si>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</si>
  <si>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</si>
  <si>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</si>
  <si>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</si>
  <si>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</si>
  <si>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</si>
  <si>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</si>
  <si>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</si>
  <si>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</si>
  <si>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</si>
  <si>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</si>
  <si>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</si>
  <si>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</si>
  <si>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</si>
  <si>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</si>
  <si>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</si>
  <si>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</si>
  <si>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</si>
  <si>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</si>
  <si>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</si>
  <si>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</si>
  <si>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</si>
  <si>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</si>
  <si>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</si>
  <si>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</si>
  <si>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</si>
  <si>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</si>
  <si>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</si>
  <si>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</si>
  <si>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</si>
  <si>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</si>
  <si>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</si>
  <si>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</si>
  <si>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</si>
  <si>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</si>
  <si>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</si>
  <si>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</si>
  <si>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</si>
  <si>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</si>
  <si>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</si>
  <si>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</si>
  <si>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</si>
  <si>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</si>
  <si>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</si>
  <si>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</si>
  <si>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</si>
  <si>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</si>
  <si>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</si>
  <si>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</si>
  <si>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</si>
  <si>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</si>
  <si>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</si>
  <si>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</si>
  <si>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</si>
  <si>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</si>
  <si>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</si>
  <si>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</si>
  <si>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</si>
  <si>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</si>
  <si>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</si>
  <si>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</si>
  <si>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</si>
  <si>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</si>
  <si>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</si>
  <si>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</si>
  <si>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</si>
  <si>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</si>
  <si>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</si>
  <si>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</si>
  <si>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</si>
  <si>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</si>
  <si>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</si>
  <si>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</si>
  <si>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</si>
  <si>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</si>
  <si>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</si>
  <si>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</si>
  <si>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</si>
  <si>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</si>
  <si>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</si>
  <si>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</si>
  <si>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</si>
  <si>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</si>
  <si>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</si>
  <si>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</si>
  <si>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</si>
  <si>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</si>
  <si>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</si>
  <si>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</si>
  <si>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</si>
  <si>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</si>
  <si>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</si>
  <si>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</si>
  <si>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</si>
  <si>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</si>
  <si>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</si>
  <si>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</si>
  <si>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</si>
  <si>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</si>
  <si>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</si>
  <si>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</si>
  <si>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</si>
  <si>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</si>
  <si>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</si>
  <si>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</si>
  <si>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</si>
  <si>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</si>
  <si>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</si>
  <si>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</si>
  <si>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</si>
  <si>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</si>
  <si>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</si>
  <si>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</si>
  <si>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</si>
  <si>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</si>
  <si>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</si>
  <si>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</si>
  <si>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</si>
  <si>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</si>
  <si>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</si>
  <si>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</si>
  <si>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</si>
  <si>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</si>
  <si>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</si>
  <si>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</si>
  <si>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</si>
  <si>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</si>
  <si>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</si>
  <si>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</si>
  <si>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</si>
  <si>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</si>
  <si>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</si>
  <si>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</si>
  <si>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</si>
  <si>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</si>
  <si>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</si>
  <si>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</si>
  <si>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</si>
  <si>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</si>
  <si>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</si>
  <si>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</si>
  <si>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</si>
  <si>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</si>
  <si>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</si>
  <si>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</si>
  <si>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</si>
  <si>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</si>
  <si>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</si>
  <si>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</si>
  <si>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</si>
  <si>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</si>
  <si>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</si>
  <si>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</si>
  <si>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</si>
  <si>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</si>
  <si>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</si>
  <si>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</si>
  <si>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</si>
  <si>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</si>
  <si>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</si>
  <si>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</si>
  <si>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</si>
  <si>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</si>
  <si>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</si>
  <si>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</si>
  <si>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</si>
  <si>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</si>
  <si>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</si>
  <si>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</si>
  <si>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</si>
  <si>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</si>
  <si>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</si>
  <si>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</si>
  <si>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</si>
  <si>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</si>
  <si>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</si>
  <si>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</si>
  <si>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</si>
  <si>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</si>
  <si>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</si>
  <si>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</si>
  <si>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</si>
  <si>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</si>
  <si>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</si>
  <si>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</si>
  <si>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</si>
  <si>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</si>
  <si>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</si>
  <si>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</si>
  <si>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</si>
  <si>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</si>
  <si>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</si>
  <si>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</si>
  <si>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</si>
  <si>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</si>
  <si>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</si>
  <si>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</si>
  <si>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</si>
  <si>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</si>
  <si>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</si>
  <si>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</si>
  <si>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</si>
  <si>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</si>
  <si>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</si>
  <si>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</si>
  <si>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</si>
  <si>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</si>
  <si>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</si>
  <si>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</si>
  <si>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</si>
  <si>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</si>
  <si>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</si>
  <si>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</si>
  <si>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</si>
  <si>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</si>
  <si>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</si>
  <si>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</si>
  <si>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</si>
  <si>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</si>
  <si>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</si>
  <si>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</si>
  <si>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</si>
  <si>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</si>
  <si>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</si>
  <si>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</si>
  <si>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</si>
  <si>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</si>
  <si>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</si>
  <si>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</si>
  <si>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</si>
  <si>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</si>
  <si>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</si>
  <si>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</si>
  <si>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</si>
  <si>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</si>
  <si>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</si>
  <si>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</si>
  <si>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</si>
  <si>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</si>
  <si>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</si>
  <si>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</si>
  <si>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</si>
  <si>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</si>
  <si>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</si>
  <si>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</si>
  <si>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</si>
  <si>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</si>
  <si>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</si>
  <si>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</si>
  <si>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</si>
  <si>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</si>
  <si>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</si>
  <si>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</si>
  <si>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</si>
  <si>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</si>
  <si>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</si>
  <si>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</si>
  <si>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</si>
  <si>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</si>
  <si>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</si>
  <si>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</si>
  <si>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</si>
  <si>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</si>
  <si>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</si>
  <si>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</si>
  <si>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</si>
  <si>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</si>
  <si>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</si>
  <si>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</si>
  <si>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</si>
  <si>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</si>
  <si>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</si>
  <si>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</si>
  <si>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</si>
  <si>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</si>
  <si>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</si>
  <si>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</si>
  <si>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</si>
  <si>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</si>
  <si>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</si>
  <si>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</si>
  <si>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</si>
  <si>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</si>
  <si>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</si>
  <si>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</si>
  <si>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</si>
  <si>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</si>
  <si>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</si>
  <si>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</si>
  <si>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</si>
  <si>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</si>
  <si>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</si>
  <si>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</si>
  <si>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</si>
  <si>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</si>
  <si>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</si>
  <si>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</si>
  <si>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</si>
  <si>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</si>
  <si>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</si>
  <si>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</si>
  <si>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</si>
  <si>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</si>
  <si>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</si>
  <si>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</si>
  <si>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</si>
  <si>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</si>
  <si>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</si>
  <si>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</si>
  <si>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</si>
  <si>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</si>
  <si>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</si>
  <si>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</si>
  <si>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</si>
  <si>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</si>
  <si>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</si>
  <si>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</si>
  <si>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</si>
  <si>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</si>
  <si>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</si>
  <si>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</si>
  <si>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</si>
  <si>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</si>
  <si>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</si>
  <si>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</si>
  <si>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</si>
  <si>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</si>
  <si>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</si>
  <si>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</si>
  <si>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</si>
  <si>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</si>
  <si>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</si>
  <si>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</si>
  <si>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</si>
  <si>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</si>
  <si>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</si>
  <si>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</si>
  <si>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</si>
  <si>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</si>
  <si>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</si>
  <si>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</si>
  <si>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</si>
  <si>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</si>
  <si>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</si>
  <si>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</si>
  <si>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</si>
  <si>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</si>
  <si>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</si>
  <si>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</si>
  <si>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</si>
  <si>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</si>
  <si>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</si>
  <si>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</si>
  <si>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</si>
  <si>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</si>
  <si>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</si>
  <si>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</si>
  <si>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</si>
  <si>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</si>
  <si>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</si>
  <si>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</si>
  <si>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</si>
  <si>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</si>
  <si>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</si>
  <si>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</si>
  <si>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</si>
  <si>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</si>
  <si>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</si>
  <si>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</si>
  <si>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</si>
  <si>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</si>
  <si>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</si>
  <si>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</si>
  <si>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</si>
  <si>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</si>
  <si>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</si>
  <si>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</si>
  <si>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</si>
  <si>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</si>
  <si>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</si>
  <si>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</si>
  <si>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</si>
  <si>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</si>
  <si>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</si>
  <si>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</si>
  <si>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</si>
  <si>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</si>
  <si>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</si>
  <si>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</si>
  <si>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</si>
  <si>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</si>
  <si>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</si>
  <si>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</si>
  <si>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</si>
  <si>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</si>
  <si>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</si>
  <si>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</si>
  <si>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</si>
  <si>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</si>
  <si>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</si>
  <si>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</si>
  <si>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</si>
  <si>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</si>
  <si>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</si>
  <si>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</si>
  <si>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</si>
  <si>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</si>
  <si>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</si>
  <si>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</si>
  <si>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</si>
  <si>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</si>
  <si>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</si>
  <si>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</si>
  <si>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</si>
  <si>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</si>
  <si>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</si>
  <si>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</si>
  <si>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</si>
  <si>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</si>
  <si>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</si>
  <si>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</si>
  <si>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</si>
  <si>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</si>
  <si>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</si>
  <si>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</si>
  <si>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</si>
  <si>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</si>
  <si>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</si>
  <si>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</si>
  <si>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</si>
  <si>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</si>
  <si>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</si>
  <si>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</si>
  <si>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</si>
  <si>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</si>
  <si>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</si>
  <si>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</si>
  <si>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</si>
  <si>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</si>
  <si>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</si>
  <si>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</si>
  <si>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</si>
  <si>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</si>
  <si>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</si>
  <si>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</si>
  <si>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</si>
  <si>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</si>
  <si>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</si>
  <si>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</si>
  <si>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</si>
  <si>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</si>
  <si>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</si>
  <si>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</si>
  <si>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</si>
  <si>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</si>
  <si>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</si>
  <si>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</si>
  <si>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</si>
  <si>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</si>
  <si>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</si>
  <si>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</si>
  <si>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</si>
  <si>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</si>
  <si>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</si>
  <si>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</si>
  <si>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</si>
  <si>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</si>
  <si>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</si>
  <si>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</si>
  <si>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</si>
  <si>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</si>
  <si>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</si>
  <si>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</si>
  <si>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</si>
  <si>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</si>
  <si>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</si>
  <si>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</si>
  <si>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</si>
  <si>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</si>
  <si>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</si>
  <si>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</si>
  <si>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</si>
  <si>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</si>
  <si>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</si>
  <si>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</si>
  <si>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</si>
  <si>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</si>
  <si>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</si>
  <si>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</si>
  <si>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</si>
  <si>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</si>
  <si>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</si>
  <si>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</si>
  <si>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</si>
  <si>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</si>
  <si>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</si>
  <si>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</si>
  <si>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</si>
  <si>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</si>
  <si>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</si>
  <si>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</si>
  <si>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</si>
  <si>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</si>
  <si>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</si>
  <si>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</si>
  <si>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</si>
  <si>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</si>
  <si>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</si>
  <si>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</si>
  <si>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</si>
  <si>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</si>
  <si>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</si>
  <si>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</si>
  <si>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</si>
  <si>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</si>
  <si>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</si>
  <si>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</si>
  <si>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</si>
  <si>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</si>
  <si>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</si>
  <si>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</si>
  <si>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</si>
  <si>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</si>
  <si>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</si>
  <si>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</si>
  <si>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</si>
  <si>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</si>
  <si>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</si>
  <si>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</si>
  <si>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</si>
  <si>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</si>
  <si>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</si>
  <si>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</si>
  <si>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</si>
  <si>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</si>
  <si>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</si>
  <si>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</si>
  <si>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</si>
  <si>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</si>
  <si>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</si>
  <si>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</si>
  <si>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</si>
  <si>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</si>
  <si>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</si>
  <si>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</si>
  <si>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</si>
  <si>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</si>
  <si>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</si>
  <si>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</si>
  <si>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</si>
  <si>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</si>
  <si>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</si>
  <si>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</si>
  <si>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</si>
  <si>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</si>
  <si>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</si>
  <si>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</si>
  <si>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</si>
  <si>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</si>
  <si>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</si>
  <si>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</si>
  <si>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</si>
  <si>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</si>
  <si>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</si>
  <si>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</si>
  <si>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</si>
  <si>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</si>
  <si>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</si>
  <si>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</si>
  <si>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</si>
  <si>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</si>
  <si>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</si>
  <si>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</si>
  <si>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</si>
  <si>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</si>
  <si>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</si>
  <si>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</si>
  <si>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</si>
  <si>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</si>
  <si>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</si>
  <si>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</si>
  <si>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</si>
  <si>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</si>
  <si>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</si>
  <si>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</si>
  <si>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</si>
  <si>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</si>
  <si>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</si>
  <si>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</si>
  <si>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</si>
  <si>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</si>
  <si>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</si>
  <si>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</si>
  <si>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</si>
  <si>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</si>
  <si>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</si>
  <si>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</si>
  <si>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</si>
  <si>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</si>
  <si>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</si>
  <si>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</si>
  <si>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</si>
  <si>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</si>
  <si>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</si>
  <si>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</si>
  <si>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</si>
  <si>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</si>
  <si>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</si>
  <si>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</si>
  <si>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</si>
  <si>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</si>
  <si>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</si>
  <si>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</si>
  <si>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</si>
  <si>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</si>
  <si>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</si>
  <si>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</si>
  <si>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</si>
  <si>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</si>
  <si>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</si>
  <si>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</si>
  <si>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</si>
  <si>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</si>
  <si>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</si>
  <si>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</si>
  <si>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</si>
  <si>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</si>
  <si>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</si>
  <si>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</si>
  <si>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</si>
  <si>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</si>
  <si>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</si>
  <si>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</si>
  <si>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</si>
  <si>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</si>
  <si>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</si>
  <si>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</si>
  <si>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</si>
  <si>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</si>
  <si>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</si>
  <si>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</si>
  <si>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</si>
  <si>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</si>
  <si>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</si>
  <si>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</si>
  <si>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</si>
  <si>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</si>
  <si>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</si>
  <si>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</si>
  <si>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</si>
  <si>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</si>
  <si>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</si>
  <si>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</si>
  <si>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</si>
  <si>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</si>
  <si>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</si>
  <si>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</si>
  <si>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</si>
  <si>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</si>
  <si>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</si>
  <si>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</si>
  <si>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</si>
  <si>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</si>
  <si>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</si>
  <si>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</si>
  <si>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</si>
  <si>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</si>
  <si>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</si>
  <si>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</si>
  <si>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</si>
  <si>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</si>
  <si>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</si>
  <si>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</si>
  <si>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</si>
  <si>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</si>
  <si>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</si>
  <si>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</si>
  <si>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</si>
  <si>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</si>
  <si>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</si>
  <si>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</si>
  <si>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</si>
  <si>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</si>
  <si>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</si>
  <si>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</si>
  <si>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</si>
  <si>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</si>
  <si>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</si>
  <si>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</si>
  <si>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</si>
  <si>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</si>
  <si>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</si>
  <si>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</si>
  <si>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</si>
  <si>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</si>
  <si>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</si>
  <si>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</si>
  <si>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</si>
  <si>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</si>
  <si>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</si>
  <si>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</si>
  <si>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</si>
  <si>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</si>
  <si>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</si>
  <si>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</si>
  <si>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</si>
  <si>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</si>
  <si>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</si>
  <si>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</si>
  <si>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</si>
  <si>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</si>
  <si>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</si>
  <si>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</si>
  <si>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</si>
  <si>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</si>
  <si>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</si>
  <si>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</si>
  <si>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</si>
  <si>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</si>
  <si>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</si>
  <si>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</si>
  <si>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</si>
  <si>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</si>
  <si>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</si>
  <si>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</si>
  <si>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</si>
  <si>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</si>
  <si>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</si>
  <si>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</si>
  <si>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</si>
  <si>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</si>
  <si>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</si>
  <si>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</si>
  <si>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</si>
  <si>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</si>
  <si>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</si>
  <si>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</si>
  <si>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</si>
  <si>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</si>
  <si>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</si>
  <si>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</si>
  <si>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</si>
  <si>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</si>
  <si>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</si>
  <si>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</si>
  <si>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</si>
  <si>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</si>
  <si>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</si>
  <si>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</si>
  <si>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</si>
  <si>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</si>
  <si>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</si>
  <si>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</si>
  <si>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</si>
  <si>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</si>
  <si>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</si>
  <si>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</si>
  <si>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</si>
  <si>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</si>
  <si>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</si>
  <si>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</si>
  <si>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</si>
  <si>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</si>
  <si>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</si>
  <si>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</si>
  <si>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</si>
  <si>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</si>
  <si>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</si>
  <si>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</si>
  <si>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</si>
  <si>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</si>
  <si>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</si>
  <si>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</si>
  <si>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</si>
  <si>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</si>
  <si>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</si>
  <si>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</si>
  <si>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</si>
  <si>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</si>
  <si>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</si>
  <si>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</si>
  <si>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</si>
  <si>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</si>
  <si>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</si>
  <si>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</si>
  <si>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</si>
  <si>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</si>
  <si>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</si>
  <si>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</si>
  <si>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</si>
  <si>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</si>
  <si>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</si>
  <si>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</si>
  <si>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</si>
  <si>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</si>
  <si>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</si>
  <si>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</si>
  <si>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</si>
  <si>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</si>
  <si>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</si>
  <si>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</si>
  <si>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</si>
  <si>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</si>
  <si>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</si>
  <si>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</si>
  <si>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</si>
  <si>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</si>
  <si>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</si>
  <si>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</si>
  <si>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</si>
  <si>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</si>
  <si>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</si>
  <si>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</si>
  <si>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</si>
  <si>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</si>
  <si>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</si>
  <si>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</si>
  <si>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</si>
  <si>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</si>
  <si>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</si>
  <si>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</si>
  <si>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</si>
  <si>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</si>
  <si>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</si>
  <si>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</si>
  <si>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</si>
  <si>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</si>
  <si>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</si>
  <si>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</si>
  <si>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</si>
  <si>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</si>
  <si>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</si>
  <si>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</si>
  <si>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</si>
  <si>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</si>
  <si>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</si>
  <si>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</si>
  <si>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</si>
  <si>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</si>
  <si>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</si>
  <si>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</si>
  <si>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</si>
  <si>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</si>
  <si>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</si>
  <si>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</si>
  <si>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</si>
  <si>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</si>
  <si>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</si>
  <si>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</si>
  <si>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</si>
  <si>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</si>
  <si>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</si>
  <si>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</si>
  <si>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</si>
  <si>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</si>
  <si>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</si>
  <si>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</si>
  <si>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</si>
  <si>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</si>
  <si>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</si>
  <si>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</si>
  <si>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</si>
  <si>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</si>
  <si>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</si>
  <si>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</si>
  <si>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</si>
  <si>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</si>
  <si>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</si>
  <si>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</si>
  <si>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</si>
  <si>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</si>
  <si>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</si>
  <si>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</si>
  <si>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</si>
  <si>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</si>
  <si>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</si>
  <si>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</si>
  <si>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</si>
  <si>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</si>
  <si>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</si>
  <si>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</si>
  <si>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</si>
  <si>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</si>
  <si>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</si>
  <si>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</si>
  <si>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</si>
  <si>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</si>
  <si>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</si>
  <si>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</si>
  <si>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</si>
  <si>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</si>
  <si>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</si>
  <si>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</si>
  <si>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</si>
  <si>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</si>
  <si>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</si>
  <si>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</si>
  <si>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</si>
  <si>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</si>
  <si>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</si>
  <si>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</si>
  <si>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</si>
  <si>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</si>
  <si>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</si>
  <si>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</si>
  <si>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</si>
  <si>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</si>
  <si>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</si>
  <si>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</si>
  <si>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</si>
  <si>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</si>
  <si>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</si>
  <si>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</si>
  <si>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</si>
  <si>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</si>
  <si>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</si>
  <si>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</si>
  <si>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</si>
  <si>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</si>
  <si>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</si>
  <si>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</si>
  <si>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</si>
  <si>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</si>
  <si>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</si>
  <si>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</si>
  <si>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</si>
  <si>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</si>
  <si>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</si>
  <si>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</si>
  <si>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</si>
  <si>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</si>
  <si>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</si>
  <si>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</si>
  <si>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</si>
  <si>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</si>
  <si>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</si>
  <si>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</si>
  <si>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</si>
  <si>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</si>
  <si>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</si>
  <si>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</si>
  <si>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</si>
  <si>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</si>
  <si>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</si>
  <si>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</si>
  <si>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</si>
  <si>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</si>
  <si>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</si>
  <si>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</si>
  <si>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</si>
  <si>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</si>
  <si>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</si>
  <si>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</si>
  <si>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</si>
  <si>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</si>
  <si>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</si>
  <si>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</si>
  <si>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</si>
  <si>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</si>
  <si>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</si>
  <si>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</si>
  <si>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</si>
  <si>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</si>
  <si>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</si>
  <si>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</si>
  <si>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</si>
  <si>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</si>
  <si>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</si>
  <si>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</si>
  <si>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</si>
  <si>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</si>
  <si>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</si>
  <si>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</si>
  <si>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</si>
  <si>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</si>
  <si>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</si>
  <si>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</si>
  <si>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</si>
  <si>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</si>
  <si>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</si>
  <si>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</si>
  <si>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</si>
  <si>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</si>
  <si>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</si>
  <si>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</si>
  <si>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</si>
  <si>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</si>
  <si>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</si>
  <si>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</si>
  <si>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</si>
  <si>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</si>
  <si>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</si>
  <si>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</si>
  <si>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</si>
  <si>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</si>
  <si>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</si>
  <si>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</si>
  <si>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</si>
  <si>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</si>
  <si>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</si>
  <si>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</si>
  <si>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</si>
  <si>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</si>
  <si>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</si>
  <si>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</si>
  <si>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</si>
  <si>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</si>
  <si>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</si>
  <si>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</si>
  <si>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</si>
  <si>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</si>
  <si>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</si>
  <si>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</si>
  <si>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</si>
  <si>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</si>
  <si>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</si>
  <si>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</si>
  <si>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</si>
  <si>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</si>
  <si>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</si>
  <si>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</si>
  <si>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</si>
  <si>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</si>
  <si>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</si>
  <si>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</si>
  <si>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</si>
  <si>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</si>
  <si>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</si>
  <si>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</si>
  <si>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</si>
  <si>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</si>
  <si>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</si>
  <si>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</si>
  <si>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</si>
  <si>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</si>
  <si>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</si>
  <si>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</si>
  <si>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</si>
  <si>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</si>
  <si>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</si>
  <si>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</si>
  <si>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</si>
  <si>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</si>
  <si>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</si>
  <si>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</si>
  <si>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</si>
  <si>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</si>
  <si>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</si>
  <si>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</si>
  <si>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</si>
  <si>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</si>
  <si>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</si>
  <si>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</si>
  <si>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</si>
  <si>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</si>
  <si>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</si>
  <si>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</si>
  <si>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</si>
  <si>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</si>
  <si>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</si>
  <si>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</si>
  <si>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</si>
  <si>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</si>
  <si>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</si>
  <si>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</si>
  <si>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</si>
  <si>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</si>
  <si>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</si>
  <si>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</si>
  <si>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</si>
  <si>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</si>
  <si>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</si>
  <si>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</si>
  <si>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</si>
  <si>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</si>
  <si>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</si>
  <si>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</si>
  <si>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</si>
  <si>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</si>
  <si>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</si>
  <si>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</si>
  <si>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</si>
  <si>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</si>
  <si>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</si>
  <si>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</si>
  <si>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</si>
  <si>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</si>
  <si>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</si>
  <si>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</si>
  <si>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</si>
  <si>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</si>
  <si>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</si>
  <si>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</si>
  <si>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</si>
  <si>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</si>
  <si>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</si>
  <si>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</si>
  <si>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</si>
  <si>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</si>
  <si>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</si>
  <si>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</si>
  <si>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</si>
  <si>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</si>
  <si>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</si>
  <si>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</si>
  <si>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</si>
  <si>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</si>
  <si>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</si>
  <si>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</si>
  <si>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</si>
  <si>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</si>
  <si>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</si>
  <si>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</si>
  <si>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</si>
  <si>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</si>
  <si>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</si>
  <si>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</si>
  <si>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</si>
  <si>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</si>
  <si>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</si>
  <si>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</si>
  <si>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</si>
  <si>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</si>
  <si>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</si>
  <si>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</si>
  <si>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</si>
  <si>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</si>
  <si>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</si>
  <si>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</si>
  <si>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</si>
  <si>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</si>
  <si>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</si>
  <si>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</si>
  <si>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</si>
  <si>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</si>
  <si>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</si>
  <si>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</si>
  <si>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</si>
  <si>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</si>
  <si>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</si>
  <si>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</si>
  <si>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</si>
  <si>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</si>
  <si>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</si>
  <si>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</si>
  <si>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</si>
  <si>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</si>
  <si>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</si>
  <si>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</si>
  <si>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</si>
  <si>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</si>
  <si>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</si>
  <si>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</si>
  <si>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</si>
  <si>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</si>
  <si>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</si>
  <si>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</si>
  <si>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</si>
  <si>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</si>
  <si>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</si>
  <si>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</si>
  <si>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</si>
  <si>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</si>
  <si>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</si>
  <si>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</si>
  <si>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</si>
  <si>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</si>
  <si>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</si>
  <si>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</si>
  <si>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</si>
  <si>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</si>
  <si>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</si>
  <si>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</si>
  <si>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</si>
  <si>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</si>
  <si>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</si>
  <si>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</si>
  <si>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</si>
  <si>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</si>
  <si>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</si>
  <si>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</si>
  <si>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</si>
  <si>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</si>
  <si>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</si>
  <si>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</si>
  <si>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</si>
  <si>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</si>
  <si>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</si>
  <si>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</si>
  <si>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</si>
  <si>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</si>
  <si>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</si>
  <si>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</si>
  <si>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</si>
  <si>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</si>
  <si>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</si>
  <si>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</si>
  <si>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</si>
  <si>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</si>
  <si>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</si>
  <si>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</si>
  <si>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</si>
  <si>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</si>
  <si>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</si>
  <si>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</si>
  <si>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</si>
  <si>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</si>
  <si>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</si>
  <si>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</si>
  <si>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</si>
  <si>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</si>
  <si>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</si>
  <si>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</si>
  <si>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</si>
  <si>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</si>
  <si>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</si>
  <si>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</si>
  <si>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</si>
  <si>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</si>
  <si>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</si>
  <si>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</si>
  <si>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</si>
  <si>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</si>
  <si>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</si>
  <si>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</si>
  <si>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</si>
  <si>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</si>
  <si>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</si>
  <si>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</si>
  <si>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</si>
  <si>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</si>
  <si>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</si>
  <si>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</si>
  <si>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</si>
  <si>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</si>
  <si>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</si>
  <si>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</si>
  <si>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</si>
  <si>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</si>
  <si>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</si>
  <si>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</si>
  <si>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</si>
  <si>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</si>
  <si>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</si>
  <si>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</si>
  <si>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</si>
  <si>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</si>
  <si>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</si>
  <si>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</si>
  <si>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</si>
  <si>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</si>
  <si>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</si>
  <si>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</si>
  <si>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</si>
  <si>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</si>
  <si>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</si>
  <si>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</si>
  <si>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</si>
  <si>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</si>
  <si>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</si>
  <si>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</si>
  <si>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</si>
  <si>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</si>
  <si>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</si>
  <si>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</si>
  <si>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</si>
  <si>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</si>
  <si>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</si>
  <si>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</si>
  <si>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</si>
  <si>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</si>
  <si>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</si>
  <si>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</si>
  <si>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</si>
  <si>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</si>
  <si>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</si>
  <si>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</si>
  <si>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</si>
  <si>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</si>
  <si>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</si>
  <si>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</si>
  <si>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</si>
  <si>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</si>
  <si>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</si>
  <si>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</si>
  <si>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</si>
  <si>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</si>
  <si>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</si>
  <si>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</si>
  <si>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</si>
  <si>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</si>
  <si>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</si>
  <si>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</si>
  <si>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</si>
  <si>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</si>
  <si>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</si>
  <si>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</si>
  <si>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</si>
  <si>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</si>
  <si>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</si>
  <si>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</si>
  <si>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</si>
  <si>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</si>
  <si>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</si>
  <si>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</si>
  <si>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</si>
  <si>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</si>
  <si>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</si>
  <si>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</si>
  <si>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</si>
  <si>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</si>
  <si>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</si>
  <si>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</si>
  <si>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</si>
  <si>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</si>
  <si>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</si>
  <si>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</si>
  <si>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</si>
  <si>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</si>
  <si>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</si>
  <si>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</si>
  <si>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</si>
  <si>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</si>
  <si>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</si>
  <si>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</si>
  <si>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</si>
  <si>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</si>
  <si>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</si>
  <si>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</si>
  <si>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</si>
  <si>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</si>
  <si>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</si>
  <si>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</si>
  <si>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</si>
  <si>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</si>
  <si>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</si>
  <si>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</si>
  <si>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</si>
  <si>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</si>
  <si>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</si>
  <si>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</si>
  <si>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</si>
  <si>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</si>
  <si>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</si>
  <si>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</si>
  <si>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</si>
  <si>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</si>
  <si>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</si>
  <si>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</si>
  <si>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</si>
  <si>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</si>
  <si>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</si>
  <si>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</si>
  <si>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</si>
  <si>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</si>
  <si>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</si>
  <si>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</si>
  <si>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</si>
  <si>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</si>
  <si>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</si>
  <si>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</si>
  <si>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</si>
  <si>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</si>
  <si>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</si>
  <si>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</si>
  <si>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</si>
  <si>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</si>
  <si>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</si>
  <si>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</si>
  <si>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</si>
  <si>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</si>
  <si>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</si>
  <si>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</si>
  <si>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</si>
  <si>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</si>
  <si>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</si>
  <si>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</si>
  <si>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</si>
  <si>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</si>
  <si>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</si>
  <si>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</si>
  <si>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</si>
  <si>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</si>
  <si>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</si>
  <si>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</si>
  <si>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</si>
  <si>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</si>
  <si>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</si>
  <si>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</si>
  <si>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</si>
  <si>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</si>
  <si>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</si>
  <si>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</si>
  <si>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</si>
  <si>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</si>
  <si>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</si>
  <si>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</si>
  <si>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</si>
  <si>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</si>
  <si>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</si>
  <si>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</si>
  <si>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</si>
  <si>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</si>
  <si>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</si>
  <si>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</si>
  <si>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</si>
  <si>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</si>
  <si>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</si>
  <si>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</si>
  <si>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</si>
  <si>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</si>
  <si>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</si>
  <si>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</si>
  <si>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</si>
  <si>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</si>
  <si>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</si>
  <si>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</si>
  <si>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</si>
  <si>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</si>
  <si>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</si>
  <si>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</si>
  <si>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</si>
  <si>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</si>
  <si>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</si>
  <si>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</si>
  <si>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</si>
  <si>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</si>
  <si>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</si>
  <si>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</si>
  <si>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</si>
  <si>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</si>
  <si>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</si>
  <si>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</si>
  <si>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</si>
  <si>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</si>
  <si>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</si>
  <si>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</si>
  <si>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</si>
  <si>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</si>
  <si>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</si>
  <si>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</si>
  <si>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</si>
  <si>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</si>
  <si>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</si>
  <si>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</si>
  <si>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</si>
  <si>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</si>
  <si>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</si>
  <si>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</si>
  <si>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</si>
  <si>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</si>
  <si>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</si>
  <si>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</si>
  <si>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</si>
  <si>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</si>
  <si>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</si>
  <si>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</si>
  <si>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</si>
  <si>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</si>
  <si>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</si>
  <si>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</si>
  <si>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</si>
  <si>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</si>
  <si>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</si>
  <si>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</si>
  <si>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</si>
  <si>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</si>
  <si>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</si>
  <si>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</si>
  <si>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</si>
  <si>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</si>
  <si>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</si>
  <si>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</si>
  <si>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</si>
  <si>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</si>
  <si>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</si>
  <si>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</si>
  <si>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</si>
  <si>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</si>
  <si>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</si>
  <si>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</si>
  <si>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</si>
  <si>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</si>
  <si>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</si>
  <si>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</si>
  <si>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</si>
  <si>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</si>
  <si>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</si>
  <si>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</si>
  <si>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</si>
  <si>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</si>
  <si>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</si>
  <si>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</si>
  <si>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</si>
  <si>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</si>
  <si>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</si>
  <si>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</si>
  <si>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</si>
  <si>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</si>
  <si>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</si>
  <si>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</si>
  <si>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</si>
  <si>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</si>
  <si>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</si>
  <si>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</si>
  <si>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</si>
  <si>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</si>
  <si>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</si>
  <si>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</si>
  <si>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</si>
  <si>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</si>
  <si>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</si>
  <si>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</si>
  <si>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</si>
  <si>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</si>
  <si>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</si>
  <si>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</si>
  <si>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</si>
  <si>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</si>
  <si>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</si>
  <si>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</si>
  <si>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</si>
  <si>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</si>
  <si>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</si>
  <si>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</si>
  <si>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</si>
  <si>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</si>
  <si>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</si>
  <si>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</si>
  <si>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</si>
  <si>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</si>
  <si>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</si>
  <si>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</si>
  <si>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</si>
  <si>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</si>
  <si>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</si>
  <si>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</si>
  <si>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</si>
  <si>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</si>
  <si>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</si>
  <si>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</si>
  <si>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</si>
  <si>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</si>
  <si>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</si>
  <si>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</si>
  <si>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</si>
  <si>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</si>
  <si>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</si>
  <si>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</si>
  <si>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</si>
  <si>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</si>
  <si>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</si>
  <si>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</si>
  <si>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</si>
  <si>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</si>
  <si>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</si>
  <si>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</si>
  <si>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</si>
  <si>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</si>
  <si>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</si>
  <si>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</si>
  <si>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</si>
  <si>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</si>
  <si>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</si>
  <si>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</si>
  <si>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</si>
  <si>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</si>
  <si>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</si>
  <si>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</si>
  <si>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</si>
  <si>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</si>
  <si>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</si>
  <si>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</si>
  <si>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</si>
  <si>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</si>
  <si>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</si>
  <si>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</si>
  <si>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</si>
  <si>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</si>
  <si>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</si>
  <si>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</si>
  <si>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</si>
  <si>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</si>
  <si>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</si>
  <si>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</si>
  <si>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</si>
  <si>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</si>
  <si>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</si>
  <si>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</si>
  <si>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</si>
  <si>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</si>
  <si>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</si>
  <si>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</si>
  <si>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</si>
  <si>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</si>
  <si>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</si>
  <si>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</si>
  <si>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</si>
  <si>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</si>
  <si>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</si>
  <si>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</si>
  <si>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</si>
  <si>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</si>
  <si>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</si>
  <si>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</si>
  <si>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</si>
  <si>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</si>
  <si>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</si>
  <si>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</si>
  <si>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</si>
  <si>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</si>
  <si>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</si>
  <si>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</si>
  <si>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</si>
  <si>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</si>
  <si>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</si>
  <si>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</si>
  <si>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</si>
  <si>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</si>
  <si>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</si>
  <si>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</si>
  <si>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</si>
  <si>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</si>
  <si>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</si>
  <si>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</si>
  <si>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</si>
  <si>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</si>
  <si>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</si>
  <si>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</si>
  <si>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</si>
  <si>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</si>
  <si>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</si>
  <si>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</si>
  <si>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</si>
  <si>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</si>
  <si>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</si>
  <si>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</si>
  <si>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</si>
  <si>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</si>
  <si>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</si>
  <si>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</si>
  <si>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</si>
  <si>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</si>
  <si>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</si>
  <si>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</si>
  <si>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</si>
  <si>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</si>
  <si>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</si>
  <si>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</si>
  <si>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</si>
  <si>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</si>
  <si>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</si>
  <si>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</si>
  <si>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</si>
  <si>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</si>
  <si>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</si>
  <si>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</si>
  <si>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</si>
  <si>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</si>
  <si>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</si>
  <si>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</si>
  <si>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</si>
  <si>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</si>
  <si>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</si>
  <si>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</si>
  <si>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</si>
  <si>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</si>
  <si>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</si>
  <si>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</si>
  <si>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</si>
  <si>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</si>
  <si>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</si>
  <si>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</si>
  <si>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</si>
  <si>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</si>
  <si>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</si>
  <si>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</si>
  <si>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</si>
  <si>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</si>
  <si>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</si>
  <si>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</si>
  <si>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</si>
  <si>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</si>
  <si>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</si>
  <si>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</si>
  <si>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</si>
  <si>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</si>
  <si>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</si>
  <si>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</si>
  <si>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</si>
  <si>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</si>
  <si>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</si>
  <si>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</si>
  <si>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</si>
  <si>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</si>
  <si>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</si>
  <si>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</si>
  <si>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</si>
  <si>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</si>
  <si>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</si>
  <si>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</si>
  <si>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</si>
  <si>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</si>
  <si>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</si>
  <si>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</si>
  <si>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</si>
  <si>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</si>
  <si>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</si>
  <si>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</si>
  <si>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</si>
  <si>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</si>
  <si>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</si>
  <si>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</si>
  <si>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</si>
  <si>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</si>
  <si>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</si>
  <si>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</si>
  <si>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</si>
  <si>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</si>
  <si>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</si>
  <si>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</si>
  <si>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</si>
  <si>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</si>
  <si>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</si>
  <si>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</si>
  <si>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</si>
  <si>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</si>
  <si>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</si>
  <si>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</si>
  <si>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</si>
  <si>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</si>
  <si>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</si>
  <si>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</si>
  <si>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</si>
  <si>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</si>
  <si>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</si>
  <si>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</si>
  <si>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</si>
  <si>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</si>
  <si>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</si>
  <si>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</si>
  <si>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</si>
  <si>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</si>
  <si>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</si>
  <si>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</si>
  <si>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</si>
  <si>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</si>
  <si>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</si>
  <si>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</si>
  <si>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</si>
  <si>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</si>
  <si>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</si>
  <si>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</si>
  <si>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</si>
  <si>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</si>
  <si>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</si>
  <si>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</si>
  <si>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</si>
  <si>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</si>
  <si>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</si>
  <si>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</si>
  <si>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</si>
  <si>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</si>
  <si>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</si>
  <si>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</si>
  <si>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</si>
  <si>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</si>
  <si>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</si>
  <si>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</si>
  <si>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</si>
  <si>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</si>
  <si>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</si>
  <si>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</si>
  <si>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</si>
  <si>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</si>
  <si>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</si>
  <si>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</si>
  <si>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</si>
  <si>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</si>
  <si>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</si>
  <si>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</si>
  <si>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</si>
  <si>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</si>
  <si>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</si>
  <si>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</si>
  <si>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</si>
  <si>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</si>
  <si>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</si>
  <si>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</si>
  <si>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</si>
  <si>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</si>
  <si>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</si>
  <si>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</si>
  <si>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</si>
  <si>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</si>
  <si>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</si>
  <si>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</si>
  <si>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</si>
  <si>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</si>
  <si>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</si>
  <si>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</si>
  <si>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</si>
  <si>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</si>
  <si>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</si>
  <si>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</si>
  <si>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</si>
  <si>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</si>
  <si>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</si>
  <si>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</si>
  <si>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</si>
  <si>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</si>
  <si>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</si>
  <si>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</si>
  <si>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</si>
  <si>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</si>
  <si>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</si>
  <si>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</si>
  <si>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</si>
  <si>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</si>
  <si>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</si>
  <si>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</si>
  <si>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</si>
  <si>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</si>
  <si>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</si>
  <si>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</si>
  <si>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</si>
  <si>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</si>
  <si>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</si>
  <si>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</si>
  <si>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</si>
  <si>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</si>
  <si>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</si>
  <si>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</si>
  <si>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</si>
  <si>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</si>
  <si>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</si>
  <si>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</si>
  <si>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</si>
  <si>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</si>
  <si>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</si>
  <si>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</si>
  <si>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</si>
  <si>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</si>
  <si>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</si>
  <si>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</si>
  <si>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</si>
  <si>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</si>
  <si>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</si>
  <si>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</si>
  <si>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</si>
  <si>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</si>
  <si>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</si>
  <si>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</si>
  <si>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</si>
  <si>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</si>
  <si>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</si>
  <si>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</si>
  <si>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</si>
  <si>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</si>
  <si>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</si>
  <si>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</si>
  <si>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</si>
  <si>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</si>
  <si>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</si>
  <si>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</si>
  <si>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</si>
  <si>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</si>
  <si>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</si>
  <si>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</si>
  <si>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</si>
  <si>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</si>
  <si>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</si>
  <si>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</si>
  <si>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</si>
  <si>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</si>
  <si>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</si>
  <si>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</si>
  <si>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</si>
  <si>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</si>
  <si>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</si>
  <si>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</si>
  <si>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</si>
  <si>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</si>
  <si>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</si>
  <si>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</si>
  <si>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</si>
  <si>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</si>
  <si>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</si>
  <si>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</si>
  <si>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</si>
  <si>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</si>
  <si>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</si>
  <si>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</si>
  <si>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</si>
  <si>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</si>
  <si>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</si>
  <si>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</si>
  <si>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</si>
  <si>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</si>
  <si>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</si>
  <si>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</si>
  <si>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</si>
  <si>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</si>
  <si>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</si>
  <si>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</si>
  <si>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</si>
  <si>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</si>
  <si>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</si>
  <si>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</si>
  <si>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</si>
  <si>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</si>
  <si>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</si>
  <si>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</si>
  <si>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</si>
  <si>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</si>
  <si>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</si>
  <si>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</si>
  <si>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</si>
  <si>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</si>
  <si>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</si>
  <si>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</si>
  <si>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</si>
  <si>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</si>
  <si>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</si>
  <si>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</si>
  <si>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</si>
  <si>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</si>
  <si>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</si>
  <si>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</si>
  <si>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</si>
  <si>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</si>
  <si>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</si>
  <si>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</si>
  <si>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</si>
  <si>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</si>
  <si>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</si>
  <si>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</si>
  <si>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</si>
  <si>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</si>
  <si>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</si>
  <si>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</si>
  <si>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</si>
  <si>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</si>
  <si>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</si>
  <si>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</si>
  <si>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</si>
  <si>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</si>
  <si>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</si>
  <si>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</si>
  <si>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</si>
  <si>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</si>
  <si>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</si>
  <si>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</si>
  <si>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</si>
  <si>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</si>
  <si>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</si>
  <si>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</si>
  <si>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</si>
  <si>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</si>
  <si>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</si>
  <si>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</si>
  <si>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</si>
  <si>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</si>
  <si>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</si>
  <si>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</si>
  <si>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</si>
  <si>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</si>
  <si>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</si>
  <si>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</si>
  <si>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</si>
  <si>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</si>
  <si>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</si>
  <si>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</si>
  <si>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</si>
  <si>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</si>
  <si>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</si>
  <si>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</si>
  <si>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</si>
  <si>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</si>
  <si>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</si>
  <si>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</si>
  <si>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</si>
  <si>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</si>
  <si>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</si>
  <si>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</si>
  <si>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</si>
  <si>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</si>
  <si>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</si>
  <si>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</si>
  <si>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</si>
  <si>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</si>
  <si>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</si>
  <si>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</si>
  <si>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</si>
  <si>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</si>
  <si>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</si>
  <si>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</si>
  <si>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</si>
  <si>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</si>
  <si>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</si>
  <si>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</si>
  <si>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</si>
  <si>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</si>
  <si>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</si>
  <si>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</si>
  <si>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</si>
  <si>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</si>
  <si>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</si>
  <si>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</si>
  <si>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</si>
  <si>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</si>
  <si>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</si>
  <si>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</si>
  <si>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</si>
  <si>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</si>
  <si>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</si>
  <si>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</si>
  <si>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</si>
  <si>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</si>
  <si>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</si>
  <si>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</si>
  <si>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</si>
  <si>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</si>
  <si>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</si>
  <si>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</si>
  <si>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</si>
  <si>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</si>
  <si>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</si>
  <si>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</si>
  <si>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</si>
  <si>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</si>
  <si>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</si>
  <si>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</si>
  <si>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</si>
  <si>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</si>
  <si>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</si>
  <si>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</si>
  <si>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</si>
  <si>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</si>
  <si>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</si>
  <si>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</si>
  <si>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</si>
  <si>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</si>
  <si>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</si>
  <si>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</si>
  <si>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</si>
  <si>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</si>
  <si>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</si>
  <si>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</si>
  <si>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</si>
  <si>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</si>
  <si>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</si>
  <si>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</si>
  <si>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</si>
  <si>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</si>
  <si>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</si>
  <si>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</si>
  <si>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</si>
  <si>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</si>
  <si>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</si>
  <si>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</si>
  <si>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</si>
  <si>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</si>
  <si>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</si>
  <si>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</si>
  <si>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</si>
  <si>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</si>
  <si>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</si>
  <si>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</si>
  <si>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</si>
  <si>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</si>
  <si>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</si>
  <si>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</si>
  <si>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</si>
  <si>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</si>
  <si>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</si>
  <si>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</si>
  <si>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</si>
  <si>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</si>
  <si>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</si>
  <si>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</si>
  <si>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</si>
  <si>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</si>
  <si>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</si>
  <si>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</si>
  <si>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</si>
  <si>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</si>
  <si>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</si>
  <si>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</si>
  <si>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</si>
  <si>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</si>
  <si>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</si>
  <si>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</si>
  <si>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</si>
  <si>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</si>
  <si>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</si>
  <si>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</si>
  <si>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</si>
  <si>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</si>
  <si>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</si>
  <si>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</si>
  <si>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</si>
  <si>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</si>
  <si>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</si>
  <si>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</si>
  <si>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</si>
  <si>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</si>
  <si>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</si>
  <si>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</si>
  <si>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</si>
  <si>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</si>
  <si>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</si>
  <si>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</si>
  <si>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</si>
  <si>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</si>
  <si>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</si>
  <si>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</si>
  <si>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</si>
  <si>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</si>
  <si>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</si>
  <si>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</si>
  <si>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</si>
  <si>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</si>
  <si>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</si>
  <si>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</si>
  <si>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</si>
  <si>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</si>
  <si>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</si>
  <si>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</si>
  <si>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</si>
  <si>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</si>
  <si>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</si>
  <si>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</si>
  <si>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</si>
  <si>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</si>
  <si>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</si>
  <si>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</si>
  <si>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</si>
  <si>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</si>
  <si>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</si>
  <si>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</si>
  <si>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</si>
  <si>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</si>
  <si>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</si>
  <si>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</si>
  <si>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</si>
  <si>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</si>
  <si>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</si>
  <si>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</si>
  <si>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</si>
  <si>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</si>
  <si>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</si>
  <si>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</si>
  <si>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</si>
  <si>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</si>
  <si>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</si>
  <si>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</si>
  <si>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</si>
  <si>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</si>
  <si>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</si>
  <si>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</si>
  <si>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</si>
  <si>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</si>
  <si>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</si>
  <si>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</si>
  <si>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</si>
  <si>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</si>
  <si>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</si>
  <si>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</si>
  <si>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</si>
  <si>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</si>
  <si>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</si>
  <si>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</si>
  <si>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</si>
  <si>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</si>
  <si>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</si>
  <si>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</si>
  <si>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</si>
  <si>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</si>
  <si>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</si>
  <si>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</si>
  <si>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</si>
  <si>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</si>
  <si>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</si>
  <si>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</si>
  <si>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</si>
  <si>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</si>
  <si>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</si>
  <si>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</si>
  <si>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</si>
  <si>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</si>
  <si>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</si>
  <si>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</si>
  <si>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</si>
  <si>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</si>
  <si>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</si>
  <si>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</si>
  <si>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</si>
  <si>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</si>
  <si>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</si>
  <si>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</si>
  <si>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</si>
  <si>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</si>
  <si>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</si>
  <si>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</si>
  <si>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</si>
  <si>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</si>
  <si>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</si>
  <si>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</si>
  <si>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</si>
  <si>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</si>
  <si>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</si>
  <si>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</si>
  <si>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</si>
  <si>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</si>
  <si>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</si>
  <si>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</si>
  <si>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</si>
  <si>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</si>
  <si>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</si>
  <si>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</si>
  <si>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</si>
  <si>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</si>
  <si>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</si>
  <si>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</si>
  <si>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</si>
  <si>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</si>
  <si>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</si>
  <si>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</si>
  <si>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</si>
  <si>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</si>
  <si>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</si>
  <si>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</si>
  <si>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</si>
  <si>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</si>
  <si>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</si>
  <si>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</si>
  <si>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</si>
  <si>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</si>
  <si>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</si>
  <si>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</si>
  <si>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</si>
  <si>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</si>
  <si>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</si>
  <si>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</si>
  <si>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</si>
  <si>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</si>
  <si>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</si>
  <si>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</si>
  <si>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</si>
  <si>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</si>
  <si>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</si>
  <si>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</si>
  <si>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</si>
  <si>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</si>
  <si>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</si>
  <si>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</si>
  <si>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</si>
  <si>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</si>
  <si>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</si>
  <si>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</si>
  <si>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</si>
  <si>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</si>
  <si>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</si>
  <si>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</si>
  <si>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</si>
  <si>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</si>
  <si>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</si>
  <si>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</si>
  <si>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</si>
  <si>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</si>
  <si>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</si>
  <si>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</si>
  <si>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</si>
  <si>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</si>
  <si>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</si>
  <si>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</si>
  <si>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</si>
  <si>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</si>
  <si>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</si>
  <si>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</si>
  <si>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</si>
  <si>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</si>
  <si>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</si>
  <si>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</si>
  <si>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</si>
  <si>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</si>
  <si>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</si>
  <si>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</si>
  <si>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</si>
  <si>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</si>
  <si>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</si>
  <si>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</si>
  <si>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</si>
  <si>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</si>
  <si>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</si>
  <si>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</si>
  <si>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</si>
  <si>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</si>
  <si>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</si>
  <si>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</si>
  <si>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</si>
  <si>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</si>
  <si>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</si>
  <si>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</si>
  <si>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</si>
  <si>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</si>
  <si>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</si>
  <si>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</si>
  <si>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</si>
  <si>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</si>
  <si>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</si>
  <si>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</si>
  <si>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</si>
  <si>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</si>
  <si>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</si>
  <si>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</si>
  <si>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</si>
  <si>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</si>
  <si>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</si>
  <si>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</si>
  <si>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</si>
  <si>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</si>
  <si>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</si>
  <si>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</si>
  <si>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</si>
  <si>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</si>
  <si>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</si>
  <si>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</si>
  <si>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</si>
  <si>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</si>
  <si>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</si>
  <si>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</si>
  <si>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</si>
  <si>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</si>
  <si>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</si>
  <si>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</si>
  <si>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</si>
  <si>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</si>
  <si>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</si>
  <si>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</si>
  <si>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</si>
  <si>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</si>
  <si>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</si>
  <si>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</si>
  <si>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</si>
  <si>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</si>
  <si>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</si>
  <si>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</si>
  <si>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</si>
  <si>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</si>
  <si>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</si>
  <si>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</si>
  <si>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</si>
  <si>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</si>
  <si>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</si>
  <si>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</si>
  <si>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</si>
  <si>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</si>
  <si>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</si>
  <si>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</si>
  <si>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</si>
  <si>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</si>
  <si>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</si>
  <si>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</si>
  <si>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</si>
  <si>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</si>
  <si>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</si>
  <si>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</si>
  <si>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</si>
  <si>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</si>
  <si>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</si>
  <si>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</si>
  <si>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</si>
  <si>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</si>
  <si>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</si>
  <si>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</si>
  <si>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</si>
  <si>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</si>
  <si>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</si>
  <si>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</si>
  <si>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</si>
  <si>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</si>
  <si>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</si>
  <si>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</si>
  <si>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</si>
  <si>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</si>
  <si>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</si>
  <si>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</si>
  <si>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</si>
  <si>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</si>
  <si>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</si>
  <si>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</si>
  <si>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</si>
  <si>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</si>
  <si>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</si>
  <si>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</si>
  <si>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</si>
  <si>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</si>
  <si>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</si>
  <si>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</si>
  <si>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</si>
  <si>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</si>
  <si>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</si>
  <si>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</si>
  <si>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</si>
  <si>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</si>
  <si>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</si>
  <si>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</si>
  <si>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</si>
  <si>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</si>
  <si>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</si>
  <si>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</si>
  <si>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</si>
  <si>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</si>
  <si>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</si>
  <si>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</si>
  <si>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</si>
  <si>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</si>
  <si>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</si>
  <si>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</si>
  <si>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</si>
  <si>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</si>
  <si>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</si>
  <si>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</si>
  <si>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</si>
  <si>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</si>
  <si>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</si>
  <si>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</si>
  <si>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</si>
  <si>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</si>
  <si>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</si>
  <si>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</si>
  <si>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</si>
  <si>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</si>
  <si>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</si>
  <si>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</si>
  <si>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</si>
  <si>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</si>
  <si>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</si>
  <si>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</si>
  <si>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</si>
  <si>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</si>
  <si>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</si>
  <si>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</si>
  <si>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</si>
  <si>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</si>
  <si>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</si>
  <si>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</si>
  <si>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</si>
  <si>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</si>
  <si>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</si>
  <si>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</si>
  <si>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</si>
  <si>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</si>
  <si>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</si>
  <si>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</si>
  <si>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</si>
  <si>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</si>
  <si>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</si>
  <si>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</si>
  <si>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</si>
  <si>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</si>
  <si>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</si>
  <si>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</si>
  <si>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</si>
  <si>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</si>
  <si>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</si>
  <si>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</si>
  <si>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</si>
  <si>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</si>
  <si>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</si>
  <si>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</si>
  <si>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</si>
  <si>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</si>
  <si>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</si>
  <si>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</si>
  <si>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</si>
  <si>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</si>
  <si>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</si>
  <si>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</si>
  <si>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</si>
  <si>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</si>
  <si>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</si>
  <si>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</si>
  <si>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</si>
  <si>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</si>
  <si>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</si>
  <si>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</si>
  <si>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</si>
  <si>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</si>
  <si>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</si>
  <si>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</si>
  <si>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</si>
  <si>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</si>
  <si>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</si>
  <si>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</si>
  <si>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</si>
  <si>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</si>
  <si>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</si>
  <si>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</si>
  <si>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</si>
  <si>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</si>
  <si>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</si>
  <si>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</si>
  <si>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</si>
  <si>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</si>
  <si>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</si>
  <si>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</si>
  <si>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</si>
  <si>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</si>
  <si>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</si>
  <si>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</si>
  <si>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</si>
  <si>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</si>
  <si>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</si>
  <si>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</si>
  <si>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</si>
  <si>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</si>
  <si>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</si>
  <si>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</si>
  <si>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</si>
  <si>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</si>
  <si>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</si>
  <si>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</si>
  <si>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</si>
  <si>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</si>
  <si>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</si>
  <si>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</si>
  <si>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</si>
  <si>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</si>
  <si>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</si>
  <si>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</si>
  <si>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</si>
  <si>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</si>
  <si>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</si>
  <si>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</si>
  <si>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</si>
  <si>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</si>
  <si>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</si>
  <si>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</si>
  <si>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</si>
  <si>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</si>
  <si>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</si>
  <si>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</si>
  <si>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</si>
  <si>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</si>
  <si>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</si>
  <si>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</si>
  <si>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</si>
  <si>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</si>
  <si>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</si>
  <si>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</si>
  <si>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</si>
  <si>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</si>
  <si>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</si>
  <si>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</si>
  <si>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</si>
  <si>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</si>
  <si>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</si>
  <si>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</si>
  <si>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</si>
  <si>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</si>
  <si>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</si>
  <si>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</si>
  <si>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</si>
  <si>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</si>
  <si>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</si>
  <si>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</si>
  <si>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</si>
  <si>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</si>
  <si>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</si>
  <si>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</si>
  <si>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</si>
  <si>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</si>
  <si>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</si>
  <si>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</si>
  <si>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</si>
  <si>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</si>
  <si>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</si>
  <si>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</si>
  <si>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</si>
  <si>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</si>
  <si>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</si>
  <si>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</si>
  <si>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</si>
  <si>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</si>
  <si>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</si>
  <si>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</si>
  <si>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</si>
  <si>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</si>
  <si>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</si>
  <si>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</si>
  <si>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</si>
  <si>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</si>
  <si>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</si>
  <si>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</si>
  <si>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</si>
  <si>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</si>
  <si>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</si>
  <si>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</si>
  <si>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</si>
  <si>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</si>
  <si>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</si>
  <si>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</si>
  <si>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</si>
  <si>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</si>
  <si>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</si>
  <si>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</si>
  <si>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</si>
  <si>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</si>
  <si>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</si>
  <si>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</si>
  <si>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</si>
  <si>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</si>
  <si>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</si>
  <si>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</si>
  <si>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</si>
  <si>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</si>
  <si>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</si>
  <si>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</si>
  <si>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</si>
  <si>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</si>
  <si>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</si>
  <si>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</si>
  <si>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</si>
  <si>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</si>
  <si>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</si>
  <si>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</si>
  <si>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</si>
  <si>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</si>
  <si>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</si>
  <si>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</si>
  <si>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</si>
  <si>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</si>
  <si>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</si>
  <si>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</si>
  <si>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</si>
  <si>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</si>
  <si>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</si>
  <si>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</si>
  <si>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</si>
  <si>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</si>
  <si>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</si>
  <si>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</si>
  <si>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</si>
  <si>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</si>
  <si>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</si>
  <si>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</si>
  <si>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</si>
  <si>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</si>
  <si>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</si>
  <si>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</si>
  <si>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</si>
  <si>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</si>
  <si>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</si>
  <si>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</si>
  <si>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</si>
  <si>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</si>
  <si>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</si>
  <si>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</si>
  <si>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</si>
  <si>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</si>
  <si>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</si>
  <si>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</si>
  <si>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</si>
  <si>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</si>
  <si>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</si>
  <si>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</si>
  <si>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</si>
  <si>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</si>
  <si>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</si>
  <si>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</si>
  <si>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</si>
  <si>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</si>
  <si>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</si>
  <si>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</si>
  <si>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</si>
  <si>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</si>
  <si>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</si>
  <si>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</si>
  <si>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</si>
  <si>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</si>
  <si>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</si>
  <si>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</si>
  <si>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</si>
  <si>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</si>
  <si>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</si>
  <si>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</si>
  <si>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</si>
  <si>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</si>
  <si>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</si>
  <si>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</si>
  <si>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</si>
  <si>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</si>
  <si>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</si>
  <si>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</si>
  <si>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</si>
  <si>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</si>
  <si>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</si>
  <si>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</si>
  <si>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</si>
  <si>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</si>
  <si>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</si>
  <si>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</si>
  <si>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</si>
  <si>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</si>
  <si>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</si>
  <si>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</si>
  <si>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</si>
  <si>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</si>
  <si>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</si>
  <si>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</si>
  <si>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</si>
  <si>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</si>
  <si>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</si>
  <si>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</si>
  <si>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</si>
  <si>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</si>
  <si>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</si>
  <si>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</si>
  <si>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</si>
  <si>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</si>
  <si>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</si>
  <si>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</si>
  <si>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</si>
  <si>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</si>
  <si>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</si>
  <si>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</si>
  <si>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</si>
  <si>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</si>
  <si>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</si>
  <si>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</si>
  <si>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</si>
  <si>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</si>
  <si>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</si>
  <si>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</si>
  <si>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</si>
  <si>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</si>
  <si>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</si>
  <si>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</si>
  <si>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</si>
  <si>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</si>
  <si>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</si>
  <si>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</si>
  <si>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</si>
  <si>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</si>
  <si>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</si>
  <si>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</si>
  <si>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</si>
  <si>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</si>
  <si>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</si>
  <si>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</si>
  <si>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</si>
  <si>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</si>
  <si>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</si>
  <si>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</si>
  <si>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</si>
  <si>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</si>
  <si>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</si>
  <si>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</si>
  <si>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</si>
  <si>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</si>
  <si>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</si>
  <si>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</si>
  <si>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</si>
  <si>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</si>
  <si>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</si>
  <si>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</si>
  <si>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</si>
  <si>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</si>
  <si>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</si>
  <si>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</si>
  <si>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</si>
  <si>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</si>
  <si>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</si>
  <si>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</si>
  <si>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</si>
  <si>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</si>
  <si>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</si>
  <si>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</si>
  <si>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</si>
  <si>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</si>
  <si>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</si>
  <si>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</si>
  <si>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</si>
  <si>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</si>
  <si>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</si>
  <si>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</si>
  <si>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</si>
  <si>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</si>
  <si>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</si>
  <si>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</si>
  <si>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</si>
  <si>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</si>
  <si>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</si>
  <si>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</si>
  <si>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</si>
  <si>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</si>
  <si>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</si>
  <si>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</si>
  <si>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</si>
  <si>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</si>
  <si>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</si>
  <si>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</si>
  <si>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</si>
  <si>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</si>
  <si>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</si>
  <si>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</si>
  <si>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</si>
  <si>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</si>
  <si>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</si>
  <si>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</si>
  <si>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</si>
  <si>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</si>
  <si>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</si>
  <si>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</si>
  <si>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</si>
  <si>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</si>
  <si>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</si>
  <si>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</si>
  <si>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</si>
  <si>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</si>
  <si>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</si>
  <si>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</si>
  <si>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</si>
  <si>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</si>
  <si>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</si>
  <si>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</si>
  <si>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</si>
  <si>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</si>
  <si>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</si>
  <si>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</si>
  <si>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</si>
  <si>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</si>
  <si>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</si>
  <si>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</si>
  <si>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</si>
  <si>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</si>
  <si>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</si>
  <si>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</si>
  <si>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</si>
  <si>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</si>
  <si>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</si>
  <si>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</si>
  <si>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</si>
  <si>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</si>
  <si>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</si>
  <si>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</si>
  <si>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</si>
  <si>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</si>
  <si>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</si>
  <si>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</si>
  <si>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</si>
  <si>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</si>
  <si>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</si>
  <si>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</si>
  <si>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</si>
  <si>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</si>
  <si>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</si>
  <si>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</si>
  <si>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</si>
  <si>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</si>
  <si>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</si>
  <si>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</si>
  <si>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</si>
  <si>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</si>
  <si>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</si>
  <si>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</si>
  <si>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</si>
  <si>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</si>
  <si>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</si>
  <si>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</si>
  <si>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</si>
  <si>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</si>
  <si>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</si>
  <si>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</si>
  <si>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</si>
  <si>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</si>
  <si>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</si>
  <si>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</si>
  <si>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</si>
  <si>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</si>
  <si>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</si>
  <si>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</si>
  <si>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</si>
  <si>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</si>
  <si>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</si>
  <si>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</si>
  <si>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</si>
  <si>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</si>
  <si>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</si>
  <si>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</si>
  <si>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</si>
  <si>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</si>
  <si>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</si>
  <si>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</si>
  <si>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</si>
  <si>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</si>
  <si>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</si>
  <si>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</si>
  <si>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</si>
  <si>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</si>
  <si>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</si>
  <si>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</si>
  <si>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</si>
  <si>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</si>
  <si>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</si>
  <si>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</si>
  <si>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</si>
  <si>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</si>
  <si>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</si>
  <si>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</si>
  <si>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</si>
  <si>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</si>
  <si>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</si>
  <si>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</si>
  <si>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</si>
  <si>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</si>
  <si>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</si>
  <si>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</si>
  <si>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</si>
  <si>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</si>
  <si>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</si>
  <si>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</si>
  <si>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</si>
  <si>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</si>
  <si>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</si>
  <si>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</si>
  <si>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</si>
  <si>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</si>
  <si>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</si>
  <si>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</si>
  <si>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</si>
  <si>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</si>
  <si>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</si>
  <si>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</si>
  <si>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</si>
  <si>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</si>
  <si>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</si>
  <si>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</si>
  <si>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</si>
  <si>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</si>
  <si>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</si>
  <si>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</si>
  <si>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</si>
  <si>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</si>
  <si>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</si>
  <si>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</si>
  <si>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</si>
  <si>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</si>
  <si>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</si>
  <si>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</si>
  <si>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</si>
  <si>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</si>
  <si>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</si>
  <si>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</si>
  <si>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</si>
  <si>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</si>
  <si>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</si>
  <si>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</si>
  <si>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</si>
  <si>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</si>
  <si>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</si>
  <si>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</si>
  <si>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</si>
  <si>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</si>
  <si>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</si>
  <si>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</si>
  <si>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</si>
  <si>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</si>
  <si>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</si>
  <si>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</si>
  <si>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</si>
  <si>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</si>
  <si>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</si>
  <si>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</si>
  <si>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</si>
  <si>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</si>
  <si>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</si>
  <si>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</si>
  <si>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</si>
  <si>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</si>
  <si>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</si>
  <si>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</si>
  <si>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</si>
  <si>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</si>
  <si>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</si>
  <si>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</si>
  <si>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</si>
  <si>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</si>
  <si>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</si>
  <si>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</si>
  <si>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</si>
  <si>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</si>
  <si>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</si>
  <si>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</si>
  <si>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</si>
  <si>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</si>
  <si>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</si>
  <si>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</si>
  <si>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</si>
  <si>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</si>
  <si>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</si>
  <si>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</si>
  <si>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</si>
  <si>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</si>
  <si>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</si>
  <si>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</si>
  <si>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</si>
  <si>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</si>
  <si>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</si>
  <si>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</si>
  <si>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</si>
  <si>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</si>
  <si>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</si>
  <si>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</si>
  <si>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</si>
  <si>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</si>
  <si>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</si>
  <si>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</si>
  <si>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</si>
  <si>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</si>
  <si>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</si>
  <si>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</si>
  <si>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</si>
  <si>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</si>
  <si>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</si>
  <si>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</si>
  <si>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</si>
  <si>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</si>
  <si>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</si>
  <si>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</si>
  <si>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</si>
  <si>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</si>
  <si>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</si>
  <si>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</si>
  <si>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</si>
  <si>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</si>
  <si>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</si>
  <si>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</si>
  <si>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</si>
  <si>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</si>
  <si>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</si>
  <si>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</si>
  <si>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</si>
  <si>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</si>
  <si>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</si>
  <si>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</si>
  <si>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</si>
  <si>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</si>
  <si>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</si>
  <si>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</si>
  <si>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</si>
  <si>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</si>
  <si>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</si>
  <si>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</si>
  <si>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</si>
  <si>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</si>
  <si>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</si>
  <si>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</si>
  <si>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</si>
  <si>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</si>
  <si>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</si>
  <si>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</si>
  <si>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</si>
  <si>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</si>
  <si>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</si>
  <si>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</si>
  <si>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</si>
  <si>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</si>
  <si>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</si>
  <si>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</si>
  <si>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</si>
  <si>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</si>
  <si>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</si>
  <si>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</si>
  <si>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</si>
  <si>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</si>
  <si>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</si>
  <si>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</si>
  <si>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</si>
  <si>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</si>
  <si>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</si>
  <si>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</si>
  <si>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</si>
  <si>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</si>
  <si>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</si>
  <si>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</si>
  <si>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</si>
  <si>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</si>
  <si>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</si>
  <si>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</si>
  <si>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</si>
  <si>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</si>
  <si>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</si>
  <si>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</si>
  <si>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</si>
  <si>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</si>
  <si>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</si>
  <si>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</si>
  <si>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</si>
  <si>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</si>
  <si>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</si>
  <si>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</si>
  <si>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</si>
  <si>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</si>
  <si>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</si>
  <si>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</si>
  <si>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</si>
  <si>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</si>
  <si>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</si>
  <si>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</si>
  <si>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</si>
  <si>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</si>
  <si>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</si>
  <si>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</si>
  <si>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</si>
  <si>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</si>
  <si>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</si>
  <si>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</si>
  <si>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</si>
  <si>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</si>
  <si>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</si>
  <si>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</si>
  <si>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</si>
  <si>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</si>
  <si>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</si>
  <si>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</si>
  <si>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</si>
  <si>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</si>
  <si>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</si>
  <si>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</si>
  <si>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</si>
  <si>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</si>
  <si>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</si>
  <si>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</si>
  <si>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</si>
  <si>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</si>
  <si>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</si>
  <si>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</si>
  <si>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</si>
  <si>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</si>
  <si>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</si>
  <si>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</si>
  <si>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</si>
  <si>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</si>
  <si>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</si>
  <si>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</si>
  <si>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</si>
  <si>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</si>
  <si>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</si>
  <si>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</si>
  <si>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</si>
  <si>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</si>
  <si>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</si>
  <si>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</si>
  <si>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</si>
  <si>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</si>
  <si>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</si>
  <si>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</si>
  <si>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</si>
  <si>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</si>
  <si>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</si>
  <si>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</si>
  <si>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</si>
  <si>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</si>
  <si>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</si>
  <si>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</si>
  <si>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</si>
  <si>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</si>
  <si>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</si>
  <si>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</si>
  <si>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</si>
  <si>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</si>
  <si>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</si>
  <si>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</si>
  <si>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</si>
  <si>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</si>
  <si>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</si>
  <si>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</si>
  <si>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</si>
  <si>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</si>
  <si>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</si>
  <si>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</si>
  <si>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</si>
  <si>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</si>
  <si>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</si>
  <si>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</si>
  <si>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</si>
  <si>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</si>
  <si>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</si>
  <si>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</si>
  <si>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</si>
  <si>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</si>
  <si>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</si>
  <si>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</si>
  <si>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</si>
  <si>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</si>
  <si>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</si>
  <si>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</si>
  <si>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</si>
  <si>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</si>
  <si>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</si>
  <si>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</si>
  <si>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</si>
  <si>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</si>
  <si>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</si>
  <si>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</si>
  <si>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</si>
  <si>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</si>
  <si>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</si>
  <si>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</si>
  <si>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</si>
  <si>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</si>
  <si>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</si>
  <si>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</si>
  <si>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</si>
  <si>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</si>
  <si>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</si>
  <si>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</si>
  <si>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</si>
  <si>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</si>
  <si>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</si>
  <si>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</si>
  <si>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</si>
  <si>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</si>
  <si>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</si>
  <si>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</si>
  <si>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</si>
  <si>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</si>
  <si>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</si>
  <si>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</si>
  <si>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</si>
  <si>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</si>
  <si>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</si>
  <si>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</si>
  <si>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</si>
  <si>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</si>
  <si>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</si>
  <si>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</si>
  <si>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</si>
  <si>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</si>
  <si>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</si>
  <si>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</si>
  <si>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</si>
  <si>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</si>
  <si>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</si>
  <si>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</si>
  <si>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</si>
  <si>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</si>
  <si>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</si>
  <si>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</si>
  <si>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</si>
  <si>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</si>
  <si>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</si>
  <si>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</si>
  <si>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</si>
  <si>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</si>
  <si>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</si>
  <si>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</si>
  <si>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</si>
  <si>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</si>
  <si>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</si>
  <si>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</si>
  <si>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</si>
  <si>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</si>
  <si>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</si>
  <si>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</si>
  <si>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</si>
  <si>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</si>
  <si>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</si>
  <si>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</si>
  <si>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</si>
  <si>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</si>
  <si>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</si>
  <si>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</si>
  <si>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</si>
  <si>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</si>
  <si>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</si>
  <si>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</si>
  <si>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</si>
  <si>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</si>
  <si>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</si>
  <si>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</si>
  <si>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</si>
  <si>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</si>
  <si>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</si>
  <si>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</si>
  <si>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</si>
  <si>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</si>
  <si>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</si>
  <si>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</si>
  <si>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</si>
  <si>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</si>
  <si>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</si>
  <si>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</si>
  <si>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</si>
  <si>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</si>
  <si>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</si>
  <si>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</si>
  <si>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</si>
  <si>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</si>
  <si>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</si>
  <si>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</si>
  <si>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</si>
  <si>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</si>
  <si>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</si>
  <si>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</si>
  <si>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</si>
  <si>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</si>
  <si>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</si>
  <si>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</si>
  <si>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</si>
  <si>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</si>
  <si>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</si>
  <si>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</si>
  <si>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</si>
  <si>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</si>
  <si>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</si>
  <si>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</si>
  <si>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</si>
  <si>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</si>
  <si>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</si>
  <si>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</si>
  <si>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</si>
  <si>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</si>
  <si>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</si>
  <si>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</si>
  <si>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</si>
  <si>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</si>
  <si>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</si>
  <si>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</si>
  <si>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</si>
  <si>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</si>
  <si>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</si>
  <si>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</si>
  <si>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</si>
  <si>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</si>
  <si>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</si>
  <si>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</si>
  <si>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</si>
  <si>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</si>
  <si>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</si>
  <si>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</si>
  <si>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</si>
  <si>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</si>
  <si>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</si>
  <si>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</si>
  <si>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</si>
  <si>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</si>
  <si>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</si>
  <si>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</si>
  <si>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</si>
  <si>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</si>
  <si>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</si>
  <si>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</si>
  <si>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</si>
  <si>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</si>
  <si>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</si>
  <si>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</si>
  <si>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</si>
  <si>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</si>
  <si>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</si>
  <si>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</si>
  <si>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</si>
  <si>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</si>
  <si>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</si>
  <si>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</si>
  <si>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</si>
  <si>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</si>
  <si>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</si>
  <si>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</si>
  <si>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</si>
  <si>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</si>
  <si>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</si>
  <si>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</si>
  <si>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</si>
  <si>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</si>
  <si>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</si>
  <si>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</si>
  <si>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</si>
  <si>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</si>
  <si>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</si>
  <si>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</si>
  <si>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</si>
  <si>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</si>
  <si>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</si>
  <si>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</si>
  <si>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</si>
  <si>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</si>
  <si>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</si>
  <si>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</si>
  <si>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</si>
  <si>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</si>
  <si>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</si>
  <si>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</si>
  <si>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</si>
  <si>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</si>
  <si>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</si>
  <si>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</si>
  <si>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</si>
  <si>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</si>
  <si>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</si>
  <si>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</si>
  <si>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</si>
  <si>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</si>
  <si>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</si>
  <si>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</si>
  <si>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</si>
  <si>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</si>
  <si>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</si>
  <si>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</si>
  <si>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</si>
  <si>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</si>
  <si>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</si>
  <si>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</si>
  <si>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</si>
  <si>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</si>
  <si>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</si>
  <si>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</si>
  <si>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</si>
  <si>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</si>
  <si>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</si>
  <si>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</si>
  <si>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</si>
  <si>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</si>
  <si>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</si>
  <si>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</si>
  <si>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</si>
  <si>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</si>
  <si>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</si>
  <si>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</si>
  <si>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</si>
  <si>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</si>
  <si>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</si>
  <si>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</si>
  <si>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</si>
  <si>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</si>
  <si>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</si>
  <si>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</si>
  <si>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</si>
  <si>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</si>
  <si>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</si>
  <si>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</si>
  <si>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</si>
  <si>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</si>
  <si>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</si>
  <si>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</si>
  <si>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</si>
  <si>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</si>
  <si>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</si>
  <si>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</si>
  <si>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</si>
  <si>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</si>
  <si>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</si>
  <si>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</si>
  <si>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</si>
  <si>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</si>
  <si>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</si>
  <si>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</si>
  <si>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</si>
  <si>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</si>
  <si>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</si>
  <si>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</si>
  <si>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</si>
  <si>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</si>
  <si>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</si>
  <si>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</si>
  <si>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</si>
  <si>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</si>
  <si>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</si>
  <si>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</si>
  <si>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</si>
  <si>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</si>
  <si>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</si>
  <si>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</si>
  <si>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</si>
  <si>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</si>
  <si>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</si>
  <si>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</si>
  <si>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</si>
  <si>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</si>
  <si>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</si>
  <si>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</si>
  <si>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</si>
  <si>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</si>
  <si>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</si>
  <si>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</si>
  <si>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</si>
  <si>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</si>
  <si>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</si>
  <si>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</si>
  <si>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</si>
  <si>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</si>
  <si>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</si>
  <si>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</si>
  <si>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</si>
  <si>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</si>
  <si>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</si>
  <si>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</si>
  <si>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</si>
  <si>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</si>
  <si>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</si>
  <si>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</si>
  <si>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</si>
  <si>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</si>
  <si>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</si>
  <si>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</si>
  <si>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</si>
  <si>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</si>
  <si>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</si>
  <si>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</si>
  <si>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</si>
  <si>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</si>
  <si>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</si>
  <si>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</si>
  <si>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</si>
  <si>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</si>
  <si>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</si>
  <si>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</si>
  <si>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</si>
  <si>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</si>
  <si>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</si>
  <si>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</si>
  <si>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</si>
  <si>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</si>
  <si>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</si>
  <si>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</si>
  <si>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</si>
  <si>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</si>
  <si>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</si>
  <si>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</si>
  <si>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</si>
  <si>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</si>
  <si>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</si>
  <si>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</si>
  <si>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</si>
  <si>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</si>
  <si>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</si>
  <si>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</si>
  <si>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</si>
  <si>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</si>
  <si>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</si>
  <si>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</si>
  <si>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</si>
  <si>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</si>
  <si>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</si>
  <si>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</si>
  <si>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</si>
  <si>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</si>
  <si>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</si>
  <si>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</si>
  <si>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</si>
  <si>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</si>
  <si>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</si>
  <si>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</si>
  <si>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</si>
  <si>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</si>
  <si>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</si>
  <si>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</si>
  <si>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</si>
  <si>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</si>
  <si>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</si>
  <si>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</si>
  <si>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</si>
  <si>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</si>
  <si>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</si>
  <si>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</si>
  <si>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</si>
  <si>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</si>
  <si>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</si>
  <si>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</si>
  <si>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</si>
  <si>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</si>
  <si>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</si>
  <si>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</si>
  <si>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</si>
  <si>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</si>
  <si>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</si>
  <si>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</si>
  <si>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</si>
  <si>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</si>
  <si>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</si>
  <si>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</si>
  <si>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</si>
  <si>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</si>
  <si>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</si>
  <si>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</si>
  <si>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</si>
  <si>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</si>
  <si>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</si>
  <si>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</si>
  <si>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</si>
  <si>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</si>
  <si>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</si>
  <si>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</si>
  <si>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</si>
  <si>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</si>
  <si>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</si>
  <si>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</si>
  <si>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</si>
  <si>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</si>
  <si>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</si>
  <si>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</si>
  <si>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</si>
  <si>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</si>
  <si>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</si>
  <si>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</si>
  <si>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</si>
  <si>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</si>
  <si>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</si>
  <si>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</si>
  <si>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</si>
  <si>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</si>
  <si>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</si>
  <si>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</si>
  <si>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</si>
  <si>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</si>
  <si>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</si>
  <si>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</si>
  <si>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</si>
  <si>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</si>
  <si>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</si>
  <si>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</si>
  <si>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</si>
  <si>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</si>
  <si>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</si>
  <si>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</si>
  <si>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</si>
  <si>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</si>
  <si>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</si>
  <si>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</si>
  <si>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</si>
  <si>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</si>
  <si>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</si>
  <si>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</si>
  <si>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</si>
  <si>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</si>
  <si>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</si>
  <si>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</si>
  <si>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</si>
  <si>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</si>
  <si>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</si>
  <si>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</si>
  <si>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</si>
  <si>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</si>
  <si>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</si>
  <si>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</si>
  <si>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</si>
  <si>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</si>
  <si>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</si>
  <si>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</si>
  <si>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</si>
  <si>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</si>
  <si>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</si>
  <si>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</si>
  <si>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</si>
  <si>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</si>
  <si>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</si>
  <si>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</si>
  <si>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</si>
  <si>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</si>
  <si>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</si>
  <si>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</si>
  <si>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</si>
  <si>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</si>
  <si>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</si>
  <si>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</si>
  <si>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</si>
  <si>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</si>
  <si>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</si>
  <si>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</si>
  <si>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</si>
  <si>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</si>
  <si>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</si>
  <si>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</si>
  <si>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</si>
  <si>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</si>
  <si>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</si>
  <si>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</si>
  <si>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</si>
  <si>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</si>
  <si>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</si>
  <si>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</si>
  <si>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</si>
  <si>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</si>
  <si>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</si>
  <si>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</si>
  <si>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</si>
  <si>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</si>
  <si>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</si>
  <si>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</si>
  <si>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</si>
  <si>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</si>
  <si>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</si>
  <si>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</si>
  <si>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</si>
  <si>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</si>
  <si>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</si>
  <si>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</si>
  <si>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</si>
  <si>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</si>
  <si>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</si>
  <si>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</si>
  <si>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</si>
  <si>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</si>
  <si>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</si>
  <si>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</si>
  <si>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</si>
  <si>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</si>
  <si>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</si>
  <si>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</si>
  <si>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</si>
  <si>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</si>
  <si>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</si>
  <si>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</si>
  <si>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</si>
  <si>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</si>
  <si>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</si>
  <si>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</si>
  <si>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</si>
  <si>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</si>
  <si>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</si>
  <si>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</si>
  <si>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</si>
  <si>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</si>
  <si>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</si>
  <si>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</si>
  <si>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</si>
  <si>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</si>
  <si>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</si>
  <si>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</si>
  <si>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</si>
  <si>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</si>
  <si>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</si>
  <si>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</si>
  <si>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</si>
  <si>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</si>
  <si>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</si>
  <si>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</si>
  <si>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</si>
  <si>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</si>
  <si>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</si>
  <si>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</si>
  <si>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</si>
  <si>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</si>
  <si>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</si>
  <si>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</si>
  <si>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</si>
  <si>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</si>
  <si>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</si>
  <si>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</si>
  <si>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</si>
  <si>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</si>
  <si>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</si>
  <si>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</si>
  <si>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</si>
  <si>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</si>
  <si>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</si>
  <si>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</si>
  <si>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</si>
  <si>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</si>
  <si>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</si>
  <si>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</si>
  <si>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</si>
  <si>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</si>
  <si>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</si>
  <si>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</si>
  <si>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</si>
  <si>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</si>
  <si>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</si>
  <si>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</si>
  <si>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</si>
  <si>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</si>
  <si>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</si>
  <si>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</si>
  <si>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</si>
  <si>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</si>
  <si>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</si>
  <si>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</si>
  <si>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</si>
  <si>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</si>
  <si>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</si>
  <si>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</si>
  <si>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</si>
  <si>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</si>
  <si>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</si>
  <si>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</si>
  <si>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</si>
  <si>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</si>
  <si>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</si>
  <si>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</si>
  <si>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</si>
  <si>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</si>
  <si>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</si>
  <si>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</si>
  <si>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</si>
  <si>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</si>
  <si>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</si>
  <si>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</si>
  <si>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</si>
  <si>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</si>
  <si>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</si>
  <si>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</si>
  <si>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</si>
  <si>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</si>
  <si>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</si>
  <si>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</si>
  <si>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</si>
  <si>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</si>
  <si>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</si>
  <si>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</si>
  <si>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</si>
  <si>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</si>
  <si>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</si>
  <si>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</si>
  <si>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</si>
  <si>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</si>
  <si>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</si>
  <si>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</si>
  <si>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</si>
  <si>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</si>
  <si>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</si>
  <si>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</si>
  <si>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</si>
  <si>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</si>
  <si>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</si>
  <si>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</si>
  <si>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</si>
  <si>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</si>
  <si>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</si>
  <si>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</si>
  <si>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</si>
  <si>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</si>
  <si>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</si>
  <si>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</si>
  <si>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</si>
  <si>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</si>
  <si>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</si>
  <si>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</si>
  <si>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</si>
  <si>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</si>
  <si>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</si>
  <si>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</si>
  <si>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</si>
  <si>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</si>
  <si>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</si>
  <si>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</si>
  <si>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</si>
  <si>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</si>
  <si>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</si>
  <si>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</si>
  <si>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</si>
  <si>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</si>
  <si>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</si>
  <si>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</si>
  <si>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</si>
  <si>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</si>
  <si>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</si>
  <si>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</si>
  <si>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</si>
  <si>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</si>
  <si>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</si>
  <si>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</si>
  <si>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</si>
  <si>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</si>
  <si>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</si>
  <si>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</si>
  <si>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</si>
  <si>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</si>
  <si>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</si>
  <si>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</si>
  <si>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</si>
  <si>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</si>
  <si>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</si>
  <si>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</si>
  <si>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</si>
  <si>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</si>
  <si>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</si>
  <si>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</si>
  <si>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</si>
  <si>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</si>
  <si>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</si>
  <si>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</si>
  <si>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</si>
  <si>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</si>
  <si>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</si>
  <si>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</si>
  <si>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</si>
  <si>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</si>
  <si>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</si>
  <si>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</si>
  <si>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</si>
  <si>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</si>
  <si>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</si>
  <si>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</si>
  <si>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</si>
  <si>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</si>
  <si>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</si>
  <si>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</si>
  <si>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</si>
  <si>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</si>
  <si>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</si>
  <si>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</si>
  <si>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</si>
  <si>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</si>
  <si>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</si>
  <si>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</si>
  <si>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</si>
  <si>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</si>
  <si>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</si>
  <si>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</si>
  <si>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</si>
  <si>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</si>
  <si>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</si>
  <si>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</si>
  <si>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</si>
  <si>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</si>
  <si>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</si>
  <si>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</si>
  <si>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</si>
  <si>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</si>
  <si>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</si>
  <si>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</si>
  <si>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</si>
  <si>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</si>
  <si>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</si>
  <si>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</si>
  <si>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</si>
  <si>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</si>
  <si>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</si>
  <si>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</si>
  <si>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</si>
  <si>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</si>
  <si>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</si>
  <si>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</si>
  <si>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</si>
  <si>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</si>
  <si>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</si>
  <si>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</si>
  <si>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</si>
  <si>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</si>
  <si>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</si>
  <si>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</si>
  <si>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</si>
  <si>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</si>
  <si>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</si>
  <si>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</si>
  <si>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</si>
  <si>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</si>
  <si>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</si>
  <si>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</si>
  <si>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</si>
  <si>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</si>
  <si>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</si>
  <si>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</si>
  <si>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</si>
  <si>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</si>
  <si>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</si>
  <si>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</si>
  <si>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</si>
  <si>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</si>
  <si>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</si>
  <si>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</si>
  <si>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</si>
  <si>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</si>
  <si>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</si>
  <si>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</si>
  <si>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</si>
  <si>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</si>
  <si>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</si>
  <si>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</si>
  <si>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</si>
  <si>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</si>
  <si>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</si>
  <si>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</si>
  <si>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</si>
  <si>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</si>
  <si>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</si>
  <si>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</si>
  <si>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</si>
  <si>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</si>
  <si>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</si>
  <si>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</si>
  <si>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</si>
  <si>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</si>
  <si>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</si>
  <si>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</si>
  <si>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</si>
  <si>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</si>
  <si>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</si>
  <si>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</si>
  <si>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</si>
  <si>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</si>
  <si>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</si>
  <si>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</si>
  <si>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</si>
  <si>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</si>
  <si>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</si>
  <si>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</si>
  <si>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</si>
  <si>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</si>
  <si>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</si>
  <si>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or Equal to 50000</t>
  </si>
  <si>
    <t>Backers</t>
  </si>
  <si>
    <t>Successful</t>
  </si>
  <si>
    <t>Outcome</t>
  </si>
  <si>
    <t>Backers Count</t>
  </si>
  <si>
    <t>Mean</t>
  </si>
  <si>
    <t>Median</t>
  </si>
  <si>
    <t>Mode</t>
  </si>
  <si>
    <t>Minimum</t>
  </si>
  <si>
    <t>Maximum</t>
  </si>
  <si>
    <t>Variance</t>
  </si>
  <si>
    <t>Standard Deviation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</si>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</sst>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wrapText="1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26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Stats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E2-634A-AFE2-87022A843A26}"/>
            </c:ext>
          </c:extLst>
        </c:ser>
        <c:ser>
          <c:idx val="1"/>
          <c:order val="1"/>
          <c:tx>
            <c:strRef>
              <c:f>'Pivot-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4E2-634A-AFE2-87022A843A26}"/>
            </c:ext>
          </c:extLst>
        </c:ser>
        <c:ser>
          <c:idx val="2"/>
          <c:order val="2"/>
          <c:tx>
            <c:strRef>
              <c:f>'Pivot-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4E2-634A-AFE2-87022A843A26}"/>
            </c:ext>
          </c:extLst>
        </c:ser>
        <c:ser>
          <c:idx val="3"/>
          <c:order val="3"/>
          <c:tx>
            <c:strRef>
              <c:f>'Pivot-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4E2-634A-AFE2-87022A843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128352"/>
        <c:axId val="410130032"/>
      </c:barChart>
      <c:catAx>
        <c:axId val="41012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30032"/>
        <c:crosses val="autoZero"/>
        <c:auto val="1"/>
        <c:lblAlgn val="ctr"/>
        <c:lblOffset val="100"/>
        <c:noMultiLvlLbl val="0"/>
      </c:catAx>
      <c:valAx>
        <c:axId val="41013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2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 Subcategory!PivotTable5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0-6144-BADD-A611478C5B86}"/>
            </c:ext>
          </c:extLst>
        </c:ser>
        <c:ser>
          <c:idx val="1"/>
          <c:order val="1"/>
          <c:tx>
            <c:strRef>
              <c:f>'Pivot-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50-6144-BADD-A611478C5B86}"/>
            </c:ext>
          </c:extLst>
        </c:ser>
        <c:ser>
          <c:idx val="2"/>
          <c:order val="2"/>
          <c:tx>
            <c:strRef>
              <c:f>'Pivot-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50-6144-BADD-A611478C5B86}"/>
            </c:ext>
          </c:extLst>
        </c:ser>
        <c:ser>
          <c:idx val="3"/>
          <c:order val="3"/>
          <c:tx>
            <c:strRef>
              <c:f>'Pivot-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50-6144-BADD-A611478C5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052768"/>
        <c:axId val="371320160"/>
      </c:barChart>
      <c:catAx>
        <c:axId val="41205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320160"/>
        <c:crosses val="autoZero"/>
        <c:auto val="1"/>
        <c:lblAlgn val="ctr"/>
        <c:lblOffset val="100"/>
        <c:noMultiLvlLbl val="0"/>
      </c:catAx>
      <c:valAx>
        <c:axId val="37132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05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69-0D47-AD94-EBD42FFD203A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69-0D47-AD94-EBD42FFD203A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69-0D47-AD94-EBD42FFD203A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69-0D47-AD94-EBD42FFD2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5482800"/>
        <c:axId val="573341920"/>
      </c:lineChart>
      <c:catAx>
        <c:axId val="45548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341920"/>
        <c:crosses val="autoZero"/>
        <c:auto val="1"/>
        <c:lblAlgn val="ctr"/>
        <c:lblOffset val="100"/>
        <c:noMultiLvlLbl val="0"/>
      </c:catAx>
      <c:valAx>
        <c:axId val="57334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8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9E-2D4B-81D7-A02749573D9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9E-2D4B-81D7-A02749573D9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9E-2D4B-81D7-A02749573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735552"/>
        <c:axId val="523738608"/>
      </c:lineChart>
      <c:catAx>
        <c:axId val="52373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738608"/>
        <c:crosses val="autoZero"/>
        <c:auto val="1"/>
        <c:lblAlgn val="ctr"/>
        <c:lblOffset val="100"/>
        <c:noMultiLvlLbl val="0"/>
      </c:catAx>
      <c:valAx>
        <c:axId val="52373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73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</xdr:row>
      <xdr:rowOff>127000</xdr:rowOff>
    </xdr:from>
    <xdr:to>
      <xdr:col>18</xdr:col>
      <xdr:colOff>25400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D680FE-3DCB-DE49-9F38-66959B1A5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2</xdr:row>
      <xdr:rowOff>50800</xdr:rowOff>
    </xdr:from>
    <xdr:to>
      <xdr:col>20</xdr:col>
      <xdr:colOff>673100</xdr:colOff>
      <xdr:row>32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6358C8-1C95-B74E-9633-790ABDD82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2</xdr:row>
      <xdr:rowOff>95250</xdr:rowOff>
    </xdr:from>
    <xdr:to>
      <xdr:col>17</xdr:col>
      <xdr:colOff>165100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77156B-7651-1B40-8DCD-077333AC7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0</xdr:row>
      <xdr:rowOff>190500</xdr:rowOff>
    </xdr:from>
    <xdr:to>
      <xdr:col>20</xdr:col>
      <xdr:colOff>241300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1DD626-1100-E34F-BE14-025B6D916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7.534534375001" createdVersion="6" refreshedVersion="6" minRefreshableVersion="3" recordCount="4114" xr:uid="{B8CA163B-6045-364A-A55A-AA86F052D52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7.549423842589" createdVersion="6" refreshedVersion="6" minRefreshableVersion="3" recordCount="4114" xr:uid="{9FCD1EA5-7222-E84A-8324-513623C5FE0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B1712D-D4D1-1640-9335-7A4384EBBF6C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CAE292-529F-AA4F-9357-1D012F722161}" name="PivotTable5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3C66EF-E137-D040-B379-83E06555B343}" name="PivotTable7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selection activeCell="O168" sqref="O16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style="6" bestFit="1" customWidth="1"/>
    <col min="17" max="17" width="11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ROUND(((E2/D2)*100),0)</f>
        <v>137</v>
      </c>
      <c r="P2" s="6">
        <f>E2/L2</f>
        <v>63.917582417582416</v>
      </c>
      <c r="Q2" t="str">
        <f>LEFT(N2,SEARCH("/",N2,1)-1)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ROUND(((E3/D3)*100),0)</f>
        <v>143</v>
      </c>
      <c r="P3" s="6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ROUND(((E67/D67)*100),0)</f>
        <v>108</v>
      </c>
      <c r="P67" s="6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ROUND(((E131/D131)*100),0)</f>
        <v>0</v>
      </c>
      <c r="P131" s="6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ROUND(((E195/D195)*100),0)</f>
        <v>0</v>
      </c>
      <c r="P195" s="6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ROUND(((E259/D259)*100),0)</f>
        <v>107</v>
      </c>
      <c r="P259" s="6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ROUND(((E323/D323)*100),0)</f>
        <v>103</v>
      </c>
      <c r="P323" s="6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ROUND(((E387/D387)*100),0)</f>
        <v>106</v>
      </c>
      <c r="P387" s="6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ROUND(((E451/D451)*100),0)</f>
        <v>2</v>
      </c>
      <c r="P451" s="6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ROUND(((E515/D515)*100),0)</f>
        <v>14</v>
      </c>
      <c r="P515" s="6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ROUND(((E579/D579)*100),0)</f>
        <v>0</v>
      </c>
      <c r="P579" s="6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ROUND(((E643/D643)*100),0)</f>
        <v>119</v>
      </c>
      <c r="P643" s="6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ROUND(((E707/D707)*100),0)</f>
        <v>1</v>
      </c>
      <c r="P707" s="6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ROUND(((E771/D771)*100),0)</f>
        <v>41</v>
      </c>
      <c r="P771" s="6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ROUND(((E835/D835)*100),0)</f>
        <v>102</v>
      </c>
      <c r="P835" s="6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ROUND(((E899/D899)*100),0)</f>
        <v>0</v>
      </c>
      <c r="P899" s="6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ROUND(((E963/D963)*100),0)</f>
        <v>42</v>
      </c>
      <c r="P963" s="6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ROUND(((E1027/D1027)*100),0)</f>
        <v>110</v>
      </c>
      <c r="P1027" s="6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ROUND(((E1091/D1091)*100),0)</f>
        <v>8</v>
      </c>
      <c r="P1091" s="6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ROUND(((E1155/D1155)*100),0)</f>
        <v>1</v>
      </c>
      <c r="P1155" s="6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ROUND(((E1219/D1219)*100),0)</f>
        <v>103</v>
      </c>
      <c r="P1219" s="6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ROUND(((E1283/D1283)*100),0)</f>
        <v>111</v>
      </c>
      <c r="P1283" s="6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ROUND(((E1347/D1347)*100),0)</f>
        <v>125</v>
      </c>
      <c r="P1347" s="6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ROUND(((E1411/D1411)*100),0)</f>
        <v>0</v>
      </c>
      <c r="P1411" s="6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ROUND(((E1475/D1475)*100),0)</f>
        <v>121</v>
      </c>
      <c r="P1475" s="6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ROUND(((E1539/D1539)*100),0)</f>
        <v>180</v>
      </c>
      <c r="P1539" s="6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ROUND(((E1603/D1603)*100),0)</f>
        <v>108</v>
      </c>
      <c r="P1603" s="6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ROUND(((E1667/D1667)*100),0)</f>
        <v>119</v>
      </c>
      <c r="P1667" s="6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ROUND(((E1731/D1731)*100),0)</f>
        <v>0</v>
      </c>
      <c r="P1731" s="6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ROUND(((E1795/D1795)*100),0)</f>
        <v>1</v>
      </c>
      <c r="P1795" s="6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ROUND(((E1859/D1859)*100),0)</f>
        <v>100</v>
      </c>
      <c r="P1859" s="6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ROUND(((E1923/D1923)*100),0)</f>
        <v>137</v>
      </c>
      <c r="P1923" s="6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ROUND(((E1987/D1987)*100),0)</f>
        <v>3</v>
      </c>
      <c r="P1987" s="6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ROUND(((E2051/D2051)*100),0)</f>
        <v>120</v>
      </c>
      <c r="P2051" s="6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ROUND(((E2115/D2115)*100),0)</f>
        <v>105</v>
      </c>
      <c r="P2115" s="6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ROUND(((E2179/D2179)*100),0)</f>
        <v>100</v>
      </c>
      <c r="P2179" s="6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ROUND(((E2243/D2243)*100),0)</f>
        <v>806</v>
      </c>
      <c r="P2243" s="6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ROUND(((E2307/D2307)*100),0)</f>
        <v>101</v>
      </c>
      <c r="P2307" s="6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ROUND(((E2371/D2371)*100),0)</f>
        <v>0</v>
      </c>
      <c r="P2371" s="6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ROUND(((E2435/D2435)*100),0)</f>
        <v>0</v>
      </c>
      <c r="P2435" s="6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ROUND(((E2499/D2499)*100),0)</f>
        <v>113</v>
      </c>
      <c r="P2499" s="6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ROUND(((E2563/D2563)*100),0)</f>
        <v>0</v>
      </c>
      <c r="P2563" s="6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ROUND(((E2627/D2627)*100),0)</f>
        <v>956</v>
      </c>
      <c r="P2627" s="6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ROUND(((E2691/D2691)*100),0)</f>
        <v>0</v>
      </c>
      <c r="P2691" s="6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ROUND(((E2755/D2755)*100),0)</f>
        <v>19</v>
      </c>
      <c r="P2755" s="6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ROUND(((E2819/D2819)*100),0)</f>
        <v>130</v>
      </c>
      <c r="P2819" s="6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ROUND(((E2883/D2883)*100),0)</f>
        <v>0</v>
      </c>
      <c r="P2883" s="6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ROUND(((E2947/D2947)*100),0)</f>
        <v>0</v>
      </c>
      <c r="P2947" s="6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ROUND(((E3011/D3011)*100),0)</f>
        <v>120</v>
      </c>
      <c r="P3011" s="6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ROUND(((E3075/D3075)*100),0)</f>
        <v>0</v>
      </c>
      <c r="P3075" s="6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ROUND(((E3139/D3139)*100),0)</f>
        <v>3</v>
      </c>
      <c r="P3139" s="6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ROUND(((E3203/D3203)*100),0)</f>
        <v>1</v>
      </c>
      <c r="P3203" s="6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ROUND(((E3267/D3267)*100),0)</f>
        <v>164</v>
      </c>
      <c r="P3267" s="6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ROUND(((E3331/D3331)*100),0)</f>
        <v>117</v>
      </c>
      <c r="P3331" s="6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ROUND(((E3395/D3395)*100),0)</f>
        <v>106</v>
      </c>
      <c r="P3395" s="6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ROUND(((E3459/D3459)*100),0)</f>
        <v>140</v>
      </c>
      <c r="P3459" s="6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ROUND(((E3523/D3523)*100),0)</f>
        <v>169</v>
      </c>
      <c r="P3523" s="6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ROUND(((E3587/D3587)*100),0)</f>
        <v>119</v>
      </c>
      <c r="P3587" s="6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ROUND(((E3651/D3651)*100),0)</f>
        <v>104</v>
      </c>
      <c r="P3651" s="6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ROUND(((E3715/D3715)*100),0)</f>
        <v>102</v>
      </c>
      <c r="P3715" s="6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ROUND(((E3779/D3779)*100),0)</f>
        <v>143</v>
      </c>
      <c r="P3779" s="6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ROUND(((E3843/D3843)*100),0)</f>
        <v>9</v>
      </c>
      <c r="P3843" s="6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ROUND(((E3907/D3907)*100),0)</f>
        <v>12</v>
      </c>
      <c r="P3907" s="6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ROUND(((E3971/D3971)*100),0)</f>
        <v>7</v>
      </c>
      <c r="P3971" s="6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ROUND(((E4035/D4035)*100),0)</f>
        <v>26</v>
      </c>
      <c r="P4035" s="6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ROUND(((E4099/D4099)*100),0)</f>
        <v>0</v>
      </c>
      <c r="P4099" s="6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E9099E09-6C87-C048-9270-77AAA0421934}">
    <filterColumn colId="5">
      <filters>
        <filter val="failed"/>
      </filters>
    </filterColumn>
  </autoFilter>
  <conditionalFormatting sqref="F2:F4115">
    <cfRule type="cellIs" dxfId="13" priority="2" operator="equal">
      <formula>$F$1684</formula>
    </cfRule>
    <cfRule type="cellIs" dxfId="12" priority="3" operator="equal">
      <formula>$F$162</formula>
    </cfRule>
    <cfRule type="cellIs" dxfId="11" priority="4" operator="equal">
      <formula>$F$122</formula>
    </cfRule>
    <cfRule type="cellIs" dxfId="10" priority="5" operator="equal">
      <formula>$F$2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9D237-5AB7-FA4A-8183-F7E4037668AE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8310</v>
      </c>
    </row>
    <row r="3" spans="1:6" x14ac:dyDescent="0.2">
      <c r="A3" s="8" t="s">
        <v>8322</v>
      </c>
      <c r="B3" s="8" t="s">
        <v>8323</v>
      </c>
    </row>
    <row r="4" spans="1:6" x14ac:dyDescent="0.2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9" t="s">
        <v>8312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8315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8321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0E4E9-B1E4-214F-AE02-492954871DAB}">
  <dimension ref="A1:F47"/>
  <sheetViews>
    <sheetView workbookViewId="0">
      <selection activeCell="V13" sqref="V1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8310</v>
      </c>
    </row>
    <row r="2" spans="1:6" x14ac:dyDescent="0.2">
      <c r="A2" s="8" t="s">
        <v>8308</v>
      </c>
      <c r="B2" t="s">
        <v>8310</v>
      </c>
    </row>
    <row r="4" spans="1:6" x14ac:dyDescent="0.2">
      <c r="A4" s="8" t="s">
        <v>8322</v>
      </c>
      <c r="B4" s="8" t="s">
        <v>8323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8325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8326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8321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78043-0748-0045-B9E0-783B77E13374}">
  <dimension ref="A1:F18"/>
  <sheetViews>
    <sheetView workbookViewId="0">
      <selection activeCell="S8" sqref="S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8310</v>
      </c>
    </row>
    <row r="2" spans="1:6" x14ac:dyDescent="0.2">
      <c r="A2" s="8" t="s">
        <v>8379</v>
      </c>
      <c r="B2" t="s">
        <v>8310</v>
      </c>
    </row>
    <row r="4" spans="1:6" x14ac:dyDescent="0.2">
      <c r="A4" s="8" t="s">
        <v>8322</v>
      </c>
      <c r="B4" s="8" t="s">
        <v>8323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1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1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1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1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1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1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1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1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1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1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1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1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1" t="s">
        <v>8321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FA7A2-13F3-ED4D-8D3F-766E2EECC36A}">
  <dimension ref="A1:H13"/>
  <sheetViews>
    <sheetView workbookViewId="0">
      <selection activeCell="J24" sqref="J24"/>
    </sheetView>
  </sheetViews>
  <sheetFormatPr baseColWidth="10" defaultRowHeight="15" x14ac:dyDescent="0.2"/>
  <cols>
    <col min="1" max="1" width="12.33203125" bestFit="1" customWidth="1"/>
  </cols>
  <sheetData>
    <row r="1" spans="1:8" s="14" customFormat="1" ht="32" x14ac:dyDescent="0.2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">
      <c r="A2" t="s">
        <v>8388</v>
      </c>
      <c r="B2">
        <f>COUNTIFS(Data!$F$2:$F$4115,"=successful",Data!$D$2:$D$4115,"&lt;1000")</f>
        <v>322</v>
      </c>
      <c r="C2">
        <f>COUNTIFS(Data!$F$2:$F$4115,"=failed",Data!$D$2:$D$4115,"&lt;1000")</f>
        <v>113</v>
      </c>
      <c r="D2">
        <f>COUNTIFS(Data!$F$2:$F$4115,"=canceled",Data!$D$2:$D$4115,"&lt;1000")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8389</v>
      </c>
      <c r="B3">
        <f>COUNTIFS(Data!$F$2:$F$4115,"=successful",Data!$D$2:$D$4115,"&gt;=1000",Data!$D$2:$D$4115,"&lt;5000")</f>
        <v>932</v>
      </c>
      <c r="C3">
        <f>COUNTIFS(Data!$F$2:$F$4115,"=failed",Data!$D$2:$D$4115,"&gt;=1000",Data!$D$2:$D$4115,"&lt;5000")</f>
        <v>420</v>
      </c>
      <c r="D3">
        <f>COUNTIFS(Data!$F$2:$F$4115,"=canceled",Data!$D$2:$D$4115,"&gt;=1000",Data!$D$2:$D$4115,"&lt;5000")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t="s">
        <v>8390</v>
      </c>
      <c r="B4">
        <f>COUNTIFS(Data!$F$2:$F$4115,"=successful",Data!$D$2:$D$4115,"&gt;=5000",Data!$D$2:$D$4115,"&lt;10000")</f>
        <v>381</v>
      </c>
      <c r="C4">
        <f>COUNTIFS(Data!$F$2:$F$4115,"=failed",Data!$D$2:$D$4115,"&gt;=5000",Data!$D$2:$D$4115,"&lt;10000")</f>
        <v>283</v>
      </c>
      <c r="D4">
        <f>COUNTIFS(Data!$F$2:$F$4115,"=canceled",Data!$D$2:$D$4115,"&gt;=5000",Data!$D$2:$D$4115,"&lt;10000")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t="s">
        <v>8391</v>
      </c>
      <c r="B5">
        <f>COUNTIFS(Data!$F$2:$F$4115,"=successful",Data!$D$2:$D$4115,"&gt;=10000",Data!$D$2:$D$4115,"&lt;15000")</f>
        <v>168</v>
      </c>
      <c r="C5">
        <f>COUNTIFS(Data!$F$2:$F$4115,"=failed",Data!$D$2:$D$4115,"&gt;=10000",Data!$D$2:$D$4115,"&lt;15000")</f>
        <v>144</v>
      </c>
      <c r="D5">
        <f>COUNTIFS(Data!$F$2:$F$4115,"=canceled",Data!$D$2:$D$4115,"&gt;=10000",Data!$D$2:$D$4115,"&lt;15000")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8392</v>
      </c>
      <c r="B6">
        <f>COUNTIFS(Data!$F$2:$F$4115,"=successful",Data!$D$2:$D$4115,"&gt;=15000",Data!$D$2:$D$4115,"&lt;20000")</f>
        <v>94</v>
      </c>
      <c r="C6">
        <f>COUNTIFS(Data!$F$2:$F$4115,"=failed",Data!$D$2:$D$4115,"&gt;=15000",Data!$D$2:$D$4115,"&lt;20000")</f>
        <v>90</v>
      </c>
      <c r="D6">
        <f>COUNTIFS(Data!$F$2:$F$4115,"=canceled",Data!$D$2:$D$4115,"&gt;=15000",Data!$D$2:$D$4115,"&lt;20000")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8393</v>
      </c>
      <c r="B7">
        <f>COUNTIFS(Data!$F$2:$F$4115,"=successful",Data!$D$2:$D$4115,"&gt;=20000",Data!$D$2:$D$4115,"&lt;25000")</f>
        <v>62</v>
      </c>
      <c r="C7">
        <f>COUNTIFS(Data!$F$2:$F$4115,"=failed",Data!$D$2:$D$4115,"&gt;=20000",Data!$D$2:$D$4115,"&lt;25000")</f>
        <v>72</v>
      </c>
      <c r="D7">
        <f>COUNTIFS(Data!$F$2:$F$4115,"=canceled",Data!$D$2:$D$4115,"&gt;=20000",Data!$D$2:$D$4115,"&lt;25000")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8394</v>
      </c>
      <c r="B8">
        <f>COUNTIFS(Data!$F$2:$F$4115,"=successful",Data!$D$2:$D$4115,"&gt;=25000",Data!$D$2:$D$4115,"&lt;30000")</f>
        <v>55</v>
      </c>
      <c r="C8">
        <f>COUNTIFS(Data!$F$2:$F$4115,"=failed",Data!$D$2:$D$4115,"&gt;=25000",Data!$D$2:$D$4115,"&lt;30000")</f>
        <v>64</v>
      </c>
      <c r="D8">
        <f>COUNTIFS(Data!$F$2:$F$4115,"=canceled",Data!$D$2:$D$4115,"&gt;=25000",Data!$D$2:$D$4115,"&lt;30000")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t="s">
        <v>8395</v>
      </c>
      <c r="B9">
        <f>COUNTIFS(Data!$F$2:$F$4115,"=successful",Data!$D$2:$D$4115,"&gt;=30000",Data!$D$2:$D$4115,"&lt;35000")</f>
        <v>32</v>
      </c>
      <c r="C9">
        <f>COUNTIFS(Data!$F$2:$F$4115,"=failed",Data!$D$2:$D$4115,"&gt;=30000",Data!$D$2:$D$4115,"&lt;35000")</f>
        <v>37</v>
      </c>
      <c r="D9">
        <f>COUNTIFS(Data!$F$2:$F$4115,"=canceled",Data!$D$2:$D$4115,"&gt;=30000",Data!$D$2:$D$4115,"&lt;35000")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8396</v>
      </c>
      <c r="B10">
        <f>COUNTIFS(Data!$F$2:$F$4115,"=successful",Data!$D$2:$D$4115,"&gt;=35000",Data!$D$2:$D$4115,"&lt;40000")</f>
        <v>26</v>
      </c>
      <c r="C10">
        <f>COUNTIFS(Data!$F$2:$F$4115,"=failed",Data!$D$2:$D$4115,"&gt;=35000",Data!$D$2:$D$4115,"&lt;40000")</f>
        <v>22</v>
      </c>
      <c r="D10">
        <f>COUNTIFS(Data!$F$2:$F$4115,"=canceled",Data!$D$2:$D$4115,"&gt;=35000",Data!$D$2:$D$4115,"&lt;40000")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8397</v>
      </c>
      <c r="B11">
        <f>COUNTIFS(Data!$F$2:$F$4115,"=successful",Data!$D$2:$D$4115,"&gt;=40000",Data!$D$2:$D$4115,"&lt;45000")</f>
        <v>21</v>
      </c>
      <c r="C11">
        <f>COUNTIFS(Data!$F$2:$F$4115,"=failed",Data!$D$2:$D$4115,"&gt;=40000",Data!$D$2:$D$4115,"&lt;45000")</f>
        <v>16</v>
      </c>
      <c r="D11">
        <f>COUNTIFS(Data!$F$2:$F$4115,"=canceled",Data!$D$2:$D$4115,"&gt;=40000",Data!$D$2:$D$4115,"&lt;45000")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8398</v>
      </c>
      <c r="B12">
        <f>COUNTIFS(Data!$F$2:$F$4115,"=successful",Data!$D$2:$D$4115,"&gt;=45000",Data!$D$2:$D$4115,"&lt;50000")</f>
        <v>6</v>
      </c>
      <c r="C12">
        <f>COUNTIFS(Data!$F$2:$F$4115,"=failed",Data!$D$2:$D$4115,"&gt;=45000",Data!$D$2:$D$4115,"&lt;50000")</f>
        <v>11</v>
      </c>
      <c r="D12">
        <f>COUNTIFS(Data!$F$2:$F$4115,"=canceled",Data!$D$2:$D$4115,"&gt;=45000",Data!$D$2:$D$4115,"&lt;50000")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ht="34" customHeight="1" x14ac:dyDescent="0.2">
      <c r="A13" s="13" t="s">
        <v>8399</v>
      </c>
      <c r="B13">
        <f>COUNTIFS(Data!$F$2:$F$4115,"=successful",Data!$D$2:$D$4115,"&gt;50000")</f>
        <v>55</v>
      </c>
      <c r="C13">
        <f>COUNTIFS(Data!$F$2:$F$4115,"=failed",Data!$D$2:$D$4115,"&gt;50000")</f>
        <v>198</v>
      </c>
      <c r="D13">
        <f>COUNTIFS(Data!$F$2:$F$4115,"=canceled",Data!$D$2:$D$4115,"&gt;50000")</f>
        <v>83</v>
      </c>
      <c r="E13">
        <f t="shared" si="0"/>
        <v>336</v>
      </c>
      <c r="F13" s="15">
        <f t="shared" si="1"/>
        <v>0.16369047619047619</v>
      </c>
      <c r="G13" s="15">
        <f t="shared" si="2"/>
        <v>0.5892857142857143</v>
      </c>
      <c r="H13" s="15">
        <f t="shared" si="3"/>
        <v>0.24702380952380953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85E38-6C7B-644E-B983-5E706E613413}">
  <dimension ref="A1:I2186"/>
  <sheetViews>
    <sheetView workbookViewId="0">
      <selection activeCell="I21" sqref="I21"/>
    </sheetView>
  </sheetViews>
  <sheetFormatPr baseColWidth="10" defaultRowHeight="15" x14ac:dyDescent="0.2"/>
  <cols>
    <col min="7" max="7" width="15.6640625" bestFit="1" customWidth="1"/>
  </cols>
  <sheetData>
    <row r="1" spans="1:9" s="12" customFormat="1" x14ac:dyDescent="0.2">
      <c r="A1" s="12" t="s">
        <v>8402</v>
      </c>
      <c r="B1" s="12" t="s">
        <v>8403</v>
      </c>
      <c r="D1" s="12" t="s">
        <v>8402</v>
      </c>
      <c r="E1" s="12" t="s">
        <v>8403</v>
      </c>
      <c r="G1" s="12" t="s">
        <v>8400</v>
      </c>
      <c r="H1" s="12" t="s">
        <v>8401</v>
      </c>
      <c r="I1" s="12" t="s">
        <v>8411</v>
      </c>
    </row>
    <row r="2" spans="1:9" x14ac:dyDescent="0.2">
      <c r="A2" t="s">
        <v>8219</v>
      </c>
      <c r="B2">
        <v>182</v>
      </c>
      <c r="D2" t="s">
        <v>8221</v>
      </c>
      <c r="E2">
        <v>0</v>
      </c>
      <c r="G2" t="s">
        <v>8404</v>
      </c>
      <c r="H2">
        <f>ROUND(AVERAGE(B2:B2186),0)</f>
        <v>194</v>
      </c>
      <c r="I2">
        <f>ROUND(AVERAGE(E2:E1531),0)</f>
        <v>18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  <c r="G3" t="s">
        <v>8405</v>
      </c>
      <c r="H3">
        <f>MEDIAN(B2:B2186)</f>
        <v>62</v>
      </c>
      <c r="I3">
        <f>MEDIAN(E2:E1531)</f>
        <v>4</v>
      </c>
    </row>
    <row r="4" spans="1:9" x14ac:dyDescent="0.2">
      <c r="A4" t="s">
        <v>8219</v>
      </c>
      <c r="B4">
        <v>35</v>
      </c>
      <c r="D4" t="s">
        <v>8221</v>
      </c>
      <c r="E4">
        <v>10</v>
      </c>
      <c r="G4" t="s">
        <v>8406</v>
      </c>
      <c r="H4">
        <f>MODE(B2:B2186)</f>
        <v>27</v>
      </c>
      <c r="I4">
        <f>MODE(E2:E1531)</f>
        <v>0</v>
      </c>
    </row>
    <row r="5" spans="1:9" x14ac:dyDescent="0.2">
      <c r="A5" t="s">
        <v>8219</v>
      </c>
      <c r="B5">
        <v>150</v>
      </c>
      <c r="D5" t="s">
        <v>8221</v>
      </c>
      <c r="E5">
        <v>0</v>
      </c>
      <c r="G5" t="s">
        <v>8407</v>
      </c>
      <c r="H5">
        <f>MIN(B2:B2186)</f>
        <v>1</v>
      </c>
      <c r="I5">
        <f>MIN(E2:E1531)</f>
        <v>0</v>
      </c>
    </row>
    <row r="6" spans="1:9" x14ac:dyDescent="0.2">
      <c r="A6" t="s">
        <v>8219</v>
      </c>
      <c r="B6">
        <v>284</v>
      </c>
      <c r="D6" t="s">
        <v>8221</v>
      </c>
      <c r="E6">
        <v>7</v>
      </c>
      <c r="G6" t="s">
        <v>8408</v>
      </c>
      <c r="H6">
        <f>MAX(B2:B2186)</f>
        <v>26457</v>
      </c>
      <c r="I6">
        <f>MAX(E2:E1531)</f>
        <v>1293</v>
      </c>
    </row>
    <row r="7" spans="1:9" x14ac:dyDescent="0.2">
      <c r="A7" t="s">
        <v>8219</v>
      </c>
      <c r="B7">
        <v>47</v>
      </c>
      <c r="D7" t="s">
        <v>8221</v>
      </c>
      <c r="E7">
        <v>0</v>
      </c>
      <c r="G7" t="s">
        <v>8409</v>
      </c>
      <c r="H7">
        <f>VAR(B2:B2186)</f>
        <v>713167.37912800396</v>
      </c>
      <c r="I7">
        <f>VAR(E2:E1531)</f>
        <v>3775.6894394644714</v>
      </c>
    </row>
    <row r="8" spans="1:9" x14ac:dyDescent="0.2">
      <c r="A8" t="s">
        <v>8219</v>
      </c>
      <c r="B8">
        <v>58</v>
      </c>
      <c r="D8" t="s">
        <v>8221</v>
      </c>
      <c r="E8">
        <v>1</v>
      </c>
      <c r="G8" t="s">
        <v>8410</v>
      </c>
      <c r="H8">
        <f>STDEV(B2:B2186)</f>
        <v>844.49237955591047</v>
      </c>
      <c r="I8">
        <f>STDEV(E2:E1531)</f>
        <v>61.446638959868842</v>
      </c>
    </row>
    <row r="9" spans="1:9" x14ac:dyDescent="0.2">
      <c r="A9" t="s">
        <v>8219</v>
      </c>
      <c r="B9">
        <v>57</v>
      </c>
      <c r="D9" t="s">
        <v>8221</v>
      </c>
      <c r="E9">
        <v>2</v>
      </c>
    </row>
    <row r="10" spans="1:9" x14ac:dyDescent="0.2">
      <c r="A10" t="s">
        <v>8219</v>
      </c>
      <c r="B10">
        <v>12</v>
      </c>
      <c r="D10" t="s">
        <v>8221</v>
      </c>
      <c r="E10">
        <v>3</v>
      </c>
    </row>
    <row r="11" spans="1:9" x14ac:dyDescent="0.2">
      <c r="A11" t="s">
        <v>8219</v>
      </c>
      <c r="B11">
        <v>20</v>
      </c>
      <c r="D11" t="s">
        <v>8221</v>
      </c>
      <c r="E11">
        <v>10</v>
      </c>
    </row>
    <row r="12" spans="1:9" x14ac:dyDescent="0.2">
      <c r="A12" t="s">
        <v>8219</v>
      </c>
      <c r="B12">
        <v>19</v>
      </c>
      <c r="D12" t="s">
        <v>8221</v>
      </c>
      <c r="E12">
        <v>10</v>
      </c>
    </row>
    <row r="13" spans="1:9" x14ac:dyDescent="0.2">
      <c r="A13" t="s">
        <v>8219</v>
      </c>
      <c r="B13">
        <v>75</v>
      </c>
      <c r="D13" t="s">
        <v>8221</v>
      </c>
      <c r="E13">
        <v>1</v>
      </c>
    </row>
    <row r="14" spans="1:9" x14ac:dyDescent="0.2">
      <c r="A14" t="s">
        <v>8219</v>
      </c>
      <c r="B14">
        <v>827</v>
      </c>
      <c r="D14" t="s">
        <v>8221</v>
      </c>
      <c r="E14">
        <v>0</v>
      </c>
    </row>
    <row r="15" spans="1:9" x14ac:dyDescent="0.2">
      <c r="A15" t="s">
        <v>8219</v>
      </c>
      <c r="B15">
        <v>51</v>
      </c>
      <c r="D15" t="s">
        <v>8221</v>
      </c>
      <c r="E15">
        <v>0</v>
      </c>
    </row>
    <row r="16" spans="1:9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ellIs" dxfId="9" priority="2" operator="equal">
      <formula>"successful"</formula>
    </cfRule>
    <cfRule type="cellIs" dxfId="8" priority="7" operator="equal">
      <formula>$F$1684</formula>
    </cfRule>
    <cfRule type="cellIs" dxfId="7" priority="8" operator="equal">
      <formula>$F$162</formula>
    </cfRule>
    <cfRule type="cellIs" dxfId="6" priority="9" operator="equal">
      <formula>$F$122</formula>
    </cfRule>
    <cfRule type="cellIs" dxfId="5" priority="10" operator="equal">
      <formula>$F$2</formula>
    </cfRule>
  </conditionalFormatting>
  <conditionalFormatting sqref="D2:D1531">
    <cfRule type="cellIs" dxfId="4" priority="1" operator="equal">
      <formula>"failed"</formula>
    </cfRule>
    <cfRule type="cellIs" dxfId="3" priority="3" operator="equal">
      <formula>$F$1684</formula>
    </cfRule>
    <cfRule type="cellIs" dxfId="2" priority="4" operator="equal">
      <formula>$F$162</formula>
    </cfRule>
    <cfRule type="cellIs" dxfId="1" priority="5" operator="equal">
      <formula>$F$122</formula>
    </cfRule>
    <cfRule type="cellIs" dxfId="0" priority="6" operator="equal">
      <formula>$F$2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Pivot- Category</vt:lpstr>
      <vt:lpstr>Pivot- Subcategory</vt:lpstr>
      <vt:lpstr>Launch Date Outcomes</vt:lpstr>
      <vt:lpstr>Bonus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2020-06-16T13:01:39Z</dcterms:modified>
</cp:coreProperties>
</file>