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Cloud\TNC\Hawaii\SizeLimit\R code\LBSPR\Kaupulehu\"/>
    </mc:Choice>
  </mc:AlternateContent>
  <xr:revisionPtr revIDLastSave="0" documentId="13_ncr:1_{74AB51F1-3199-4B86-9D5E-2FEDBB4425DF}" xr6:coauthVersionLast="45" xr6:coauthVersionMax="45" xr10:uidLastSave="{00000000-0000-0000-0000-000000000000}"/>
  <bookViews>
    <workbookView xWindow="-108" yWindow="-108" windowWidth="23256" windowHeight="12576" activeTab="1" xr2:uid="{43349511-4244-004A-BC9F-C95F5BF33066}"/>
  </bookViews>
  <sheets>
    <sheet name="Code List" sheetId="5" r:id="rId1"/>
    <sheet name="Bill's List" sheetId="6" r:id="rId2"/>
    <sheet name="Erin's List" sheetId="7" r:id="rId3"/>
    <sheet name="Lit Review"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2" i="6" l="1"/>
  <c r="T10" i="6"/>
  <c r="U10" i="6"/>
  <c r="V10" i="6"/>
  <c r="W10" i="6" s="1"/>
  <c r="Y10" i="6"/>
  <c r="AD10" i="6"/>
  <c r="X14" i="7" l="1"/>
  <c r="Y14" i="7" s="1"/>
  <c r="V14" i="7"/>
  <c r="AD14" i="7" s="1"/>
  <c r="T14" i="7"/>
  <c r="U14" i="7" s="1"/>
  <c r="V13" i="7"/>
  <c r="W13" i="7" s="1"/>
  <c r="T13" i="7"/>
  <c r="X13" i="7" s="1"/>
  <c r="Y13" i="7" s="1"/>
  <c r="V12" i="7"/>
  <c r="W12" i="7" s="1"/>
  <c r="T12" i="7"/>
  <c r="X12" i="7" s="1"/>
  <c r="Y12" i="7" s="1"/>
  <c r="X11" i="7"/>
  <c r="Y11" i="7" s="1"/>
  <c r="V11" i="7"/>
  <c r="W11" i="7" s="1"/>
  <c r="T11" i="7"/>
  <c r="U11" i="7" s="1"/>
  <c r="X10" i="7"/>
  <c r="Y10" i="7" s="1"/>
  <c r="V10" i="7"/>
  <c r="AD10" i="7" s="1"/>
  <c r="T10" i="7"/>
  <c r="U10" i="7" s="1"/>
  <c r="V9" i="7"/>
  <c r="W9" i="7" s="1"/>
  <c r="T9" i="7"/>
  <c r="U9" i="7" s="1"/>
  <c r="X8" i="7"/>
  <c r="Y8" i="7" s="1"/>
  <c r="V8" i="7"/>
  <c r="W8" i="7" s="1"/>
  <c r="T8" i="7"/>
  <c r="U8" i="7" s="1"/>
  <c r="X7" i="7"/>
  <c r="Y7" i="7" s="1"/>
  <c r="V7" i="7"/>
  <c r="W7" i="7" s="1"/>
  <c r="T7" i="7"/>
  <c r="U7" i="7" s="1"/>
  <c r="X6" i="7"/>
  <c r="Y6" i="7" s="1"/>
  <c r="V6" i="7"/>
  <c r="AD6" i="7" s="1"/>
  <c r="T6" i="7"/>
  <c r="U6" i="7" s="1"/>
  <c r="V5" i="7"/>
  <c r="W5" i="7" s="1"/>
  <c r="T5" i="7"/>
  <c r="U5" i="7" s="1"/>
  <c r="X4" i="7"/>
  <c r="Y4" i="7" s="1"/>
  <c r="V4" i="7"/>
  <c r="W4" i="7" s="1"/>
  <c r="T4" i="7"/>
  <c r="U4" i="7" s="1"/>
  <c r="V3" i="7"/>
  <c r="W3" i="7" s="1"/>
  <c r="T3" i="7"/>
  <c r="X3" i="7" s="1"/>
  <c r="V2" i="7"/>
  <c r="AD2" i="7" s="1"/>
  <c r="T2" i="7"/>
  <c r="X2" i="7" s="1"/>
  <c r="Y2" i="7" s="1"/>
  <c r="V16" i="6"/>
  <c r="W16" i="6" s="1"/>
  <c r="T16" i="6"/>
  <c r="X16" i="6" s="1"/>
  <c r="Y16" i="6" s="1"/>
  <c r="X15" i="6"/>
  <c r="Y15" i="6" s="1"/>
  <c r="V15" i="6"/>
  <c r="W15" i="6" s="1"/>
  <c r="T15" i="6"/>
  <c r="U15" i="6" s="1"/>
  <c r="X14" i="6"/>
  <c r="Y14" i="6" s="1"/>
  <c r="V14" i="6"/>
  <c r="W14" i="6" s="1"/>
  <c r="T14" i="6"/>
  <c r="U14" i="6" s="1"/>
  <c r="V13" i="6"/>
  <c r="AD13" i="6" s="1"/>
  <c r="T13" i="6"/>
  <c r="U13" i="6" s="1"/>
  <c r="V12" i="6"/>
  <c r="AD12" i="6" s="1"/>
  <c r="T12" i="6"/>
  <c r="U12" i="6" s="1"/>
  <c r="V11" i="6"/>
  <c r="AD11" i="6" s="1"/>
  <c r="T11" i="6"/>
  <c r="U11" i="6" s="1"/>
  <c r="X9" i="6"/>
  <c r="Y9" i="6" s="1"/>
  <c r="V9" i="6"/>
  <c r="W9" i="6" s="1"/>
  <c r="T9" i="6"/>
  <c r="U9" i="6" s="1"/>
  <c r="X8" i="6"/>
  <c r="Y8" i="6" s="1"/>
  <c r="V8" i="6"/>
  <c r="AD8" i="6" s="1"/>
  <c r="T8" i="6"/>
  <c r="U8" i="6" s="1"/>
  <c r="X7" i="6"/>
  <c r="Y7" i="6" s="1"/>
  <c r="V7" i="6"/>
  <c r="W7" i="6" s="1"/>
  <c r="T7" i="6"/>
  <c r="U7" i="6" s="1"/>
  <c r="X6" i="6"/>
  <c r="Y6" i="6" s="1"/>
  <c r="V6" i="6"/>
  <c r="W6" i="6" s="1"/>
  <c r="T6" i="6"/>
  <c r="U6" i="6" s="1"/>
  <c r="V5" i="6"/>
  <c r="W5" i="6" s="1"/>
  <c r="T5" i="6"/>
  <c r="U5" i="6" s="1"/>
  <c r="V4" i="6"/>
  <c r="AD4" i="6" s="1"/>
  <c r="T4" i="6"/>
  <c r="U4" i="6" s="1"/>
  <c r="V3" i="6"/>
  <c r="W3" i="6" s="1"/>
  <c r="T3" i="6"/>
  <c r="X3" i="6" s="1"/>
  <c r="Y3" i="6" s="1"/>
  <c r="V2" i="6"/>
  <c r="AD2" i="6" s="1"/>
  <c r="T2" i="6"/>
  <c r="U2" i="6" s="1"/>
  <c r="P16" i="5"/>
  <c r="P18" i="5" s="1"/>
  <c r="T18" i="5" s="1"/>
  <c r="X18" i="5" s="1"/>
  <c r="Y18" i="5" s="1"/>
  <c r="P17" i="5"/>
  <c r="T17" i="5" s="1"/>
  <c r="W17" i="5"/>
  <c r="W18" i="5"/>
  <c r="V16" i="5"/>
  <c r="W16" i="5" s="1"/>
  <c r="V17" i="5"/>
  <c r="AD17" i="5" s="1"/>
  <c r="V18" i="5"/>
  <c r="AD18" i="5" s="1"/>
  <c r="T16" i="5"/>
  <c r="X16" i="5" s="1"/>
  <c r="Y16" i="5" s="1"/>
  <c r="K17" i="5"/>
  <c r="K16" i="5"/>
  <c r="V7" i="5"/>
  <c r="W7" i="5" s="1"/>
  <c r="V8" i="5"/>
  <c r="W8" i="5" s="1"/>
  <c r="T8" i="5"/>
  <c r="X8" i="5" s="1"/>
  <c r="Y8" i="5" s="1"/>
  <c r="P8" i="5"/>
  <c r="P7" i="5"/>
  <c r="T7" i="5" s="1"/>
  <c r="U7" i="5" s="1"/>
  <c r="P5" i="5"/>
  <c r="T5" i="5" s="1"/>
  <c r="P4" i="5"/>
  <c r="T4" i="5" s="1"/>
  <c r="V4" i="5"/>
  <c r="W4" i="5" s="1"/>
  <c r="V5" i="5"/>
  <c r="W5" i="5" s="1"/>
  <c r="X17" i="5" l="1"/>
  <c r="Y17" i="5" s="1"/>
  <c r="U17" i="5"/>
  <c r="W10" i="7"/>
  <c r="U13" i="7"/>
  <c r="W14" i="7"/>
  <c r="W2" i="7"/>
  <c r="W6" i="7"/>
  <c r="U12" i="7"/>
  <c r="AD5" i="7"/>
  <c r="AD9" i="7"/>
  <c r="AD13" i="7"/>
  <c r="U3" i="7"/>
  <c r="Y3" i="7" s="1"/>
  <c r="AD4" i="7"/>
  <c r="AD8" i="7"/>
  <c r="AD12" i="7"/>
  <c r="U2" i="7"/>
  <c r="AD3" i="7"/>
  <c r="X5" i="7"/>
  <c r="Y5" i="7" s="1"/>
  <c r="AD7" i="7"/>
  <c r="X9" i="7"/>
  <c r="Y9" i="7" s="1"/>
  <c r="AD11" i="7"/>
  <c r="U16" i="6"/>
  <c r="W2" i="6"/>
  <c r="W8" i="6"/>
  <c r="W11" i="6"/>
  <c r="W4" i="6"/>
  <c r="W13" i="6"/>
  <c r="U3" i="6"/>
  <c r="X5" i="6"/>
  <c r="Y5" i="6" s="1"/>
  <c r="AD7" i="6"/>
  <c r="AD16" i="6"/>
  <c r="X2" i="6"/>
  <c r="Y2" i="6" s="1"/>
  <c r="X4" i="6"/>
  <c r="Y4" i="6" s="1"/>
  <c r="AD6" i="6"/>
  <c r="X11" i="6"/>
  <c r="Y11" i="6" s="1"/>
  <c r="X13" i="6"/>
  <c r="Y13" i="6" s="1"/>
  <c r="AD15" i="6"/>
  <c r="AD3" i="6"/>
  <c r="AD5" i="6"/>
  <c r="AD9" i="6"/>
  <c r="X12" i="6"/>
  <c r="Y12" i="6" s="1"/>
  <c r="AD14" i="6"/>
  <c r="U18" i="5"/>
  <c r="U16" i="5"/>
  <c r="U8" i="5"/>
  <c r="X7" i="5"/>
  <c r="Y7" i="5" s="1"/>
  <c r="U5" i="5"/>
  <c r="X5" i="5"/>
  <c r="Y5" i="5" s="1"/>
  <c r="U4" i="5"/>
  <c r="X4" i="5"/>
  <c r="Y4" i="5" s="1"/>
  <c r="V3" i="5"/>
  <c r="AD3" i="5" s="1"/>
  <c r="V6" i="5"/>
  <c r="AD6" i="5" s="1"/>
  <c r="V9" i="5"/>
  <c r="AD9" i="5" s="1"/>
  <c r="V10" i="5"/>
  <c r="AD10" i="5" s="1"/>
  <c r="V11" i="5"/>
  <c r="AD11" i="5" s="1"/>
  <c r="V12" i="5"/>
  <c r="AD12" i="5" s="1"/>
  <c r="V13" i="5"/>
  <c r="AD13" i="5" s="1"/>
  <c r="V14" i="5"/>
  <c r="AD14" i="5" s="1"/>
  <c r="V15" i="5"/>
  <c r="AD15" i="5" s="1"/>
  <c r="AD16" i="5"/>
  <c r="V19" i="5"/>
  <c r="AD19" i="5" s="1"/>
  <c r="V20" i="5"/>
  <c r="AD20" i="5" s="1"/>
  <c r="V21" i="5"/>
  <c r="AD21" i="5" s="1"/>
  <c r="V22" i="5"/>
  <c r="AD22" i="5" s="1"/>
  <c r="V23" i="5"/>
  <c r="AD23" i="5" s="1"/>
  <c r="V24" i="5"/>
  <c r="AD24" i="5" s="1"/>
  <c r="V25" i="5"/>
  <c r="AD25" i="5" s="1"/>
  <c r="V26" i="5"/>
  <c r="AD26" i="5" s="1"/>
  <c r="V27" i="5"/>
  <c r="AD27" i="5" s="1"/>
  <c r="V28" i="5"/>
  <c r="AD28" i="5" s="1"/>
  <c r="V29" i="5"/>
  <c r="AD29" i="5" s="1"/>
  <c r="V30" i="5"/>
  <c r="AD30" i="5" s="1"/>
  <c r="V31" i="5"/>
  <c r="AD31" i="5" s="1"/>
  <c r="V32" i="5"/>
  <c r="AD32" i="5" s="1"/>
  <c r="V33" i="5"/>
  <c r="AD33" i="5" s="1"/>
  <c r="V34" i="5"/>
  <c r="AD34" i="5" s="1"/>
  <c r="V35" i="5"/>
  <c r="AD35" i="5" s="1"/>
  <c r="V36" i="5"/>
  <c r="AD36" i="5" s="1"/>
  <c r="V2" i="5"/>
  <c r="AD2" i="5" s="1"/>
  <c r="K8" i="5" l="1"/>
  <c r="K7" i="5"/>
  <c r="X36" i="5"/>
  <c r="Y36" i="5" s="1"/>
  <c r="W36" i="5"/>
  <c r="T36" i="5"/>
  <c r="U36" i="5" s="1"/>
  <c r="W35" i="5"/>
  <c r="T35" i="5"/>
  <c r="X35" i="5" s="1"/>
  <c r="Y35" i="5" s="1"/>
  <c r="W34" i="5"/>
  <c r="T34" i="5"/>
  <c r="X34" i="5" s="1"/>
  <c r="Y34" i="5" s="1"/>
  <c r="X33" i="5"/>
  <c r="Y33" i="5" s="1"/>
  <c r="W33" i="5"/>
  <c r="T33" i="5"/>
  <c r="U33" i="5" s="1"/>
  <c r="X32" i="5"/>
  <c r="Y32" i="5" s="1"/>
  <c r="W32" i="5"/>
  <c r="T32" i="5"/>
  <c r="U32" i="5" s="1"/>
  <c r="W31" i="5"/>
  <c r="T31" i="5"/>
  <c r="X31" i="5" s="1"/>
  <c r="Y31" i="5" s="1"/>
  <c r="X30" i="5"/>
  <c r="Y30" i="5" s="1"/>
  <c r="W30" i="5"/>
  <c r="T30" i="5"/>
  <c r="U30" i="5" s="1"/>
  <c r="X29" i="5"/>
  <c r="Y29" i="5" s="1"/>
  <c r="W29" i="5"/>
  <c r="T29" i="5"/>
  <c r="U29" i="5" s="1"/>
  <c r="X28" i="5"/>
  <c r="Y28" i="5" s="1"/>
  <c r="W28" i="5"/>
  <c r="T28" i="5"/>
  <c r="U28" i="5" s="1"/>
  <c r="W27" i="5"/>
  <c r="T27" i="5"/>
  <c r="X27" i="5" s="1"/>
  <c r="Y27" i="5" s="1"/>
  <c r="X26" i="5"/>
  <c r="Y26" i="5" s="1"/>
  <c r="W26" i="5"/>
  <c r="T26" i="5"/>
  <c r="U26" i="5" s="1"/>
  <c r="W25" i="5"/>
  <c r="T25" i="5"/>
  <c r="X25" i="5" s="1"/>
  <c r="W24" i="5"/>
  <c r="T24" i="5"/>
  <c r="X24" i="5" s="1"/>
  <c r="Y24" i="5" s="1"/>
  <c r="W23" i="5"/>
  <c r="T23" i="5"/>
  <c r="X23" i="5" s="1"/>
  <c r="Y23" i="5" s="1"/>
  <c r="X22" i="5"/>
  <c r="Y22" i="5" s="1"/>
  <c r="W22" i="5"/>
  <c r="T22" i="5"/>
  <c r="U22" i="5" s="1"/>
  <c r="X21" i="5"/>
  <c r="Y21" i="5" s="1"/>
  <c r="W21" i="5"/>
  <c r="T21" i="5"/>
  <c r="U21" i="5" s="1"/>
  <c r="W20" i="5"/>
  <c r="T20" i="5"/>
  <c r="X20" i="5" s="1"/>
  <c r="Y20" i="5" s="1"/>
  <c r="W19" i="5"/>
  <c r="T19" i="5"/>
  <c r="U19" i="5" s="1"/>
  <c r="W15" i="5"/>
  <c r="T15" i="5"/>
  <c r="X15" i="5" s="1"/>
  <c r="Y15" i="5" s="1"/>
  <c r="Y14" i="5"/>
  <c r="W14" i="5"/>
  <c r="T14" i="5"/>
  <c r="U14" i="5" s="1"/>
  <c r="X13" i="5"/>
  <c r="Y13" i="5" s="1"/>
  <c r="W13" i="5"/>
  <c r="T13" i="5"/>
  <c r="U13" i="5" s="1"/>
  <c r="X12" i="5"/>
  <c r="Y12" i="5" s="1"/>
  <c r="W12" i="5"/>
  <c r="T12" i="5"/>
  <c r="U12" i="5" s="1"/>
  <c r="X11" i="5"/>
  <c r="Y11" i="5" s="1"/>
  <c r="W11" i="5"/>
  <c r="T11" i="5"/>
  <c r="U11" i="5" s="1"/>
  <c r="X10" i="5"/>
  <c r="Y10" i="5" s="1"/>
  <c r="W10" i="5"/>
  <c r="T10" i="5"/>
  <c r="U10" i="5" s="1"/>
  <c r="W9" i="5"/>
  <c r="T9" i="5"/>
  <c r="U9" i="5" s="1"/>
  <c r="W6" i="5"/>
  <c r="T6" i="5"/>
  <c r="U6" i="5" s="1"/>
  <c r="W3" i="5"/>
  <c r="T3" i="5"/>
  <c r="X3" i="5" s="1"/>
  <c r="Y3" i="5" s="1"/>
  <c r="W2" i="5"/>
  <c r="T2" i="5"/>
  <c r="X2" i="5" s="1"/>
  <c r="Y2" i="5" s="1"/>
  <c r="U15" i="5" l="1"/>
  <c r="U34" i="5"/>
  <c r="U31" i="5"/>
  <c r="X9" i="5"/>
  <c r="Y9" i="5" s="1"/>
  <c r="X19" i="5"/>
  <c r="Y19" i="5" s="1"/>
  <c r="U3" i="5"/>
  <c r="U20" i="5"/>
  <c r="U23" i="5"/>
  <c r="U25" i="5"/>
  <c r="Y25" i="5" s="1"/>
  <c r="U27" i="5"/>
  <c r="X6" i="5"/>
  <c r="Y6" i="5" s="1"/>
  <c r="U35" i="5"/>
  <c r="U2" i="5"/>
  <c r="U24" i="5"/>
  <c r="P11" i="3" l="1"/>
  <c r="R11" i="3" s="1"/>
  <c r="X10" i="3"/>
  <c r="P10" i="3"/>
  <c r="R10" i="3" s="1"/>
  <c r="P5" i="3"/>
  <c r="R5" i="3" s="1"/>
  <c r="X5" i="3"/>
  <c r="X4" i="3"/>
  <c r="P4" i="3"/>
  <c r="R4" i="3" s="1"/>
  <c r="P12" i="3"/>
  <c r="R12" i="3" s="1"/>
  <c r="J5" i="3"/>
  <c r="M5" i="3" s="1"/>
  <c r="J4" i="3"/>
  <c r="M4" i="3" s="1"/>
  <c r="J11" i="3"/>
  <c r="M11" i="3" s="1"/>
  <c r="J10" i="3"/>
  <c r="M10" i="3" s="1"/>
  <c r="P7" i="3"/>
  <c r="J7" i="3"/>
  <c r="P6" i="3"/>
  <c r="J6" i="3"/>
  <c r="M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N4" authorId="0" shapeId="0" xr:uid="{7F8DD8BA-C553-B84F-8379-4E448206653C}">
      <text>
        <r>
          <rPr>
            <b/>
            <sz val="10"/>
            <color rgb="FF000000"/>
            <rFont val="Tahoma"/>
            <family val="2"/>
          </rPr>
          <t>Microsoft Office User:</t>
        </r>
        <r>
          <rPr>
            <sz val="10"/>
            <color rgb="FF000000"/>
            <rFont val="Tahoma"/>
            <family val="2"/>
          </rPr>
          <t xml:space="preserve">
</t>
        </r>
        <r>
          <rPr>
            <sz val="10"/>
            <color rgb="FF000000"/>
            <rFont val="Tahoma"/>
            <family val="2"/>
          </rPr>
          <t>Schemmel &amp; Friedlander 2016</t>
        </r>
      </text>
    </comment>
    <comment ref="N5" authorId="0" shapeId="0" xr:uid="{9A1486B5-C994-C64E-8A8D-63812F17A33F}">
      <text>
        <r>
          <rPr>
            <b/>
            <sz val="10"/>
            <color rgb="FF000000"/>
            <rFont val="Tahoma"/>
            <family val="2"/>
          </rPr>
          <t>Microsoft Office User:</t>
        </r>
        <r>
          <rPr>
            <sz val="10"/>
            <color rgb="FF000000"/>
            <rFont val="Tahoma"/>
            <family val="2"/>
          </rPr>
          <t xml:space="preserve">
</t>
        </r>
        <r>
          <rPr>
            <sz val="10"/>
            <color rgb="FF000000"/>
            <rFont val="Tahoma"/>
            <family val="2"/>
          </rPr>
          <t>Schemmel &amp; Friedlander 2016</t>
        </r>
      </text>
    </comment>
    <comment ref="K7" authorId="0" shapeId="0" xr:uid="{C98C45A1-D37C-9C44-BDB5-D2994B764DC0}">
      <text>
        <r>
          <rPr>
            <b/>
            <sz val="10"/>
            <color rgb="FF000000"/>
            <rFont val="Tahoma"/>
            <family val="2"/>
          </rPr>
          <t>Microsoft Office User:</t>
        </r>
        <r>
          <rPr>
            <sz val="10"/>
            <color rgb="FF000000"/>
            <rFont val="Tahoma"/>
            <family val="2"/>
          </rPr>
          <t xml:space="preserve">
</t>
        </r>
        <r>
          <rPr>
            <sz val="10"/>
            <color rgb="FF000000"/>
            <rFont val="Tahoma"/>
            <family val="2"/>
          </rPr>
          <t>FL</t>
        </r>
      </text>
    </comment>
    <comment ref="P7" authorId="0" shapeId="0" xr:uid="{FB4211C2-D9B4-7C45-AC45-B22E8E7B6FCF}">
      <text>
        <r>
          <rPr>
            <b/>
            <sz val="10"/>
            <color rgb="FF000000"/>
            <rFont val="Tahoma"/>
            <family val="2"/>
          </rPr>
          <t>Microsoft Office User:</t>
        </r>
        <r>
          <rPr>
            <sz val="10"/>
            <color rgb="FF000000"/>
            <rFont val="Tahoma"/>
            <family val="2"/>
          </rPr>
          <t xml:space="preserve">
</t>
        </r>
        <r>
          <rPr>
            <sz val="10"/>
            <color rgb="FF000000"/>
            <rFont val="Tahoma"/>
            <family val="2"/>
          </rPr>
          <t>FL</t>
        </r>
      </text>
    </comment>
    <comment ref="K8" authorId="0" shapeId="0" xr:uid="{AB749A76-D03A-F54E-ACAF-A1059AA1DCA5}">
      <text>
        <r>
          <rPr>
            <b/>
            <sz val="10"/>
            <color rgb="FF000000"/>
            <rFont val="Tahoma"/>
            <family val="2"/>
          </rPr>
          <t>Microsoft Office User:</t>
        </r>
        <r>
          <rPr>
            <sz val="10"/>
            <color rgb="FF000000"/>
            <rFont val="Tahoma"/>
            <family val="2"/>
          </rPr>
          <t xml:space="preserve">
</t>
        </r>
        <r>
          <rPr>
            <sz val="10"/>
            <color rgb="FF000000"/>
            <rFont val="Tahoma"/>
            <family val="2"/>
          </rPr>
          <t>FL</t>
        </r>
      </text>
    </comment>
    <comment ref="P8" authorId="0" shapeId="0" xr:uid="{42576778-4E38-9341-BF66-2DB212AF835E}">
      <text>
        <r>
          <rPr>
            <b/>
            <sz val="10"/>
            <color rgb="FF000000"/>
            <rFont val="Tahoma"/>
            <family val="2"/>
          </rPr>
          <t>Microsoft Office User:</t>
        </r>
        <r>
          <rPr>
            <sz val="10"/>
            <color rgb="FF000000"/>
            <rFont val="Tahoma"/>
            <family val="2"/>
          </rPr>
          <t xml:space="preserve">
</t>
        </r>
        <r>
          <rPr>
            <sz val="10"/>
            <color rgb="FF000000"/>
            <rFont val="Tahoma"/>
            <family val="2"/>
          </rPr>
          <t>FL</t>
        </r>
      </text>
    </comment>
    <comment ref="K16" authorId="0" shapeId="0" xr:uid="{45F26070-5DF5-D649-AAE4-AF95D34DD857}">
      <text>
        <r>
          <rPr>
            <b/>
            <sz val="10"/>
            <color rgb="FF000000"/>
            <rFont val="Tahoma"/>
            <family val="2"/>
          </rPr>
          <t>Microsoft Office User:</t>
        </r>
        <r>
          <rPr>
            <sz val="10"/>
            <color rgb="FF000000"/>
            <rFont val="Tahoma"/>
            <family val="2"/>
          </rPr>
          <t xml:space="preserve">
</t>
        </r>
        <r>
          <rPr>
            <sz val="10"/>
            <color rgb="FF000000"/>
            <rFont val="Calibri"/>
            <family val="2"/>
            <scheme val="minor"/>
          </rPr>
          <t>Langston 2009</t>
        </r>
        <r>
          <rPr>
            <sz val="10"/>
            <color rgb="FF000000"/>
            <rFont val="Calibri"/>
            <family val="2"/>
            <scheme val="minor"/>
          </rPr>
          <t xml:space="preserve">
</t>
        </r>
      </text>
    </comment>
    <comment ref="L16" authorId="0" shapeId="0" xr:uid="{7A1E9EB4-2FBA-3844-8FD6-BA25CD336A5D}">
      <text>
        <r>
          <rPr>
            <b/>
            <sz val="10"/>
            <color rgb="FF000000"/>
            <rFont val="Tahoma"/>
            <family val="2"/>
          </rPr>
          <t>Microsoft Office User:</t>
        </r>
        <r>
          <rPr>
            <sz val="10"/>
            <color rgb="FF000000"/>
            <rFont val="Tahoma"/>
            <family val="2"/>
          </rPr>
          <t xml:space="preserve">
</t>
        </r>
        <r>
          <rPr>
            <sz val="10"/>
            <color rgb="FF000000"/>
            <rFont val="Calibri"/>
            <family val="2"/>
            <scheme val="minor"/>
          </rPr>
          <t>Langston 2009</t>
        </r>
        <r>
          <rPr>
            <sz val="10"/>
            <color rgb="FF000000"/>
            <rFont val="Calibri"/>
            <family val="2"/>
            <scheme val="minor"/>
          </rPr>
          <t xml:space="preserve">
</t>
        </r>
      </text>
    </comment>
    <comment ref="M16" authorId="0" shapeId="0" xr:uid="{1A731C0E-FC74-8444-BFBA-816F95162963}">
      <text>
        <r>
          <rPr>
            <b/>
            <sz val="10"/>
            <color rgb="FF000000"/>
            <rFont val="Tahoma"/>
            <family val="2"/>
          </rPr>
          <t>Microsoft Office User:</t>
        </r>
        <r>
          <rPr>
            <sz val="10"/>
            <color rgb="FF000000"/>
            <rFont val="Tahoma"/>
            <family val="2"/>
          </rPr>
          <t xml:space="preserve">
</t>
        </r>
        <r>
          <rPr>
            <sz val="10"/>
            <color rgb="FF000000"/>
            <rFont val="Tahoma"/>
            <family val="2"/>
          </rPr>
          <t>Langston 2009</t>
        </r>
      </text>
    </comment>
    <comment ref="N16" authorId="0" shapeId="0" xr:uid="{F32A19D3-966B-C646-B629-A3B530781427}">
      <text>
        <r>
          <rPr>
            <b/>
            <sz val="10"/>
            <color rgb="FF000000"/>
            <rFont val="Tahoma"/>
            <family val="2"/>
          </rPr>
          <t>Microsoft Office User:</t>
        </r>
        <r>
          <rPr>
            <sz val="10"/>
            <color rgb="FF000000"/>
            <rFont val="Tahoma"/>
            <family val="2"/>
          </rPr>
          <t xml:space="preserve">
</t>
        </r>
        <r>
          <rPr>
            <sz val="10"/>
            <color rgb="FF000000"/>
            <rFont val="Tahoma"/>
            <family val="2"/>
          </rPr>
          <t>Langston 2009</t>
        </r>
      </text>
    </comment>
    <comment ref="Q16" authorId="0" shapeId="0" xr:uid="{7091F8DB-FA53-4448-9B66-7F1CA05697CD}">
      <text>
        <r>
          <rPr>
            <b/>
            <sz val="10"/>
            <color rgb="FF000000"/>
            <rFont val="Tahoma"/>
            <family val="2"/>
          </rPr>
          <t>Microsoft Office User:</t>
        </r>
        <r>
          <rPr>
            <sz val="10"/>
            <color rgb="FF000000"/>
            <rFont val="Tahoma"/>
            <family val="2"/>
          </rPr>
          <t xml:space="preserve">
</t>
        </r>
        <r>
          <rPr>
            <sz val="10"/>
            <color rgb="FF000000"/>
            <rFont val="Tahoma"/>
            <family val="2"/>
          </rPr>
          <t>Winston et al 2017</t>
        </r>
      </text>
    </comment>
    <comment ref="K17" authorId="0" shapeId="0" xr:uid="{199B15F4-91E8-AB45-AF2D-09B9F0B5B1F0}">
      <text>
        <r>
          <rPr>
            <b/>
            <sz val="10"/>
            <color rgb="FF000000"/>
            <rFont val="Tahoma"/>
            <family val="2"/>
          </rPr>
          <t>Microsoft Office User:</t>
        </r>
        <r>
          <rPr>
            <sz val="10"/>
            <color rgb="FF000000"/>
            <rFont val="Tahoma"/>
            <family val="2"/>
          </rPr>
          <t xml:space="preserve">
</t>
        </r>
        <r>
          <rPr>
            <sz val="10"/>
            <color rgb="FF000000"/>
            <rFont val="Calibri"/>
            <family val="2"/>
            <scheme val="minor"/>
          </rPr>
          <t>Langston 2009</t>
        </r>
        <r>
          <rPr>
            <sz val="10"/>
            <color rgb="FF000000"/>
            <rFont val="Calibri"/>
            <family val="2"/>
            <scheme val="minor"/>
          </rPr>
          <t xml:space="preserve">
</t>
        </r>
      </text>
    </comment>
    <comment ref="L17" authorId="0" shapeId="0" xr:uid="{902BC99A-051E-E14A-9E8C-FFF200D3A095}">
      <text>
        <r>
          <rPr>
            <b/>
            <sz val="10"/>
            <color rgb="FF000000"/>
            <rFont val="Tahoma"/>
            <family val="2"/>
          </rPr>
          <t>Microsoft Office User:</t>
        </r>
        <r>
          <rPr>
            <sz val="10"/>
            <color rgb="FF000000"/>
            <rFont val="Tahoma"/>
            <family val="2"/>
          </rPr>
          <t xml:space="preserve">
</t>
        </r>
        <r>
          <rPr>
            <sz val="10"/>
            <color rgb="FF000000"/>
            <rFont val="Calibri"/>
            <family val="2"/>
            <scheme val="minor"/>
          </rPr>
          <t>Langston 2009</t>
        </r>
        <r>
          <rPr>
            <sz val="10"/>
            <color rgb="FF000000"/>
            <rFont val="Calibri"/>
            <family val="2"/>
            <scheme val="minor"/>
          </rPr>
          <t xml:space="preserve">
</t>
        </r>
      </text>
    </comment>
    <comment ref="M17" authorId="0" shapeId="0" xr:uid="{3695689F-AA57-5F4A-B3BC-D6986E5229B9}">
      <text>
        <r>
          <rPr>
            <b/>
            <sz val="10"/>
            <color rgb="FF000000"/>
            <rFont val="Tahoma"/>
            <family val="2"/>
          </rPr>
          <t>Microsoft Office User:</t>
        </r>
        <r>
          <rPr>
            <sz val="10"/>
            <color rgb="FF000000"/>
            <rFont val="Tahoma"/>
            <family val="2"/>
          </rPr>
          <t xml:space="preserve">
</t>
        </r>
        <r>
          <rPr>
            <sz val="10"/>
            <color rgb="FF000000"/>
            <rFont val="Calibri"/>
            <family val="2"/>
            <scheme val="minor"/>
          </rPr>
          <t>Langston 2009</t>
        </r>
        <r>
          <rPr>
            <sz val="10"/>
            <color rgb="FF000000"/>
            <rFont val="Calibri"/>
            <family val="2"/>
            <scheme val="minor"/>
          </rPr>
          <t xml:space="preserve">
</t>
        </r>
      </text>
    </comment>
    <comment ref="N17" authorId="0" shapeId="0" xr:uid="{566A9AA4-F53B-0047-BDF9-4098E7F9A62C}">
      <text>
        <r>
          <rPr>
            <b/>
            <sz val="10"/>
            <color rgb="FF000000"/>
            <rFont val="Tahoma"/>
            <family val="2"/>
          </rPr>
          <t>Microsoft Office User:</t>
        </r>
        <r>
          <rPr>
            <sz val="10"/>
            <color rgb="FF000000"/>
            <rFont val="Tahoma"/>
            <family val="2"/>
          </rPr>
          <t xml:space="preserve">
</t>
        </r>
        <r>
          <rPr>
            <sz val="10"/>
            <color rgb="FF000000"/>
            <rFont val="Tahoma"/>
            <family val="2"/>
          </rPr>
          <t>Langston 2009</t>
        </r>
      </text>
    </comment>
    <comment ref="Q17" authorId="0" shapeId="0" xr:uid="{6FF32C23-B2B8-F94D-BF92-98858A42F9F8}">
      <text>
        <r>
          <rPr>
            <b/>
            <sz val="10"/>
            <color rgb="FF000000"/>
            <rFont val="Tahoma"/>
            <family val="2"/>
          </rPr>
          <t>Microsoft Office User:</t>
        </r>
        <r>
          <rPr>
            <sz val="10"/>
            <color rgb="FF000000"/>
            <rFont val="Tahoma"/>
            <family val="2"/>
          </rPr>
          <t xml:space="preserve">
</t>
        </r>
        <r>
          <rPr>
            <sz val="10"/>
            <color rgb="FF000000"/>
            <rFont val="Tahoma"/>
            <family val="2"/>
          </rPr>
          <t>Winston et al 2017</t>
        </r>
      </text>
    </comment>
    <comment ref="J18" authorId="0" shapeId="0" xr:uid="{304CA35D-7F22-3647-9C48-A0B8FE8A9866}">
      <text>
        <r>
          <rPr>
            <b/>
            <sz val="10"/>
            <color rgb="FF000000"/>
            <rFont val="Tahoma"/>
            <family val="2"/>
          </rPr>
          <t>Microsoft Office User:</t>
        </r>
        <r>
          <rPr>
            <sz val="10"/>
            <color rgb="FF000000"/>
            <rFont val="Tahoma"/>
            <family val="2"/>
          </rPr>
          <t xml:space="preserve">
</t>
        </r>
        <r>
          <rPr>
            <sz val="10"/>
            <color rgb="FF000000"/>
            <rFont val="Tahoma"/>
            <family val="2"/>
          </rPr>
          <t>Winston et al 2017</t>
        </r>
      </text>
    </comment>
    <comment ref="L18" authorId="0" shapeId="0" xr:uid="{CC086B9C-B7ED-2941-B0F4-864FA3B16630}">
      <text>
        <r>
          <rPr>
            <b/>
            <sz val="10"/>
            <color rgb="FF000000"/>
            <rFont val="Tahoma"/>
            <family val="2"/>
          </rPr>
          <t>Microsoft Office User:</t>
        </r>
        <r>
          <rPr>
            <sz val="10"/>
            <color rgb="FF000000"/>
            <rFont val="Tahoma"/>
            <family val="2"/>
          </rPr>
          <t xml:space="preserve">
</t>
        </r>
        <r>
          <rPr>
            <sz val="10"/>
            <color rgb="FF000000"/>
            <rFont val="Tahoma"/>
            <family val="2"/>
          </rPr>
          <t>Winston et al 2017</t>
        </r>
      </text>
    </comment>
    <comment ref="M18" authorId="0" shapeId="0" xr:uid="{5999F041-8CAF-D646-91F9-E988F3751719}">
      <text>
        <r>
          <rPr>
            <b/>
            <sz val="10"/>
            <color rgb="FF000000"/>
            <rFont val="Tahoma"/>
            <family val="2"/>
          </rPr>
          <t>Microsoft Office User:</t>
        </r>
        <r>
          <rPr>
            <sz val="10"/>
            <color rgb="FF000000"/>
            <rFont val="Tahoma"/>
            <family val="2"/>
          </rPr>
          <t xml:space="preserve">
</t>
        </r>
        <r>
          <rPr>
            <sz val="10"/>
            <color rgb="FF000000"/>
            <rFont val="Tahoma"/>
            <family val="2"/>
          </rPr>
          <t>Winston et al 2017</t>
        </r>
      </text>
    </comment>
    <comment ref="P18" authorId="0" shapeId="0" xr:uid="{F02C1C74-38B1-1043-9119-08562D9E5374}">
      <text>
        <r>
          <rPr>
            <b/>
            <sz val="10"/>
            <color rgb="FF000000"/>
            <rFont val="Tahoma"/>
            <family val="2"/>
          </rPr>
          <t>Microsoft Office User:</t>
        </r>
        <r>
          <rPr>
            <sz val="10"/>
            <color rgb="FF000000"/>
            <rFont val="Tahoma"/>
            <family val="2"/>
          </rPr>
          <t xml:space="preserve">
</t>
        </r>
        <r>
          <rPr>
            <sz val="10"/>
            <color rgb="FF000000"/>
            <rFont val="Tahoma"/>
            <family val="2"/>
          </rPr>
          <t>Langston 2009 sex average</t>
        </r>
      </text>
    </comment>
    <comment ref="Q18" authorId="0" shapeId="0" xr:uid="{0F4495CA-405D-1840-B9A4-1F41640F3C24}">
      <text>
        <r>
          <rPr>
            <b/>
            <sz val="10"/>
            <color rgb="FF000000"/>
            <rFont val="Tahoma"/>
            <family val="2"/>
          </rPr>
          <t>Microsoft Office User:</t>
        </r>
        <r>
          <rPr>
            <sz val="10"/>
            <color rgb="FF000000"/>
            <rFont val="Tahoma"/>
            <family val="2"/>
          </rPr>
          <t xml:space="preserve">
</t>
        </r>
        <r>
          <rPr>
            <sz val="10"/>
            <color rgb="FF000000"/>
            <rFont val="Tahoma"/>
            <family val="2"/>
          </rPr>
          <t xml:space="preserve">Winston et al 2017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T10" authorId="0" shapeId="0" xr:uid="{C11FEBF6-B85E-F348-9468-471D8555A354}">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 ref="U10" authorId="0" shapeId="0" xr:uid="{96BD27EA-4216-A44F-8D45-ADBEB06CEFAC}">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 ref="M12" authorId="0" shapeId="0" xr:uid="{732161FF-7E2F-F143-B792-DB9E1DBDCADF}">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 ref="N12" authorId="0" shapeId="0" xr:uid="{74260AD9-B926-234F-B101-616A61596DAC}">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 ref="O12" authorId="0" shapeId="0" xr:uid="{B022F5B4-AD1B-B741-8989-5F02E5B2EF4B}">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 ref="T12" authorId="0" shapeId="0" xr:uid="{E407F040-467D-274F-9AC2-4FB67618E078}">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 ref="U12" authorId="0" shapeId="0" xr:uid="{BB984CB6-5A5A-ED48-BF8E-816CE99B3CD3}">
      <text>
        <r>
          <rPr>
            <b/>
            <sz val="10"/>
            <color rgb="FF000000"/>
            <rFont val="Tahoma"/>
            <family val="2"/>
          </rPr>
          <t>Microsoft Office User:</t>
        </r>
        <r>
          <rPr>
            <sz val="10"/>
            <color rgb="FF000000"/>
            <rFont val="Tahoma"/>
            <family val="2"/>
          </rPr>
          <t xml:space="preserve">
</t>
        </r>
        <r>
          <rPr>
            <sz val="10"/>
            <color rgb="FF000000"/>
            <rFont val="Tahoma"/>
            <family val="2"/>
          </rPr>
          <t>Access</t>
        </r>
      </text>
    </comment>
  </commentList>
</comments>
</file>

<file path=xl/sharedStrings.xml><?xml version="1.0" encoding="utf-8"?>
<sst xmlns="http://schemas.openxmlformats.org/spreadsheetml/2006/main" count="603" uniqueCount="203">
  <si>
    <t>Species</t>
  </si>
  <si>
    <t>LINF_FL</t>
  </si>
  <si>
    <t>LINF_SL</t>
  </si>
  <si>
    <t>K</t>
  </si>
  <si>
    <t>LMAT_FL</t>
  </si>
  <si>
    <t>LMAT_SL</t>
  </si>
  <si>
    <t>LMAT_TL</t>
  </si>
  <si>
    <t>Acanthuridae</t>
  </si>
  <si>
    <t>Acanthurus blochii</t>
  </si>
  <si>
    <t>Acanthurus dussumieri</t>
  </si>
  <si>
    <t>Acanthurus xanthopterus</t>
  </si>
  <si>
    <t>Ctenochaetus strigosus</t>
  </si>
  <si>
    <t>Kole</t>
  </si>
  <si>
    <t>Naso brevirostris</t>
  </si>
  <si>
    <t>Kala</t>
  </si>
  <si>
    <t>Naso hexacanthus</t>
  </si>
  <si>
    <t>Naso lituratus</t>
  </si>
  <si>
    <t>Naso unicornis</t>
  </si>
  <si>
    <t>Zebrasoma flavescens</t>
  </si>
  <si>
    <t>Carangidae</t>
  </si>
  <si>
    <t>Caranx ignobilis</t>
  </si>
  <si>
    <t>Caranx lugubris</t>
  </si>
  <si>
    <t>Caranx melampygus</t>
  </si>
  <si>
    <t>Caranx sexfasciatus</t>
  </si>
  <si>
    <t>Elagatis bipinnulata</t>
  </si>
  <si>
    <t>Pseudocaranx dentex</t>
  </si>
  <si>
    <t>Seriola dumerili</t>
  </si>
  <si>
    <t>Holocentridae</t>
  </si>
  <si>
    <t>Myripristis berndti</t>
  </si>
  <si>
    <t>Lutjanidae</t>
  </si>
  <si>
    <t>Aprion virescens</t>
  </si>
  <si>
    <t>Lutjanus kasmira</t>
  </si>
  <si>
    <t>Mugilidae</t>
  </si>
  <si>
    <t>Mugil cephalus</t>
  </si>
  <si>
    <t>Mullidae</t>
  </si>
  <si>
    <t>Mulloidichthys flavolineatus</t>
  </si>
  <si>
    <t>Mulloidichthys vanicolensis</t>
  </si>
  <si>
    <t>Parupeneus multifasciatus</t>
  </si>
  <si>
    <t>Moano</t>
  </si>
  <si>
    <t>Parupeneus porphyreus</t>
  </si>
  <si>
    <t>Scaridae</t>
  </si>
  <si>
    <t>Chlorurus sordidus</t>
  </si>
  <si>
    <t>Scarus psittacus</t>
  </si>
  <si>
    <t>Uhu</t>
  </si>
  <si>
    <t>Scarus rubroviolaceus</t>
  </si>
  <si>
    <t>Serranidae</t>
  </si>
  <si>
    <t>Cephalopholis argus</t>
  </si>
  <si>
    <t>Sphyraenidae</t>
  </si>
  <si>
    <t>Sphyraena barracuda</t>
  </si>
  <si>
    <t>Linf</t>
  </si>
  <si>
    <t>L50</t>
  </si>
  <si>
    <t>L95</t>
  </si>
  <si>
    <t>SL50</t>
  </si>
  <si>
    <t>SL95</t>
  </si>
  <si>
    <t>SPR</t>
  </si>
  <si>
    <t>BinWidth</t>
  </si>
  <si>
    <t>CurrentLc</t>
  </si>
  <si>
    <t>Nadon_F</t>
  </si>
  <si>
    <t>Nadon_F/M</t>
  </si>
  <si>
    <t>TL_TO_FL-Access</t>
  </si>
  <si>
    <t>Chlorurus spilurus</t>
  </si>
  <si>
    <t>Parrotfishes</t>
  </si>
  <si>
    <t>Surgeonfishes</t>
  </si>
  <si>
    <t>Goatfishes</t>
  </si>
  <si>
    <t>Snappers</t>
  </si>
  <si>
    <t>Jacks</t>
  </si>
  <si>
    <t>Ringtail Surgeonfish</t>
  </si>
  <si>
    <t>Pualu</t>
  </si>
  <si>
    <t>Eyestriped Surgeonfish</t>
  </si>
  <si>
    <t>Palani</t>
  </si>
  <si>
    <t>Yellowfin Surgeonfish</t>
  </si>
  <si>
    <t>Green Jobfish</t>
  </si>
  <si>
    <t>Uku</t>
  </si>
  <si>
    <t>Giant Trevally</t>
  </si>
  <si>
    <t>Sea basses</t>
  </si>
  <si>
    <t>Squirrelfishes</t>
  </si>
  <si>
    <t>Albula glossodonta</t>
  </si>
  <si>
    <t>Albula virgata</t>
  </si>
  <si>
    <t>Donovan et al 2015</t>
  </si>
  <si>
    <t>Ecology and niche specialization of two bonefish species in Hawai'i</t>
  </si>
  <si>
    <t>Chromis verater</t>
  </si>
  <si>
    <t>Dascyllus albisella</t>
  </si>
  <si>
    <t>Winston et al 2017</t>
  </si>
  <si>
    <t>Intraspecific variability in the life histories of endemic coral-reef fishes between photic and mesophotic depths across the Central Pacific Ocean</t>
  </si>
  <si>
    <t>Chlorurus perspicillatus</t>
  </si>
  <si>
    <t>Author/Year</t>
  </si>
  <si>
    <t>Title</t>
  </si>
  <si>
    <t>Donovan et al 2013</t>
  </si>
  <si>
    <t xml:space="preserve">Demartini et al 2018 </t>
  </si>
  <si>
    <t>LINF_TL</t>
  </si>
  <si>
    <t>t0</t>
  </si>
  <si>
    <t>a</t>
  </si>
  <si>
    <t>b</t>
  </si>
  <si>
    <t>M</t>
  </si>
  <si>
    <t>Demographic patterns in the peacock grouper (Cephalopholis argus), an introduced Hawaiian reef fish</t>
  </si>
  <si>
    <t>Max_Age</t>
  </si>
  <si>
    <t>Comparative growth, age at maturity and sex change, and longevity of Hawaiian parrotfishes, with bomb radiocarbon validation</t>
  </si>
  <si>
    <t>Acanthurus triostegus sandvicensis</t>
  </si>
  <si>
    <t>Participatory fishery monitoring is successful for understanding the reproductive biology needed for local fisheries management</t>
  </si>
  <si>
    <t>Schemmel &amp; Friedlander 2016</t>
  </si>
  <si>
    <t>Secondary Author/Year</t>
  </si>
  <si>
    <t>Secondary Title</t>
  </si>
  <si>
    <t>Demartini &amp; Howard 2016</t>
  </si>
  <si>
    <t>Comparisons of body sizes at sexual maturity and at sex change in the parrotfishes of Hawaii: input needed for management regulations and stock assessments</t>
  </si>
  <si>
    <t>Length at maturity (female; before becoming male)</t>
  </si>
  <si>
    <t>172 FL</t>
  </si>
  <si>
    <t>We don't have length at maturity information</t>
  </si>
  <si>
    <t>Data Location</t>
  </si>
  <si>
    <t>North Kona</t>
  </si>
  <si>
    <t>Main Hawaiian Islands - Shallow</t>
  </si>
  <si>
    <t>Oahu</t>
  </si>
  <si>
    <t xml:space="preserve">Hawaii </t>
  </si>
  <si>
    <t>Roi</t>
  </si>
  <si>
    <t>Kamanu</t>
  </si>
  <si>
    <t>Ama'ama</t>
  </si>
  <si>
    <t>Kala Lolo</t>
  </si>
  <si>
    <t>Butaguchi</t>
  </si>
  <si>
    <t>Kahala</t>
  </si>
  <si>
    <t>Bullethead Parrotfish</t>
  </si>
  <si>
    <t>Black Trevally</t>
  </si>
  <si>
    <t>Bluefin Trevally</t>
  </si>
  <si>
    <t>Bigeye Trevally</t>
  </si>
  <si>
    <t>Peacock Grouper</t>
  </si>
  <si>
    <t>Goldring Surgeonfish</t>
  </si>
  <si>
    <t>Rainbow Runner</t>
  </si>
  <si>
    <t>Bluestipe Snapper</t>
  </si>
  <si>
    <t>Striped Mullet</t>
  </si>
  <si>
    <t>Yellowstripe Goatfish</t>
  </si>
  <si>
    <t>Yellowfin Goatfish</t>
  </si>
  <si>
    <t>Bigscale Soldierfish</t>
  </si>
  <si>
    <t>Paletail Unicornfish</t>
  </si>
  <si>
    <t>Sleek Unicornfish</t>
  </si>
  <si>
    <t>Orangespine Unicornfish</t>
  </si>
  <si>
    <t>Manybar Goatfish</t>
  </si>
  <si>
    <t>Whitesaddle Goatfish</t>
  </si>
  <si>
    <t>Thick Lipped Jack</t>
  </si>
  <si>
    <t>Palenose Parrotfish</t>
  </si>
  <si>
    <t>Redlip Parrotfish</t>
  </si>
  <si>
    <t>Greater Amberjack</t>
  </si>
  <si>
    <t>Great Barracuda</t>
  </si>
  <si>
    <t>Yellow Tang</t>
  </si>
  <si>
    <t>Barracudas</t>
  </si>
  <si>
    <t>Mullets</t>
  </si>
  <si>
    <t>common_family</t>
  </si>
  <si>
    <t>common_name</t>
  </si>
  <si>
    <t>hawaii_name</t>
  </si>
  <si>
    <t>science_family</t>
  </si>
  <si>
    <t>species</t>
  </si>
  <si>
    <t>M/K</t>
  </si>
  <si>
    <t>LW_A</t>
  </si>
  <si>
    <t>LW_B</t>
  </si>
  <si>
    <t>SPR_Nadon</t>
  </si>
  <si>
    <t>Sample Size</t>
  </si>
  <si>
    <t>Status</t>
  </si>
  <si>
    <t>Don't Include</t>
  </si>
  <si>
    <t>Don't Include - Hawaii Wide matches Access Database</t>
  </si>
  <si>
    <t>Size Range</t>
  </si>
  <si>
    <t>65-176 mm SL</t>
  </si>
  <si>
    <t>?? (emailed)</t>
  </si>
  <si>
    <t>not listed?</t>
  </si>
  <si>
    <t>10.4-67 cm FL</t>
  </si>
  <si>
    <t>10-66.5 cm FL</t>
  </si>
  <si>
    <t>‘Ū’ū</t>
  </si>
  <si>
    <t>Kākū</t>
  </si>
  <si>
    <t>Bluespine Unicornfish</t>
  </si>
  <si>
    <t>Kūmū</t>
  </si>
  <si>
    <t>Lau’ipala</t>
  </si>
  <si>
    <t xml:space="preserve">Ulua lā’uli </t>
  </si>
  <si>
    <t>sex</t>
  </si>
  <si>
    <t>Source (if not Access database)</t>
  </si>
  <si>
    <t>Notes</t>
  </si>
  <si>
    <t>Assigned to research (ie male v female)</t>
  </si>
  <si>
    <t>Manini</t>
  </si>
  <si>
    <t>Convict Tang</t>
  </si>
  <si>
    <t>male</t>
  </si>
  <si>
    <t>female</t>
  </si>
  <si>
    <t>Schemmel &amp; Friedlander 2016 = No differences between female and male size were found in North Kona. Manini in North Kona were on average 0.88 cm larger than North Kauai and 0.77 cm larger than Maunalua. Longenecker 2008 (Access) = same vonBertalanffy curve used for male and female</t>
  </si>
  <si>
    <t>Bonefishes</t>
  </si>
  <si>
    <t>Longjaw Bonefish</t>
  </si>
  <si>
    <t>‘Ō'io</t>
  </si>
  <si>
    <t>TL_TO_FL</t>
  </si>
  <si>
    <t>TL_TO_SL</t>
  </si>
  <si>
    <t>LONG</t>
  </si>
  <si>
    <t>Pake ulua</t>
  </si>
  <si>
    <t>‘Ōmilu</t>
  </si>
  <si>
    <t>‘Ōpelu kala</t>
  </si>
  <si>
    <t>Ta'ape</t>
  </si>
  <si>
    <t>Uhu pālukaluka</t>
  </si>
  <si>
    <t>Ulua aukea</t>
  </si>
  <si>
    <t>Umauma lei</t>
  </si>
  <si>
    <t>Weke 'ula</t>
  </si>
  <si>
    <t>Weke’ā</t>
  </si>
  <si>
    <t>Albula</t>
  </si>
  <si>
    <t>Shortjaw Bonefish</t>
  </si>
  <si>
    <t>Linf and LMAT are in Fork Length</t>
  </si>
  <si>
    <t>Erin</t>
  </si>
  <si>
    <t>Bill</t>
  </si>
  <si>
    <t>Spectacled Parrotfish</t>
  </si>
  <si>
    <t>Uhu-uliuli</t>
  </si>
  <si>
    <t>Pacific Daisy Parrotfish</t>
  </si>
  <si>
    <t>Access (Langston 2009)</t>
  </si>
  <si>
    <t>Fixed typo in Access Linf=256</t>
  </si>
  <si>
    <t>LVB changed to Iwaski 1995 within Molony 2008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</si>
</sst>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00000"/>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4"/>
      <color theme="1"/>
      <name val="Calibri"/>
      <family val="2"/>
      <scheme val="minor"/>
    </font>
    <font>
      <sz val="10"/>
      <color rgb="FF000000"/>
      <name val="Tahoma"/>
      <family val="2"/>
    </font>
    <font>
      <b/>
      <sz val="10"/>
      <color rgb="FF000000"/>
      <name val="Tahoma"/>
      <family val="2"/>
    </font>
    <font>
      <sz val="10"/>
      <color rgb="FF00000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Fill="1"/>
    <xf numFmtId="0" fontId="0" fillId="33" borderId="0" xfId="0" applyFill="1"/>
    <xf numFmtId="164" fontId="0" fillId="0" borderId="0" xfId="0" applyNumberFormat="1" applyFill="1"/>
    <xf numFmtId="2" fontId="0" fillId="0" borderId="0" xfId="0" applyNumberFormat="1" applyFill="1"/>
    <xf numFmtId="165" fontId="0" fillId="0" borderId="0" xfId="0" applyNumberFormat="1" applyFill="1"/>
    <xf numFmtId="166" fontId="0" fillId="0" borderId="0" xfId="0" applyNumberFormat="1" applyFill="1"/>
    <xf numFmtId="0" fontId="0" fillId="34" borderId="0" xfId="0" applyFill="1"/>
    <xf numFmtId="0" fontId="0" fillId="35" borderId="0" xfId="0" applyFill="1"/>
    <xf numFmtId="166" fontId="0" fillId="35" borderId="0" xfId="0" applyNumberFormat="1" applyFill="1"/>
    <xf numFmtId="0" fontId="16" fillId="0" borderId="0" xfId="0" applyFont="1" applyFill="1"/>
    <xf numFmtId="0" fontId="18" fillId="0" borderId="0" xfId="0" applyFont="1" applyFill="1"/>
    <xf numFmtId="0" fontId="0" fillId="36" borderId="0" xfId="0" applyFill="1"/>
    <xf numFmtId="0" fontId="0" fillId="37" borderId="0" xfId="0" applyFill="1"/>
    <xf numFmtId="0" fontId="0" fillId="38" borderId="0" xfId="0" applyFill="1"/>
    <xf numFmtId="0" fontId="0" fillId="38" borderId="0" xfId="0" applyFill="1" applyAlignment="1">
      <alignment horizontal="center"/>
    </xf>
    <xf numFmtId="0" fontId="0" fillId="33" borderId="0" xfId="0" applyFont="1" applyFill="1"/>
    <xf numFmtId="0" fontId="0" fillId="0" borderId="0" xfId="0" applyFont="1"/>
    <xf numFmtId="0" fontId="0" fillId="0" borderId="0" xfId="0" applyFont="1" applyFill="1"/>
    <xf numFmtId="0" fontId="0" fillId="0" borderId="0" xfId="0" quotePrefix="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C5A89-C954-A94F-8D3C-CE4743919E74}">
  <dimension ref="A1:AH38"/>
  <sheetViews>
    <sheetView topLeftCell="U1" workbookViewId="0"/>
  </sheetViews>
  <sheetFormatPr defaultColWidth="14.19921875" defaultRowHeight="15.6" x14ac:dyDescent="0.3"/>
  <cols>
    <col min="1" max="11" width="14.19921875" style="1"/>
    <col min="12" max="12" width="14.296875" style="1" customWidth="1"/>
    <col min="13" max="16384" width="14.19921875" style="1"/>
  </cols>
  <sheetData>
    <row r="1" spans="1:34" x14ac:dyDescent="0.3">
      <c r="A1" s="18" t="s">
        <v>143</v>
      </c>
      <c r="B1" s="18" t="s">
        <v>144</v>
      </c>
      <c r="C1" s="18" t="s">
        <v>145</v>
      </c>
      <c r="D1" s="18" t="s">
        <v>146</v>
      </c>
      <c r="E1" s="18" t="s">
        <v>147</v>
      </c>
      <c r="F1" s="1" t="s">
        <v>168</v>
      </c>
      <c r="G1" s="1" t="s">
        <v>180</v>
      </c>
      <c r="H1" s="1" t="s">
        <v>1</v>
      </c>
      <c r="I1" s="1" t="s">
        <v>181</v>
      </c>
      <c r="J1" s="1" t="s">
        <v>2</v>
      </c>
      <c r="K1" s="2" t="s">
        <v>49</v>
      </c>
      <c r="L1" s="2" t="s">
        <v>3</v>
      </c>
      <c r="M1" s="2" t="s">
        <v>90</v>
      </c>
      <c r="N1" s="1" t="s">
        <v>4</v>
      </c>
      <c r="O1" s="1" t="s">
        <v>5</v>
      </c>
      <c r="P1" s="2" t="s">
        <v>6</v>
      </c>
      <c r="Q1" s="2" t="s">
        <v>182</v>
      </c>
      <c r="R1" s="2" t="s">
        <v>149</v>
      </c>
      <c r="S1" s="2" t="s">
        <v>150</v>
      </c>
      <c r="T1" s="2" t="s">
        <v>50</v>
      </c>
      <c r="U1" s="2" t="s">
        <v>51</v>
      </c>
      <c r="V1" s="2" t="s">
        <v>93</v>
      </c>
      <c r="W1" s="2" t="s">
        <v>148</v>
      </c>
      <c r="X1" s="16" t="s">
        <v>52</v>
      </c>
      <c r="Y1" s="16" t="s">
        <v>53</v>
      </c>
      <c r="Z1" s="2" t="s">
        <v>54</v>
      </c>
      <c r="AA1" s="2" t="s">
        <v>55</v>
      </c>
      <c r="AB1" s="1" t="s">
        <v>56</v>
      </c>
      <c r="AC1" s="13" t="s">
        <v>57</v>
      </c>
      <c r="AD1" s="13" t="s">
        <v>58</v>
      </c>
      <c r="AE1" s="13" t="s">
        <v>151</v>
      </c>
      <c r="AF1" s="7" t="s">
        <v>169</v>
      </c>
      <c r="AG1" s="7" t="s">
        <v>170</v>
      </c>
      <c r="AH1" s="7" t="s">
        <v>171</v>
      </c>
    </row>
    <row r="2" spans="1:34" x14ac:dyDescent="0.3">
      <c r="A2" s="18" t="s">
        <v>62</v>
      </c>
      <c r="B2" s="17" t="s">
        <v>66</v>
      </c>
      <c r="C2" s="18" t="s">
        <v>67</v>
      </c>
      <c r="D2" s="18" t="s">
        <v>7</v>
      </c>
      <c r="E2" s="18" t="s">
        <v>8</v>
      </c>
      <c r="I2" s="1">
        <v>0.76</v>
      </c>
      <c r="J2" s="1">
        <v>276</v>
      </c>
      <c r="K2" s="1">
        <v>363</v>
      </c>
      <c r="L2" s="3">
        <v>0.25</v>
      </c>
      <c r="M2" s="3">
        <v>-0.38</v>
      </c>
      <c r="O2" s="1">
        <v>210</v>
      </c>
      <c r="P2" s="1">
        <v>276</v>
      </c>
      <c r="Q2" s="1">
        <v>35</v>
      </c>
      <c r="R2" s="5">
        <v>2.5059999999999999E-2</v>
      </c>
      <c r="S2" s="5">
        <v>3.03193</v>
      </c>
      <c r="T2" s="1">
        <f t="shared" ref="T2:T15" si="0">P2</f>
        <v>276</v>
      </c>
      <c r="U2" s="1">
        <f t="shared" ref="U2:U15" si="1">T2+1</f>
        <v>277</v>
      </c>
      <c r="V2" s="6">
        <f t="shared" ref="V2:V15" si="2">-(LN(0.04))/Q2</f>
        <v>9.196788071052002E-2</v>
      </c>
      <c r="W2" s="1">
        <f t="shared" ref="W2:W15" si="3">V2/L2</f>
        <v>0.36787152284208008</v>
      </c>
      <c r="X2" s="1">
        <f t="shared" ref="X2:X9" si="4">T2</f>
        <v>276</v>
      </c>
      <c r="Y2" s="1">
        <f t="shared" ref="Y2:Y15" si="5">X2+1</f>
        <v>277</v>
      </c>
      <c r="Z2" s="1">
        <v>0.4</v>
      </c>
      <c r="AA2" s="1">
        <v>5</v>
      </c>
      <c r="AC2">
        <v>0.27</v>
      </c>
      <c r="AD2">
        <f>AC2/V2</f>
        <v>2.9358075657941662</v>
      </c>
      <c r="AE2" s="1">
        <v>0.16</v>
      </c>
      <c r="AH2" s="1" t="s">
        <v>196</v>
      </c>
    </row>
    <row r="3" spans="1:34" x14ac:dyDescent="0.3">
      <c r="A3" s="18" t="s">
        <v>62</v>
      </c>
      <c r="B3" s="18" t="s">
        <v>68</v>
      </c>
      <c r="C3" s="18" t="s">
        <v>69</v>
      </c>
      <c r="D3" s="18" t="s">
        <v>7</v>
      </c>
      <c r="E3" s="18" t="s">
        <v>9</v>
      </c>
      <c r="I3" s="1">
        <v>0.83</v>
      </c>
      <c r="J3" s="1">
        <v>308</v>
      </c>
      <c r="K3" s="1">
        <v>371</v>
      </c>
      <c r="L3" s="3">
        <v>0.29599999999999999</v>
      </c>
      <c r="M3" s="3">
        <v>-0.28999999999999998</v>
      </c>
      <c r="O3" s="1">
        <v>234</v>
      </c>
      <c r="P3" s="1">
        <v>282</v>
      </c>
      <c r="Q3" s="1">
        <v>28</v>
      </c>
      <c r="R3" s="5">
        <v>2.5100000000000001E-2</v>
      </c>
      <c r="S3" s="5">
        <v>3.032</v>
      </c>
      <c r="T3" s="1">
        <f t="shared" si="0"/>
        <v>282</v>
      </c>
      <c r="U3" s="1">
        <f t="shared" si="1"/>
        <v>283</v>
      </c>
      <c r="V3" s="6">
        <f t="shared" si="2"/>
        <v>0.11495985088815001</v>
      </c>
      <c r="W3" s="1">
        <f t="shared" si="3"/>
        <v>0.38837787462212847</v>
      </c>
      <c r="X3" s="1">
        <f t="shared" si="4"/>
        <v>282</v>
      </c>
      <c r="Y3" s="1">
        <f t="shared" si="5"/>
        <v>283</v>
      </c>
      <c r="Z3" s="1">
        <v>0.4</v>
      </c>
      <c r="AA3" s="1">
        <v>5</v>
      </c>
      <c r="AC3">
        <v>0.18</v>
      </c>
      <c r="AD3">
        <f>AC3/V3</f>
        <v>1.5657640350902218</v>
      </c>
      <c r="AE3" s="1">
        <v>0.32</v>
      </c>
      <c r="AH3" s="1" t="s">
        <v>196</v>
      </c>
    </row>
    <row r="4" spans="1:34" x14ac:dyDescent="0.3">
      <c r="A4" s="18" t="s">
        <v>62</v>
      </c>
      <c r="B4" s="18" t="s">
        <v>173</v>
      </c>
      <c r="C4" s="18" t="s">
        <v>172</v>
      </c>
      <c r="D4" s="18" t="s">
        <v>7</v>
      </c>
      <c r="E4" s="18" t="s">
        <v>97</v>
      </c>
      <c r="F4" s="1" t="s">
        <v>174</v>
      </c>
      <c r="G4" s="1">
        <v>0.87</v>
      </c>
      <c r="K4" s="1">
        <v>203</v>
      </c>
      <c r="L4" s="1">
        <v>1.4308000000000001</v>
      </c>
      <c r="M4" s="1">
        <v>5.11E-2</v>
      </c>
      <c r="N4" s="1">
        <v>158</v>
      </c>
      <c r="P4" s="4">
        <f>N4/G4</f>
        <v>181.60919540229884</v>
      </c>
      <c r="Q4" s="12"/>
      <c r="R4" s="1">
        <v>8.3059999999999995E-2</v>
      </c>
      <c r="S4" s="1">
        <v>2.56968</v>
      </c>
      <c r="T4" s="1">
        <f t="shared" si="0"/>
        <v>181.60919540229884</v>
      </c>
      <c r="U4" s="1">
        <f t="shared" si="1"/>
        <v>182.60919540229884</v>
      </c>
      <c r="V4" s="6" t="e">
        <f t="shared" si="2"/>
        <v>#DIV/0!</v>
      </c>
      <c r="W4" s="1" t="e">
        <f t="shared" si="3"/>
        <v>#DIV/0!</v>
      </c>
      <c r="X4" s="1">
        <f t="shared" si="4"/>
        <v>181.60919540229884</v>
      </c>
      <c r="Y4" s="1">
        <f t="shared" si="5"/>
        <v>182.60919540229884</v>
      </c>
      <c r="Z4" s="1">
        <v>0.4</v>
      </c>
      <c r="AA4" s="1">
        <v>5</v>
      </c>
      <c r="AF4" s="1" t="s">
        <v>99</v>
      </c>
      <c r="AG4" s="18" t="s">
        <v>176</v>
      </c>
    </row>
    <row r="5" spans="1:34" x14ac:dyDescent="0.3">
      <c r="A5" s="18" t="s">
        <v>62</v>
      </c>
      <c r="B5" s="18" t="s">
        <v>173</v>
      </c>
      <c r="C5" s="18" t="s">
        <v>172</v>
      </c>
      <c r="D5" s="18" t="s">
        <v>7</v>
      </c>
      <c r="E5" s="18" t="s">
        <v>97</v>
      </c>
      <c r="F5" s="1" t="s">
        <v>175</v>
      </c>
      <c r="G5" s="1">
        <v>0.87</v>
      </c>
      <c r="K5" s="1">
        <v>203</v>
      </c>
      <c r="L5" s="1">
        <v>1.4308000000000001</v>
      </c>
      <c r="M5" s="1">
        <v>5.11E-2</v>
      </c>
      <c r="N5" s="1">
        <v>156</v>
      </c>
      <c r="P5" s="4">
        <f>N5/G5</f>
        <v>179.31034482758622</v>
      </c>
      <c r="Q5" s="12"/>
      <c r="R5" s="1">
        <v>8.3059999999999995E-2</v>
      </c>
      <c r="S5" s="1">
        <v>2.56968</v>
      </c>
      <c r="T5" s="1">
        <f t="shared" si="0"/>
        <v>179.31034482758622</v>
      </c>
      <c r="U5" s="1">
        <f t="shared" si="1"/>
        <v>180.31034482758622</v>
      </c>
      <c r="V5" s="6" t="e">
        <f t="shared" si="2"/>
        <v>#DIV/0!</v>
      </c>
      <c r="W5" s="1" t="e">
        <f t="shared" si="3"/>
        <v>#DIV/0!</v>
      </c>
      <c r="X5" s="1">
        <f t="shared" si="4"/>
        <v>179.31034482758622</v>
      </c>
      <c r="Y5" s="1">
        <f t="shared" si="5"/>
        <v>180.31034482758622</v>
      </c>
      <c r="Z5" s="1">
        <v>0.4</v>
      </c>
      <c r="AA5" s="1">
        <v>5</v>
      </c>
      <c r="AF5" s="1" t="s">
        <v>99</v>
      </c>
      <c r="AG5" s="18" t="s">
        <v>176</v>
      </c>
    </row>
    <row r="6" spans="1:34" x14ac:dyDescent="0.3">
      <c r="A6" s="18" t="s">
        <v>62</v>
      </c>
      <c r="B6" s="18" t="s">
        <v>70</v>
      </c>
      <c r="C6" s="18" t="s">
        <v>67</v>
      </c>
      <c r="D6" s="18" t="s">
        <v>7</v>
      </c>
      <c r="E6" s="18" t="s">
        <v>10</v>
      </c>
      <c r="I6" s="1">
        <v>0.74</v>
      </c>
      <c r="J6" s="1">
        <v>426</v>
      </c>
      <c r="K6" s="1">
        <v>576</v>
      </c>
      <c r="L6" s="3">
        <v>0.28699999999999998</v>
      </c>
      <c r="M6" s="3">
        <v>-0.21</v>
      </c>
      <c r="O6" s="1">
        <v>367</v>
      </c>
      <c r="P6" s="1">
        <v>496</v>
      </c>
      <c r="Q6" s="1">
        <v>34</v>
      </c>
      <c r="R6" s="5">
        <v>2.673E-2</v>
      </c>
      <c r="S6" s="5">
        <v>2.9844900000000001</v>
      </c>
      <c r="T6" s="1">
        <f t="shared" si="0"/>
        <v>496</v>
      </c>
      <c r="U6" s="1">
        <f t="shared" si="1"/>
        <v>497</v>
      </c>
      <c r="V6" s="6">
        <f t="shared" si="2"/>
        <v>9.4672818378476492E-2</v>
      </c>
      <c r="W6" s="1">
        <f t="shared" si="3"/>
        <v>0.32987044731176479</v>
      </c>
      <c r="X6" s="1">
        <f t="shared" si="4"/>
        <v>496</v>
      </c>
      <c r="Y6" s="1">
        <f t="shared" si="5"/>
        <v>497</v>
      </c>
      <c r="Z6" s="1">
        <v>0.4</v>
      </c>
      <c r="AA6" s="1">
        <v>5</v>
      </c>
      <c r="AC6"/>
      <c r="AD6">
        <f>AC6/V6</f>
        <v>0</v>
      </c>
      <c r="AH6" s="1" t="s">
        <v>196</v>
      </c>
    </row>
    <row r="7" spans="1:34" x14ac:dyDescent="0.3">
      <c r="A7" s="18" t="s">
        <v>177</v>
      </c>
      <c r="B7" s="18" t="s">
        <v>193</v>
      </c>
      <c r="C7" s="17" t="s">
        <v>179</v>
      </c>
      <c r="D7" s="18" t="s">
        <v>192</v>
      </c>
      <c r="E7" s="18" t="s">
        <v>76</v>
      </c>
      <c r="K7" s="1">
        <f>10*67.26</f>
        <v>672.6</v>
      </c>
      <c r="L7" s="1">
        <v>0.18</v>
      </c>
      <c r="M7" s="1">
        <v>-0.68</v>
      </c>
      <c r="P7" s="1">
        <f>((41+43.7)/2)*10</f>
        <v>423.5</v>
      </c>
      <c r="Q7" s="1">
        <v>14</v>
      </c>
      <c r="R7" s="1">
        <v>0.01</v>
      </c>
      <c r="S7" s="1">
        <v>3.04</v>
      </c>
      <c r="T7" s="1">
        <f t="shared" si="0"/>
        <v>423.5</v>
      </c>
      <c r="U7" s="1">
        <f t="shared" si="1"/>
        <v>424.5</v>
      </c>
      <c r="V7" s="6">
        <f t="shared" si="2"/>
        <v>0.22991970177630003</v>
      </c>
      <c r="W7" s="1">
        <f t="shared" si="3"/>
        <v>1.2773316765350002</v>
      </c>
      <c r="X7" s="1">
        <f t="shared" si="4"/>
        <v>423.5</v>
      </c>
      <c r="Y7" s="1">
        <f t="shared" si="5"/>
        <v>424.5</v>
      </c>
      <c r="Z7" s="1">
        <v>0.4</v>
      </c>
      <c r="AA7" s="1">
        <v>5</v>
      </c>
      <c r="AF7" s="1" t="s">
        <v>78</v>
      </c>
      <c r="AG7" s="1" t="s">
        <v>194</v>
      </c>
    </row>
    <row r="8" spans="1:34" x14ac:dyDescent="0.3">
      <c r="A8" s="18" t="s">
        <v>177</v>
      </c>
      <c r="B8" s="17" t="s">
        <v>178</v>
      </c>
      <c r="C8" s="17" t="s">
        <v>179</v>
      </c>
      <c r="D8" s="18" t="s">
        <v>192</v>
      </c>
      <c r="E8" s="18" t="s">
        <v>77</v>
      </c>
      <c r="K8" s="1">
        <f>10*56.39</f>
        <v>563.9</v>
      </c>
      <c r="L8" s="1">
        <v>0.26</v>
      </c>
      <c r="M8" s="1">
        <v>-0.49</v>
      </c>
      <c r="P8" s="1">
        <f>((45.9+40.4)/2)*10</f>
        <v>431.5</v>
      </c>
      <c r="Q8" s="1">
        <v>11</v>
      </c>
      <c r="R8" s="1">
        <v>0.01</v>
      </c>
      <c r="S8" s="1">
        <v>3.02</v>
      </c>
      <c r="T8" s="1">
        <f t="shared" si="0"/>
        <v>431.5</v>
      </c>
      <c r="U8" s="1">
        <f t="shared" si="1"/>
        <v>432.5</v>
      </c>
      <c r="V8" s="6">
        <f t="shared" si="2"/>
        <v>0.29262507498801821</v>
      </c>
      <c r="W8" s="1">
        <f t="shared" si="3"/>
        <v>1.1254810576462237</v>
      </c>
      <c r="X8" s="1">
        <f t="shared" si="4"/>
        <v>431.5</v>
      </c>
      <c r="Y8" s="1">
        <f t="shared" si="5"/>
        <v>432.5</v>
      </c>
      <c r="Z8" s="1">
        <v>0.4</v>
      </c>
      <c r="AA8" s="1">
        <v>5</v>
      </c>
      <c r="AF8" s="1" t="s">
        <v>78</v>
      </c>
      <c r="AG8" s="1" t="s">
        <v>194</v>
      </c>
    </row>
    <row r="9" spans="1:34" x14ac:dyDescent="0.3">
      <c r="A9" s="18" t="s">
        <v>64</v>
      </c>
      <c r="B9" s="18" t="s">
        <v>71</v>
      </c>
      <c r="C9" s="18" t="s">
        <v>72</v>
      </c>
      <c r="D9" s="18" t="s">
        <v>29</v>
      </c>
      <c r="E9" s="18" t="s">
        <v>30</v>
      </c>
      <c r="G9" s="1">
        <v>0.92</v>
      </c>
      <c r="H9" s="1">
        <v>709</v>
      </c>
      <c r="K9" s="1">
        <v>771</v>
      </c>
      <c r="L9" s="3">
        <v>0.372</v>
      </c>
      <c r="M9" s="3">
        <v>-0.51</v>
      </c>
      <c r="N9" s="1">
        <v>450</v>
      </c>
      <c r="P9" s="1">
        <v>489</v>
      </c>
      <c r="Q9" s="1">
        <v>31</v>
      </c>
      <c r="R9" s="5">
        <v>0.19439999999999999</v>
      </c>
      <c r="S9" s="5">
        <v>2.4041199999999998</v>
      </c>
      <c r="T9" s="1">
        <f t="shared" si="0"/>
        <v>489</v>
      </c>
      <c r="U9" s="1">
        <f t="shared" si="1"/>
        <v>490</v>
      </c>
      <c r="V9" s="6">
        <f t="shared" si="2"/>
        <v>0.10383470402800647</v>
      </c>
      <c r="W9" s="1">
        <f t="shared" si="3"/>
        <v>0.27912554846238297</v>
      </c>
      <c r="X9" s="1">
        <f t="shared" si="4"/>
        <v>489</v>
      </c>
      <c r="Y9" s="1">
        <f t="shared" si="5"/>
        <v>490</v>
      </c>
      <c r="Z9" s="1">
        <v>0.4</v>
      </c>
      <c r="AA9" s="1">
        <v>5</v>
      </c>
      <c r="AC9">
        <v>0.23</v>
      </c>
      <c r="AD9">
        <f t="shared" ref="AD9:AD36" si="6">AC9/V9</f>
        <v>2.2150590417050164</v>
      </c>
      <c r="AE9" s="1">
        <v>0.23</v>
      </c>
      <c r="AH9" s="1" t="s">
        <v>196</v>
      </c>
    </row>
    <row r="10" spans="1:34" x14ac:dyDescent="0.3">
      <c r="A10" s="18" t="s">
        <v>65</v>
      </c>
      <c r="B10" s="17" t="s">
        <v>73</v>
      </c>
      <c r="C10" s="17" t="s">
        <v>188</v>
      </c>
      <c r="D10" s="18" t="s">
        <v>19</v>
      </c>
      <c r="E10" s="18" t="s">
        <v>20</v>
      </c>
      <c r="I10" s="1">
        <v>0.87</v>
      </c>
      <c r="J10" s="1">
        <v>1838</v>
      </c>
      <c r="K10" s="1">
        <v>2113</v>
      </c>
      <c r="L10" s="3">
        <v>0.111</v>
      </c>
      <c r="M10" s="3">
        <v>9.7000000000000003E-2</v>
      </c>
      <c r="O10" s="1">
        <v>700</v>
      </c>
      <c r="P10" s="1">
        <v>805</v>
      </c>
      <c r="Q10" s="1">
        <v>11</v>
      </c>
      <c r="R10" s="5">
        <v>2.7300000000000001E-2</v>
      </c>
      <c r="S10" s="5">
        <v>2.9129999999999998</v>
      </c>
      <c r="T10" s="1">
        <f t="shared" si="0"/>
        <v>805</v>
      </c>
      <c r="U10" s="1">
        <f t="shared" si="1"/>
        <v>806</v>
      </c>
      <c r="V10" s="6">
        <f t="shared" si="2"/>
        <v>0.29262507498801821</v>
      </c>
      <c r="W10" s="1">
        <f t="shared" si="3"/>
        <v>2.6362619368289928</v>
      </c>
      <c r="X10" s="1">
        <f>10*25.4</f>
        <v>254</v>
      </c>
      <c r="Y10" s="1">
        <f t="shared" si="5"/>
        <v>255</v>
      </c>
      <c r="Z10" s="1">
        <v>0.4</v>
      </c>
      <c r="AA10" s="1">
        <v>5</v>
      </c>
      <c r="AB10" s="1">
        <v>254</v>
      </c>
      <c r="AC10">
        <v>0.3</v>
      </c>
      <c r="AD10">
        <f t="shared" si="6"/>
        <v>1.0252026420233595</v>
      </c>
      <c r="AE10" s="1">
        <v>0.21</v>
      </c>
      <c r="AH10" s="1" t="s">
        <v>196</v>
      </c>
    </row>
    <row r="11" spans="1:34" x14ac:dyDescent="0.3">
      <c r="A11" s="18" t="s">
        <v>65</v>
      </c>
      <c r="B11" s="17" t="s">
        <v>119</v>
      </c>
      <c r="C11" s="17" t="s">
        <v>167</v>
      </c>
      <c r="D11" s="18" t="s">
        <v>19</v>
      </c>
      <c r="E11" s="18" t="s">
        <v>21</v>
      </c>
      <c r="G11" s="1">
        <v>0.94</v>
      </c>
      <c r="H11" s="1">
        <v>822</v>
      </c>
      <c r="K11" s="1">
        <v>874</v>
      </c>
      <c r="L11" s="3">
        <v>0.12</v>
      </c>
      <c r="M11" s="3">
        <v>0</v>
      </c>
      <c r="N11" s="1">
        <v>370</v>
      </c>
      <c r="P11" s="1">
        <v>394</v>
      </c>
      <c r="Q11" s="1">
        <v>12</v>
      </c>
      <c r="R11" s="5">
        <v>1.9800000000000002E-2</v>
      </c>
      <c r="S11" s="5">
        <v>3.0009999999999999</v>
      </c>
      <c r="T11" s="1">
        <f t="shared" si="0"/>
        <v>394</v>
      </c>
      <c r="U11" s="1">
        <f t="shared" si="1"/>
        <v>395</v>
      </c>
      <c r="V11" s="6">
        <f t="shared" si="2"/>
        <v>0.26823965207235007</v>
      </c>
      <c r="W11" s="1">
        <f t="shared" si="3"/>
        <v>2.2353304339362507</v>
      </c>
      <c r="X11" s="1">
        <f>10*25.4</f>
        <v>254</v>
      </c>
      <c r="Y11" s="1">
        <f t="shared" si="5"/>
        <v>255</v>
      </c>
      <c r="Z11" s="1">
        <v>0.4</v>
      </c>
      <c r="AA11" s="1">
        <v>5</v>
      </c>
      <c r="AB11" s="1">
        <v>254</v>
      </c>
      <c r="AC11"/>
      <c r="AD11">
        <f t="shared" si="6"/>
        <v>0</v>
      </c>
      <c r="AH11" s="1" t="s">
        <v>196</v>
      </c>
    </row>
    <row r="12" spans="1:34" x14ac:dyDescent="0.3">
      <c r="A12" s="18" t="s">
        <v>65</v>
      </c>
      <c r="B12" s="17" t="s">
        <v>120</v>
      </c>
      <c r="C12" s="17" t="s">
        <v>184</v>
      </c>
      <c r="D12" s="18" t="s">
        <v>19</v>
      </c>
      <c r="E12" s="18" t="s">
        <v>22</v>
      </c>
      <c r="I12" s="1">
        <v>0.84</v>
      </c>
      <c r="J12" s="1">
        <v>897</v>
      </c>
      <c r="K12" s="1">
        <v>1068</v>
      </c>
      <c r="L12" s="3">
        <v>0.23300000000000001</v>
      </c>
      <c r="M12" s="3">
        <v>-4.3999999999999997E-2</v>
      </c>
      <c r="O12" s="1">
        <v>400</v>
      </c>
      <c r="P12" s="1">
        <v>476</v>
      </c>
      <c r="Q12" s="1">
        <v>7</v>
      </c>
      <c r="R12" s="5">
        <v>2.4199999999999999E-2</v>
      </c>
      <c r="S12" s="5">
        <v>2.9409999999999998</v>
      </c>
      <c r="T12" s="1">
        <f t="shared" si="0"/>
        <v>476</v>
      </c>
      <c r="U12" s="1">
        <f t="shared" si="1"/>
        <v>477</v>
      </c>
      <c r="V12" s="6">
        <f t="shared" si="2"/>
        <v>0.45983940355260006</v>
      </c>
      <c r="W12" s="1">
        <f t="shared" si="3"/>
        <v>1.9735596718995709</v>
      </c>
      <c r="X12" s="1">
        <f>10*25.4</f>
        <v>254</v>
      </c>
      <c r="Y12" s="1">
        <f t="shared" si="5"/>
        <v>255</v>
      </c>
      <c r="Z12" s="1">
        <v>0.4</v>
      </c>
      <c r="AA12" s="1">
        <v>5</v>
      </c>
      <c r="AB12" s="1">
        <v>254</v>
      </c>
      <c r="AC12">
        <v>0.16</v>
      </c>
      <c r="AD12">
        <f t="shared" si="6"/>
        <v>0.34794756335338267</v>
      </c>
      <c r="AE12" s="1">
        <v>0.65</v>
      </c>
      <c r="AH12" s="1" t="s">
        <v>196</v>
      </c>
    </row>
    <row r="13" spans="1:34" x14ac:dyDescent="0.3">
      <c r="A13" s="18" t="s">
        <v>65</v>
      </c>
      <c r="B13" s="17" t="s">
        <v>121</v>
      </c>
      <c r="C13" s="17" t="s">
        <v>183</v>
      </c>
      <c r="D13" s="18" t="s">
        <v>19</v>
      </c>
      <c r="E13" s="18" t="s">
        <v>23</v>
      </c>
      <c r="G13" s="1">
        <v>0.9</v>
      </c>
      <c r="H13" s="1">
        <v>800</v>
      </c>
      <c r="I13" s="1">
        <v>0.83</v>
      </c>
      <c r="K13" s="1">
        <v>889</v>
      </c>
      <c r="L13" s="3">
        <v>0.24</v>
      </c>
      <c r="M13" s="3">
        <v>0</v>
      </c>
      <c r="O13" s="1">
        <v>420</v>
      </c>
      <c r="P13" s="1">
        <v>506</v>
      </c>
      <c r="Q13" s="1">
        <v>11</v>
      </c>
      <c r="R13" s="5">
        <v>1.9800000000000002E-2</v>
      </c>
      <c r="S13" s="5">
        <v>2.9860000000000002</v>
      </c>
      <c r="T13" s="1">
        <f t="shared" si="0"/>
        <v>506</v>
      </c>
      <c r="U13" s="1">
        <f t="shared" si="1"/>
        <v>507</v>
      </c>
      <c r="V13" s="6">
        <f t="shared" si="2"/>
        <v>0.29262507498801821</v>
      </c>
      <c r="W13" s="1">
        <f t="shared" si="3"/>
        <v>1.2192711457834093</v>
      </c>
      <c r="X13" s="1">
        <f>10*25.4</f>
        <v>254</v>
      </c>
      <c r="Y13" s="1">
        <f t="shared" si="5"/>
        <v>255</v>
      </c>
      <c r="Z13" s="1">
        <v>0.4</v>
      </c>
      <c r="AA13" s="1">
        <v>5</v>
      </c>
      <c r="AB13" s="1">
        <v>254</v>
      </c>
      <c r="AC13"/>
      <c r="AD13">
        <f t="shared" si="6"/>
        <v>0</v>
      </c>
      <c r="AH13" s="1" t="s">
        <v>196</v>
      </c>
    </row>
    <row r="14" spans="1:34" x14ac:dyDescent="0.3">
      <c r="A14" s="18" t="s">
        <v>74</v>
      </c>
      <c r="B14" s="17" t="s">
        <v>122</v>
      </c>
      <c r="C14" s="17" t="s">
        <v>112</v>
      </c>
      <c r="D14" s="18" t="s">
        <v>45</v>
      </c>
      <c r="E14" s="18" t="s">
        <v>46</v>
      </c>
      <c r="I14" s="1">
        <v>0.82</v>
      </c>
      <c r="K14" s="1">
        <v>506</v>
      </c>
      <c r="L14" s="3">
        <v>7.4999999999999997E-2</v>
      </c>
      <c r="M14" s="3">
        <v>-6.5</v>
      </c>
      <c r="O14" s="1">
        <v>220</v>
      </c>
      <c r="P14" s="1">
        <v>268</v>
      </c>
      <c r="Q14" s="1">
        <v>25</v>
      </c>
      <c r="R14" s="5">
        <v>0.02</v>
      </c>
      <c r="S14" s="5">
        <v>2.99</v>
      </c>
      <c r="T14" s="1">
        <f t="shared" si="0"/>
        <v>268</v>
      </c>
      <c r="U14" s="1">
        <f t="shared" si="1"/>
        <v>269</v>
      </c>
      <c r="V14" s="6">
        <f t="shared" si="2"/>
        <v>0.12875503299472801</v>
      </c>
      <c r="W14" s="1">
        <f t="shared" si="3"/>
        <v>1.7167337732630403</v>
      </c>
      <c r="Y14" s="1">
        <f t="shared" si="5"/>
        <v>1</v>
      </c>
      <c r="Z14" s="1">
        <v>0.4</v>
      </c>
      <c r="AA14" s="1">
        <v>5</v>
      </c>
      <c r="AC14">
        <v>0.01</v>
      </c>
      <c r="AD14">
        <f t="shared" si="6"/>
        <v>7.7666866819951483E-2</v>
      </c>
      <c r="AE14" s="1">
        <v>0.99</v>
      </c>
      <c r="AH14" s="1" t="s">
        <v>196</v>
      </c>
    </row>
    <row r="15" spans="1:34" x14ac:dyDescent="0.3">
      <c r="A15" s="18" t="s">
        <v>61</v>
      </c>
      <c r="B15" s="18" t="s">
        <v>118</v>
      </c>
      <c r="C15" s="18" t="s">
        <v>43</v>
      </c>
      <c r="D15" s="18" t="s">
        <v>40</v>
      </c>
      <c r="E15" s="18" t="s">
        <v>41</v>
      </c>
      <c r="G15" s="1">
        <v>1</v>
      </c>
      <c r="I15" s="1">
        <v>0.87</v>
      </c>
      <c r="J15" s="1">
        <v>251</v>
      </c>
      <c r="K15" s="1">
        <v>289</v>
      </c>
      <c r="L15" s="3">
        <v>0.442</v>
      </c>
      <c r="M15" s="3">
        <v>-0.75600000000000001</v>
      </c>
      <c r="N15" s="1">
        <v>170</v>
      </c>
      <c r="P15" s="1">
        <v>170</v>
      </c>
      <c r="Q15" s="1">
        <v>10</v>
      </c>
      <c r="R15" s="5">
        <v>2.4309999999999998E-2</v>
      </c>
      <c r="S15" s="5">
        <v>2.9693100000000001</v>
      </c>
      <c r="T15" s="1">
        <f t="shared" si="0"/>
        <v>170</v>
      </c>
      <c r="U15" s="1">
        <f t="shared" si="1"/>
        <v>171</v>
      </c>
      <c r="V15" s="6">
        <f t="shared" si="2"/>
        <v>0.32188758248682003</v>
      </c>
      <c r="W15" s="1">
        <f t="shared" si="3"/>
        <v>0.7282524490652037</v>
      </c>
      <c r="X15" s="1">
        <f>T15</f>
        <v>170</v>
      </c>
      <c r="Y15" s="1">
        <f t="shared" si="5"/>
        <v>171</v>
      </c>
      <c r="Z15" s="1">
        <v>0.4</v>
      </c>
      <c r="AA15" s="1">
        <v>5</v>
      </c>
      <c r="AC15"/>
      <c r="AD15">
        <f t="shared" si="6"/>
        <v>0</v>
      </c>
      <c r="AH15" s="1" t="s">
        <v>196</v>
      </c>
    </row>
    <row r="16" spans="1:34" x14ac:dyDescent="0.3">
      <c r="A16" s="18" t="s">
        <v>62</v>
      </c>
      <c r="B16" s="18" t="s">
        <v>123</v>
      </c>
      <c r="C16" s="18" t="s">
        <v>12</v>
      </c>
      <c r="D16" s="18" t="s">
        <v>7</v>
      </c>
      <c r="E16" s="18" t="s">
        <v>11</v>
      </c>
      <c r="F16" s="1" t="s">
        <v>174</v>
      </c>
      <c r="G16" s="1">
        <v>0.94</v>
      </c>
      <c r="H16" s="1">
        <v>145.94999999999999</v>
      </c>
      <c r="K16" s="4">
        <f>H16/G16</f>
        <v>155.2659574468085</v>
      </c>
      <c r="L16" s="3">
        <v>0.50989600000000002</v>
      </c>
      <c r="M16" s="3">
        <v>-1.0541499999999999</v>
      </c>
      <c r="N16" s="1">
        <v>100</v>
      </c>
      <c r="P16" s="4">
        <f>N16/G16</f>
        <v>106.38297872340426</v>
      </c>
      <c r="Q16" s="1">
        <v>39</v>
      </c>
      <c r="R16" s="5">
        <v>2.2000000000000001E-3</v>
      </c>
      <c r="S16" s="5">
        <v>3</v>
      </c>
      <c r="T16" s="1">
        <f t="shared" ref="T16:T18" si="7">P16</f>
        <v>106.38297872340426</v>
      </c>
      <c r="U16" s="1">
        <f t="shared" ref="U16:U18" si="8">T16+1</f>
        <v>107.38297872340426</v>
      </c>
      <c r="V16" s="6">
        <f t="shared" ref="V16:V18" si="9">-(LN(0.04))/Q16</f>
        <v>8.2535277560723097E-2</v>
      </c>
      <c r="W16" s="1">
        <f t="shared" ref="W16:W18" si="10">V16/L16</f>
        <v>0.16186688571929</v>
      </c>
      <c r="X16" s="1">
        <f t="shared" ref="X16:X18" si="11">T16</f>
        <v>106.38297872340426</v>
      </c>
      <c r="Y16" s="1">
        <f t="shared" ref="Y16:Y18" si="12">X16+1</f>
        <v>107.38297872340426</v>
      </c>
      <c r="Z16" s="1">
        <v>0.4</v>
      </c>
      <c r="AA16" s="1">
        <v>5</v>
      </c>
      <c r="AD16" s="1">
        <f t="shared" si="6"/>
        <v>0</v>
      </c>
      <c r="AF16" s="1" t="s">
        <v>200</v>
      </c>
    </row>
    <row r="17" spans="1:34" x14ac:dyDescent="0.3">
      <c r="A17" s="18" t="s">
        <v>62</v>
      </c>
      <c r="B17" s="18" t="s">
        <v>123</v>
      </c>
      <c r="C17" s="18" t="s">
        <v>12</v>
      </c>
      <c r="D17" s="18" t="s">
        <v>7</v>
      </c>
      <c r="E17" s="18" t="s">
        <v>11</v>
      </c>
      <c r="F17" s="1" t="s">
        <v>175</v>
      </c>
      <c r="G17" s="1">
        <v>0.94</v>
      </c>
      <c r="H17" s="1">
        <v>114.64</v>
      </c>
      <c r="K17" s="4">
        <f>H17/G17</f>
        <v>121.95744680851064</v>
      </c>
      <c r="L17" s="3">
        <v>0.65529599999999999</v>
      </c>
      <c r="M17" s="3">
        <v>-1.28111</v>
      </c>
      <c r="N17" s="1">
        <v>84</v>
      </c>
      <c r="P17" s="4">
        <f>N17/G17</f>
        <v>89.361702127659584</v>
      </c>
      <c r="Q17" s="1">
        <v>39</v>
      </c>
      <c r="R17" s="5">
        <v>2.2000000000000001E-3</v>
      </c>
      <c r="S17" s="5">
        <v>3</v>
      </c>
      <c r="T17" s="1">
        <f t="shared" si="7"/>
        <v>89.361702127659584</v>
      </c>
      <c r="U17" s="1">
        <f t="shared" si="8"/>
        <v>90.361702127659584</v>
      </c>
      <c r="V17" s="6">
        <f t="shared" si="9"/>
        <v>8.2535277560723097E-2</v>
      </c>
      <c r="W17" s="1">
        <f t="shared" si="10"/>
        <v>0.12595113896731111</v>
      </c>
      <c r="X17" s="1">
        <f t="shared" si="11"/>
        <v>89.361702127659584</v>
      </c>
      <c r="Y17" s="1">
        <f t="shared" si="12"/>
        <v>90.361702127659584</v>
      </c>
      <c r="Z17" s="1">
        <v>0.4</v>
      </c>
      <c r="AA17" s="1">
        <v>5</v>
      </c>
      <c r="AD17" s="1">
        <f t="shared" si="6"/>
        <v>0</v>
      </c>
      <c r="AF17" s="1" t="s">
        <v>200</v>
      </c>
    </row>
    <row r="18" spans="1:34" x14ac:dyDescent="0.3">
      <c r="A18" s="18" t="s">
        <v>62</v>
      </c>
      <c r="B18" s="18" t="s">
        <v>123</v>
      </c>
      <c r="C18" s="18" t="s">
        <v>12</v>
      </c>
      <c r="D18" s="18" t="s">
        <v>7</v>
      </c>
      <c r="E18" s="18" t="s">
        <v>11</v>
      </c>
      <c r="J18" s="1">
        <v>145.19999999999999</v>
      </c>
      <c r="K18" s="12"/>
      <c r="L18" s="3">
        <v>0.42299999999999999</v>
      </c>
      <c r="M18" s="3">
        <v>-0.51</v>
      </c>
      <c r="P18" s="4">
        <f>(P16+P17)/2</f>
        <v>97.872340425531917</v>
      </c>
      <c r="Q18" s="1">
        <v>39</v>
      </c>
      <c r="R18" s="5">
        <v>2.2000000000000001E-3</v>
      </c>
      <c r="S18" s="5">
        <v>3</v>
      </c>
      <c r="T18" s="1">
        <f t="shared" si="7"/>
        <v>97.872340425531917</v>
      </c>
      <c r="U18" s="1">
        <f t="shared" si="8"/>
        <v>98.872340425531917</v>
      </c>
      <c r="V18" s="6">
        <f t="shared" si="9"/>
        <v>8.2535277560723097E-2</v>
      </c>
      <c r="W18" s="1">
        <f t="shared" si="10"/>
        <v>0.19511885948161489</v>
      </c>
      <c r="X18" s="1">
        <f t="shared" si="11"/>
        <v>97.872340425531917</v>
      </c>
      <c r="Y18" s="1">
        <f t="shared" si="12"/>
        <v>98.872340425531917</v>
      </c>
      <c r="Z18" s="1">
        <v>0.4</v>
      </c>
      <c r="AA18" s="1">
        <v>5</v>
      </c>
      <c r="AD18" s="1">
        <f t="shared" si="6"/>
        <v>0</v>
      </c>
      <c r="AF18" s="1" t="s">
        <v>82</v>
      </c>
    </row>
    <row r="19" spans="1:34" x14ac:dyDescent="0.3">
      <c r="A19" s="18" t="s">
        <v>65</v>
      </c>
      <c r="B19" s="17" t="s">
        <v>124</v>
      </c>
      <c r="C19" s="17" t="s">
        <v>113</v>
      </c>
      <c r="D19" s="18" t="s">
        <v>19</v>
      </c>
      <c r="E19" s="18" t="s">
        <v>24</v>
      </c>
      <c r="G19" s="1">
        <v>0.84</v>
      </c>
      <c r="H19" s="1">
        <v>975</v>
      </c>
      <c r="K19" s="1">
        <v>1161</v>
      </c>
      <c r="L19" s="3">
        <v>0.6</v>
      </c>
      <c r="M19" s="3">
        <v>0</v>
      </c>
      <c r="N19" s="1">
        <v>640</v>
      </c>
      <c r="P19" s="1">
        <v>762</v>
      </c>
      <c r="Q19" s="1">
        <v>13</v>
      </c>
      <c r="R19" s="5">
        <v>1.35E-2</v>
      </c>
      <c r="S19" s="5">
        <v>2.92</v>
      </c>
      <c r="T19" s="1">
        <f t="shared" ref="T19:T36" si="13">P19</f>
        <v>762</v>
      </c>
      <c r="U19" s="1">
        <f t="shared" ref="U19:U36" si="14">T19+1</f>
        <v>763</v>
      </c>
      <c r="V19" s="6">
        <f t="shared" ref="V19:V36" si="15">-(LN(0.04))/Q19</f>
        <v>0.24760583268216926</v>
      </c>
      <c r="W19" s="1">
        <f t="shared" ref="W19:W36" si="16">V19/L19</f>
        <v>0.41267638780361543</v>
      </c>
      <c r="X19" s="1">
        <f>T19</f>
        <v>762</v>
      </c>
      <c r="Y19" s="1">
        <f t="shared" ref="Y19:Y24" si="17">X19+1</f>
        <v>763</v>
      </c>
      <c r="Z19" s="1">
        <v>0.4</v>
      </c>
      <c r="AA19" s="1">
        <v>5</v>
      </c>
      <c r="AC19"/>
      <c r="AD19">
        <f t="shared" si="6"/>
        <v>0</v>
      </c>
      <c r="AH19" s="1" t="s">
        <v>196</v>
      </c>
    </row>
    <row r="20" spans="1:34" x14ac:dyDescent="0.3">
      <c r="A20" s="18" t="s">
        <v>64</v>
      </c>
      <c r="B20" s="17" t="s">
        <v>125</v>
      </c>
      <c r="C20" s="17" t="s">
        <v>186</v>
      </c>
      <c r="D20" s="18" t="s">
        <v>29</v>
      </c>
      <c r="E20" s="18" t="s">
        <v>31</v>
      </c>
      <c r="K20" s="1">
        <v>340</v>
      </c>
      <c r="L20" s="3">
        <v>0.28999999999999998</v>
      </c>
      <c r="M20" s="3">
        <v>-1.37</v>
      </c>
      <c r="P20" s="1">
        <v>200</v>
      </c>
      <c r="Q20" s="1">
        <v>8</v>
      </c>
      <c r="R20" s="5">
        <v>8.4200000000000004E-3</v>
      </c>
      <c r="S20" s="5">
        <v>3.2469600000000001</v>
      </c>
      <c r="T20" s="1">
        <f t="shared" si="13"/>
        <v>200</v>
      </c>
      <c r="U20" s="1">
        <f t="shared" si="14"/>
        <v>201</v>
      </c>
      <c r="V20" s="6">
        <f t="shared" si="15"/>
        <v>0.40235947810852507</v>
      </c>
      <c r="W20" s="1">
        <f t="shared" si="16"/>
        <v>1.3874464762362935</v>
      </c>
      <c r="X20" s="1">
        <f>T20</f>
        <v>200</v>
      </c>
      <c r="Y20" s="1">
        <f t="shared" si="17"/>
        <v>201</v>
      </c>
      <c r="Z20" s="1">
        <v>0.4</v>
      </c>
      <c r="AA20" s="1">
        <v>5</v>
      </c>
      <c r="AC20">
        <v>0.36</v>
      </c>
      <c r="AD20">
        <f t="shared" si="6"/>
        <v>0.894722305765841</v>
      </c>
      <c r="AE20" s="1">
        <v>0.63</v>
      </c>
      <c r="AH20" s="1" t="s">
        <v>196</v>
      </c>
    </row>
    <row r="21" spans="1:34" x14ac:dyDescent="0.3">
      <c r="A21" s="18" t="s">
        <v>142</v>
      </c>
      <c r="B21" s="17" t="s">
        <v>126</v>
      </c>
      <c r="C21" s="19" t="s">
        <v>114</v>
      </c>
      <c r="D21" s="18" t="s">
        <v>32</v>
      </c>
      <c r="E21" s="18" t="s">
        <v>33</v>
      </c>
      <c r="K21" s="1">
        <v>609</v>
      </c>
      <c r="L21" s="3">
        <v>0.3</v>
      </c>
      <c r="M21" s="3">
        <v>-0.14000000000000001</v>
      </c>
      <c r="P21" s="1">
        <v>325</v>
      </c>
      <c r="Q21" s="1">
        <v>13</v>
      </c>
      <c r="R21" s="5">
        <v>1.085E-2</v>
      </c>
      <c r="S21" s="5">
        <v>3.089</v>
      </c>
      <c r="T21" s="1">
        <f t="shared" si="13"/>
        <v>325</v>
      </c>
      <c r="U21" s="1">
        <f t="shared" si="14"/>
        <v>326</v>
      </c>
      <c r="V21" s="6">
        <f t="shared" si="15"/>
        <v>0.24760583268216926</v>
      </c>
      <c r="W21" s="1">
        <f t="shared" si="16"/>
        <v>0.82535277560723086</v>
      </c>
      <c r="X21" s="1">
        <f>11*25.4</f>
        <v>279.39999999999998</v>
      </c>
      <c r="Y21" s="1">
        <f t="shared" si="17"/>
        <v>280.39999999999998</v>
      </c>
      <c r="Z21" s="1">
        <v>0.4</v>
      </c>
      <c r="AA21" s="1">
        <v>5</v>
      </c>
      <c r="AB21" s="1">
        <v>279</v>
      </c>
      <c r="AC21"/>
      <c r="AD21">
        <f t="shared" si="6"/>
        <v>0</v>
      </c>
      <c r="AH21" s="1" t="s">
        <v>196</v>
      </c>
    </row>
    <row r="22" spans="1:34" x14ac:dyDescent="0.3">
      <c r="A22" s="18" t="s">
        <v>63</v>
      </c>
      <c r="B22" s="17" t="s">
        <v>127</v>
      </c>
      <c r="C22" s="17" t="s">
        <v>191</v>
      </c>
      <c r="D22" s="18" t="s">
        <v>34</v>
      </c>
      <c r="E22" s="18" t="s">
        <v>35</v>
      </c>
      <c r="G22" s="1">
        <v>0.92</v>
      </c>
      <c r="H22" s="1">
        <v>342</v>
      </c>
      <c r="K22" s="1">
        <v>372</v>
      </c>
      <c r="L22" s="3">
        <v>0.56399999999999995</v>
      </c>
      <c r="M22" s="3">
        <v>-0.36</v>
      </c>
      <c r="N22" s="1">
        <v>183</v>
      </c>
      <c r="P22" s="1">
        <v>199</v>
      </c>
      <c r="Q22" s="1">
        <v>6</v>
      </c>
      <c r="R22" s="5">
        <v>8.6999999999999994E-3</v>
      </c>
      <c r="S22" s="5">
        <v>3.21</v>
      </c>
      <c r="T22" s="1">
        <f t="shared" si="13"/>
        <v>199</v>
      </c>
      <c r="U22" s="1">
        <f t="shared" si="14"/>
        <v>200</v>
      </c>
      <c r="V22" s="6">
        <f t="shared" si="15"/>
        <v>0.53647930414470013</v>
      </c>
      <c r="W22" s="1">
        <f t="shared" si="16"/>
        <v>0.95120443997287263</v>
      </c>
      <c r="X22" s="1">
        <f>7*25.4</f>
        <v>177.79999999999998</v>
      </c>
      <c r="Y22" s="1">
        <f t="shared" si="17"/>
        <v>178.79999999999998</v>
      </c>
      <c r="Z22" s="1">
        <v>0.4</v>
      </c>
      <c r="AA22" s="1">
        <v>5</v>
      </c>
      <c r="AC22">
        <v>0.42</v>
      </c>
      <c r="AD22">
        <f t="shared" si="6"/>
        <v>0.78288201754511089</v>
      </c>
      <c r="AE22" s="1">
        <v>0.61</v>
      </c>
      <c r="AH22" s="1" t="s">
        <v>196</v>
      </c>
    </row>
    <row r="23" spans="1:34" x14ac:dyDescent="0.3">
      <c r="A23" s="18" t="s">
        <v>63</v>
      </c>
      <c r="B23" s="17" t="s">
        <v>128</v>
      </c>
      <c r="C23" s="17" t="s">
        <v>190</v>
      </c>
      <c r="D23" s="18" t="s">
        <v>34</v>
      </c>
      <c r="E23" s="18" t="s">
        <v>36</v>
      </c>
      <c r="G23" s="1">
        <v>0.85</v>
      </c>
      <c r="H23" s="1">
        <v>227</v>
      </c>
      <c r="K23" s="1">
        <v>267</v>
      </c>
      <c r="L23" s="3">
        <v>1.3</v>
      </c>
      <c r="M23" s="3">
        <v>-1.1000000000000001</v>
      </c>
      <c r="N23" s="1">
        <v>175</v>
      </c>
      <c r="P23" s="1">
        <v>206</v>
      </c>
      <c r="Q23" s="1">
        <v>5</v>
      </c>
      <c r="R23" s="5">
        <v>1.67E-2</v>
      </c>
      <c r="S23" s="5">
        <v>2.96</v>
      </c>
      <c r="T23" s="1">
        <f t="shared" si="13"/>
        <v>206</v>
      </c>
      <c r="U23" s="1">
        <f t="shared" si="14"/>
        <v>207</v>
      </c>
      <c r="V23" s="6">
        <f t="shared" si="15"/>
        <v>0.64377516497364007</v>
      </c>
      <c r="W23" s="1">
        <f t="shared" si="16"/>
        <v>0.49521166536433847</v>
      </c>
      <c r="X23" s="1">
        <f>T23</f>
        <v>206</v>
      </c>
      <c r="Y23" s="1">
        <f t="shared" si="17"/>
        <v>207</v>
      </c>
      <c r="Z23" s="1">
        <v>0.4</v>
      </c>
      <c r="AA23" s="1">
        <v>5</v>
      </c>
      <c r="AC23">
        <v>0.01</v>
      </c>
      <c r="AD23">
        <f t="shared" si="6"/>
        <v>1.5533373363990298E-2</v>
      </c>
      <c r="AE23" s="1">
        <v>0.99</v>
      </c>
      <c r="AH23" s="1" t="s">
        <v>196</v>
      </c>
    </row>
    <row r="24" spans="1:34" x14ac:dyDescent="0.3">
      <c r="A24" s="18" t="s">
        <v>75</v>
      </c>
      <c r="B24" s="17" t="s">
        <v>129</v>
      </c>
      <c r="C24" s="17" t="s">
        <v>162</v>
      </c>
      <c r="D24" s="18" t="s">
        <v>27</v>
      </c>
      <c r="E24" s="18" t="s">
        <v>28</v>
      </c>
      <c r="I24" s="1">
        <v>0.78</v>
      </c>
      <c r="J24" s="1">
        <v>211</v>
      </c>
      <c r="K24" s="1">
        <v>271</v>
      </c>
      <c r="L24" s="3">
        <v>0.14749999999999999</v>
      </c>
      <c r="M24" s="3">
        <v>-4.4786000000000001</v>
      </c>
      <c r="P24" s="1">
        <v>175</v>
      </c>
      <c r="Q24" s="1">
        <v>27</v>
      </c>
      <c r="R24" s="5">
        <v>2.7689999999999999E-2</v>
      </c>
      <c r="S24" s="5">
        <v>3.0033599999999998</v>
      </c>
      <c r="T24" s="1">
        <f t="shared" si="13"/>
        <v>175</v>
      </c>
      <c r="U24" s="1">
        <f t="shared" si="14"/>
        <v>176</v>
      </c>
      <c r="V24" s="6">
        <f t="shared" si="15"/>
        <v>0.11921762314326668</v>
      </c>
      <c r="W24" s="1">
        <f t="shared" si="16"/>
        <v>0.80825507215774028</v>
      </c>
      <c r="X24" s="1">
        <f>T24</f>
        <v>175</v>
      </c>
      <c r="Y24" s="1">
        <f t="shared" si="17"/>
        <v>176</v>
      </c>
      <c r="Z24" s="1">
        <v>0.4</v>
      </c>
      <c r="AA24" s="1">
        <v>5</v>
      </c>
      <c r="AC24">
        <v>0.04</v>
      </c>
      <c r="AD24">
        <f t="shared" si="6"/>
        <v>0.33552086466219039</v>
      </c>
      <c r="AE24" s="1">
        <v>0.69</v>
      </c>
      <c r="AH24" s="1" t="s">
        <v>195</v>
      </c>
    </row>
    <row r="25" spans="1:34" x14ac:dyDescent="0.3">
      <c r="A25" s="18" t="s">
        <v>62</v>
      </c>
      <c r="B25" s="17" t="s">
        <v>130</v>
      </c>
      <c r="C25" s="17" t="s">
        <v>115</v>
      </c>
      <c r="D25" s="18" t="s">
        <v>7</v>
      </c>
      <c r="E25" s="18" t="s">
        <v>13</v>
      </c>
      <c r="I25" s="1">
        <v>0.93</v>
      </c>
      <c r="J25" s="1">
        <v>304</v>
      </c>
      <c r="K25" s="1">
        <v>327</v>
      </c>
      <c r="L25" s="3">
        <v>0.40200000000000002</v>
      </c>
      <c r="M25" s="3">
        <v>-0.21</v>
      </c>
      <c r="O25" s="1">
        <v>250</v>
      </c>
      <c r="P25" s="1">
        <v>269</v>
      </c>
      <c r="Q25" s="1">
        <v>25</v>
      </c>
      <c r="R25" s="5">
        <v>1.065E-2</v>
      </c>
      <c r="S25" s="5">
        <v>3.2429700000000001</v>
      </c>
      <c r="T25" s="1">
        <f t="shared" si="13"/>
        <v>269</v>
      </c>
      <c r="U25" s="1">
        <f t="shared" si="14"/>
        <v>270</v>
      </c>
      <c r="V25" s="6">
        <f t="shared" si="15"/>
        <v>0.12875503299472801</v>
      </c>
      <c r="W25" s="1">
        <f t="shared" si="16"/>
        <v>0.32028615172817915</v>
      </c>
      <c r="X25" s="1">
        <f>T25</f>
        <v>269</v>
      </c>
      <c r="Y25" s="1">
        <f>U25</f>
        <v>270</v>
      </c>
      <c r="Z25" s="1">
        <v>0.4</v>
      </c>
      <c r="AA25" s="1">
        <v>5</v>
      </c>
      <c r="AC25">
        <v>0.11</v>
      </c>
      <c r="AD25">
        <f t="shared" si="6"/>
        <v>0.85433553501946635</v>
      </c>
      <c r="AE25" s="1">
        <v>0.45</v>
      </c>
      <c r="AH25" s="1" t="s">
        <v>195</v>
      </c>
    </row>
    <row r="26" spans="1:34" x14ac:dyDescent="0.3">
      <c r="A26" s="18" t="s">
        <v>62</v>
      </c>
      <c r="B26" s="17" t="s">
        <v>131</v>
      </c>
      <c r="C26" s="17" t="s">
        <v>185</v>
      </c>
      <c r="D26" s="18" t="s">
        <v>7</v>
      </c>
      <c r="E26" s="18" t="s">
        <v>15</v>
      </c>
      <c r="I26" s="1">
        <v>0.88</v>
      </c>
      <c r="J26" s="1">
        <v>527</v>
      </c>
      <c r="K26" s="1">
        <v>599</v>
      </c>
      <c r="L26" s="3">
        <v>0.221</v>
      </c>
      <c r="M26" s="3">
        <v>-0.22</v>
      </c>
      <c r="O26" s="1">
        <v>450</v>
      </c>
      <c r="P26" s="1">
        <v>511</v>
      </c>
      <c r="Q26" s="1">
        <v>44</v>
      </c>
      <c r="R26" s="5">
        <v>4.24E-2</v>
      </c>
      <c r="S26" s="5">
        <v>2.8540000000000001</v>
      </c>
      <c r="T26" s="1">
        <f t="shared" si="13"/>
        <v>511</v>
      </c>
      <c r="U26" s="1">
        <f t="shared" si="14"/>
        <v>512</v>
      </c>
      <c r="V26" s="6">
        <f t="shared" si="15"/>
        <v>7.3156268747004552E-2</v>
      </c>
      <c r="W26" s="1">
        <f t="shared" si="16"/>
        <v>0.33102384048418348</v>
      </c>
      <c r="X26" s="1">
        <f>16*25.4</f>
        <v>406.4</v>
      </c>
      <c r="Y26" s="1">
        <f t="shared" ref="Y26:Y36" si="18">X26+1</f>
        <v>407.4</v>
      </c>
      <c r="Z26" s="1">
        <v>0.4</v>
      </c>
      <c r="AA26" s="1">
        <v>5</v>
      </c>
      <c r="AB26" s="1">
        <v>406</v>
      </c>
      <c r="AC26">
        <v>0.13</v>
      </c>
      <c r="AD26">
        <f t="shared" si="6"/>
        <v>1.7770179128404902</v>
      </c>
      <c r="AE26" s="1">
        <v>0.23</v>
      </c>
      <c r="AH26" s="1" t="s">
        <v>195</v>
      </c>
    </row>
    <row r="27" spans="1:34" x14ac:dyDescent="0.3">
      <c r="A27" s="18" t="s">
        <v>62</v>
      </c>
      <c r="B27" s="17" t="s">
        <v>132</v>
      </c>
      <c r="C27" s="17" t="s">
        <v>189</v>
      </c>
      <c r="D27" s="18" t="s">
        <v>7</v>
      </c>
      <c r="E27" s="18" t="s">
        <v>16</v>
      </c>
      <c r="G27" s="1">
        <v>1</v>
      </c>
      <c r="H27" s="1">
        <v>256</v>
      </c>
      <c r="K27" s="1">
        <v>256</v>
      </c>
      <c r="L27" s="3">
        <v>0.34079999999999999</v>
      </c>
      <c r="M27" s="3">
        <v>-0.66</v>
      </c>
      <c r="N27" s="1">
        <v>199</v>
      </c>
      <c r="P27" s="1">
        <v>199</v>
      </c>
      <c r="Q27" s="1">
        <v>25</v>
      </c>
      <c r="R27" s="5">
        <v>4.9700000000000001E-2</v>
      </c>
      <c r="S27" s="5">
        <v>2.839</v>
      </c>
      <c r="T27" s="1">
        <f t="shared" si="13"/>
        <v>199</v>
      </c>
      <c r="U27" s="1">
        <f t="shared" si="14"/>
        <v>200</v>
      </c>
      <c r="V27" s="6">
        <f t="shared" si="15"/>
        <v>0.12875503299472801</v>
      </c>
      <c r="W27" s="1">
        <f t="shared" si="16"/>
        <v>0.37780232686246484</v>
      </c>
      <c r="X27" s="1">
        <f>T27</f>
        <v>199</v>
      </c>
      <c r="Y27" s="1">
        <f t="shared" si="18"/>
        <v>200</v>
      </c>
      <c r="Z27" s="1">
        <v>0.4</v>
      </c>
      <c r="AA27" s="1">
        <v>5</v>
      </c>
      <c r="AC27">
        <v>0.21</v>
      </c>
      <c r="AD27">
        <f t="shared" si="6"/>
        <v>1.6310042032189811</v>
      </c>
      <c r="AE27" s="1">
        <v>0.3</v>
      </c>
      <c r="AH27" s="1" t="s">
        <v>195</v>
      </c>
    </row>
    <row r="28" spans="1:34" x14ac:dyDescent="0.3">
      <c r="A28" s="18" t="s">
        <v>62</v>
      </c>
      <c r="B28" s="17" t="s">
        <v>164</v>
      </c>
      <c r="C28" s="17" t="s">
        <v>14</v>
      </c>
      <c r="D28" s="18" t="s">
        <v>7</v>
      </c>
      <c r="E28" s="18" t="s">
        <v>17</v>
      </c>
      <c r="G28" s="1">
        <v>1</v>
      </c>
      <c r="H28" s="1">
        <v>480</v>
      </c>
      <c r="K28" s="1">
        <v>480</v>
      </c>
      <c r="L28" s="3">
        <v>0.44</v>
      </c>
      <c r="M28" s="3">
        <v>-0.12</v>
      </c>
      <c r="N28" s="1">
        <v>355</v>
      </c>
      <c r="P28" s="1">
        <v>355</v>
      </c>
      <c r="Q28" s="1">
        <v>50</v>
      </c>
      <c r="R28" s="5">
        <v>1.788E-2</v>
      </c>
      <c r="S28" s="5">
        <v>3.03545</v>
      </c>
      <c r="T28" s="1">
        <f t="shared" si="13"/>
        <v>355</v>
      </c>
      <c r="U28" s="1">
        <f t="shared" si="14"/>
        <v>356</v>
      </c>
      <c r="V28" s="6">
        <f t="shared" si="15"/>
        <v>6.4377516497364007E-2</v>
      </c>
      <c r="W28" s="1">
        <f t="shared" si="16"/>
        <v>0.1463125374940091</v>
      </c>
      <c r="X28" s="1">
        <f>14*25.4</f>
        <v>355.59999999999997</v>
      </c>
      <c r="Y28" s="1">
        <f t="shared" si="18"/>
        <v>356.59999999999997</v>
      </c>
      <c r="Z28" s="1">
        <v>0.4</v>
      </c>
      <c r="AA28" s="1">
        <v>5</v>
      </c>
      <c r="AB28" s="1">
        <v>356</v>
      </c>
      <c r="AC28">
        <v>0.25</v>
      </c>
      <c r="AD28">
        <f t="shared" si="6"/>
        <v>3.8833433409975742</v>
      </c>
      <c r="AE28" s="1">
        <v>0.08</v>
      </c>
      <c r="AH28" s="1" t="s">
        <v>195</v>
      </c>
    </row>
    <row r="29" spans="1:34" x14ac:dyDescent="0.3">
      <c r="A29" s="18" t="s">
        <v>63</v>
      </c>
      <c r="B29" s="17" t="s">
        <v>133</v>
      </c>
      <c r="C29" s="17" t="s">
        <v>38</v>
      </c>
      <c r="D29" s="18" t="s">
        <v>34</v>
      </c>
      <c r="E29" s="18" t="s">
        <v>37</v>
      </c>
      <c r="G29" s="1">
        <v>0.9</v>
      </c>
      <c r="H29" s="1">
        <v>303</v>
      </c>
      <c r="K29" s="1">
        <v>337</v>
      </c>
      <c r="L29" s="3">
        <v>0.75555000000000005</v>
      </c>
      <c r="M29" s="3">
        <v>-0.13500000000000001</v>
      </c>
      <c r="N29" s="1">
        <v>148</v>
      </c>
      <c r="P29" s="1">
        <v>164</v>
      </c>
      <c r="Q29" s="1">
        <v>5</v>
      </c>
      <c r="R29" s="5">
        <v>1.136E-2</v>
      </c>
      <c r="S29" s="5">
        <v>3.21082</v>
      </c>
      <c r="T29" s="1">
        <f t="shared" si="13"/>
        <v>164</v>
      </c>
      <c r="U29" s="1">
        <f t="shared" si="14"/>
        <v>165</v>
      </c>
      <c r="V29" s="6">
        <f t="shared" si="15"/>
        <v>0.64377516497364007</v>
      </c>
      <c r="W29" s="1">
        <f t="shared" si="16"/>
        <v>0.85206163056533657</v>
      </c>
      <c r="X29" s="1">
        <f>7*25.4</f>
        <v>177.79999999999998</v>
      </c>
      <c r="Y29" s="1">
        <f t="shared" si="18"/>
        <v>178.79999999999998</v>
      </c>
      <c r="Z29" s="1">
        <v>0.4</v>
      </c>
      <c r="AA29" s="1">
        <v>5</v>
      </c>
      <c r="AB29" s="1">
        <v>179</v>
      </c>
      <c r="AC29"/>
      <c r="AD29">
        <f t="shared" si="6"/>
        <v>0</v>
      </c>
      <c r="AH29" s="1" t="s">
        <v>195</v>
      </c>
    </row>
    <row r="30" spans="1:34" x14ac:dyDescent="0.3">
      <c r="A30" s="18" t="s">
        <v>63</v>
      </c>
      <c r="B30" s="17" t="s">
        <v>134</v>
      </c>
      <c r="C30" s="17" t="s">
        <v>165</v>
      </c>
      <c r="D30" s="18" t="s">
        <v>34</v>
      </c>
      <c r="E30" s="18" t="s">
        <v>39</v>
      </c>
      <c r="G30" s="1">
        <v>0.9</v>
      </c>
      <c r="H30" s="1">
        <v>492</v>
      </c>
      <c r="K30" s="1">
        <v>547</v>
      </c>
      <c r="L30" s="3">
        <v>0.53800000000000003</v>
      </c>
      <c r="M30" s="3">
        <v>-0.44600000000000001</v>
      </c>
      <c r="N30" s="1">
        <v>238</v>
      </c>
      <c r="P30" s="1">
        <v>264</v>
      </c>
      <c r="Q30" s="1">
        <v>6</v>
      </c>
      <c r="R30" s="5">
        <v>1.136E-2</v>
      </c>
      <c r="S30" s="5">
        <v>3.21082</v>
      </c>
      <c r="T30" s="1">
        <f t="shared" si="13"/>
        <v>264</v>
      </c>
      <c r="U30" s="1">
        <f t="shared" si="14"/>
        <v>265</v>
      </c>
      <c r="V30" s="6">
        <f t="shared" si="15"/>
        <v>0.53647930414470013</v>
      </c>
      <c r="W30" s="1">
        <f t="shared" si="16"/>
        <v>0.99717342777825302</v>
      </c>
      <c r="X30" s="1">
        <f>10*25.4</f>
        <v>254</v>
      </c>
      <c r="Y30" s="1">
        <f t="shared" si="18"/>
        <v>255</v>
      </c>
      <c r="Z30" s="1">
        <v>0.4</v>
      </c>
      <c r="AA30" s="1">
        <v>5</v>
      </c>
      <c r="AB30" s="1">
        <v>254</v>
      </c>
      <c r="AC30">
        <v>1.32</v>
      </c>
      <c r="AD30">
        <f t="shared" si="6"/>
        <v>2.4604863408560629</v>
      </c>
      <c r="AE30" s="1">
        <v>0.14000000000000001</v>
      </c>
      <c r="AH30" s="1" t="s">
        <v>195</v>
      </c>
    </row>
    <row r="31" spans="1:34" x14ac:dyDescent="0.3">
      <c r="A31" s="18" t="s">
        <v>65</v>
      </c>
      <c r="B31" s="17" t="s">
        <v>135</v>
      </c>
      <c r="C31" s="17" t="s">
        <v>116</v>
      </c>
      <c r="D31" s="18" t="s">
        <v>19</v>
      </c>
      <c r="E31" s="18" t="s">
        <v>25</v>
      </c>
      <c r="G31" s="1">
        <v>0.9</v>
      </c>
      <c r="H31" s="1">
        <v>1232</v>
      </c>
      <c r="K31" s="1">
        <v>1369</v>
      </c>
      <c r="L31" s="3">
        <v>0.307</v>
      </c>
      <c r="M31" s="3">
        <v>-0.77</v>
      </c>
      <c r="P31" s="1">
        <v>289</v>
      </c>
      <c r="Q31" s="1">
        <v>7</v>
      </c>
      <c r="R31" s="5">
        <v>2.7099999999999999E-2</v>
      </c>
      <c r="S31" s="5">
        <v>2.88598</v>
      </c>
      <c r="T31" s="1">
        <f t="shared" si="13"/>
        <v>289</v>
      </c>
      <c r="U31" s="1">
        <f t="shared" si="14"/>
        <v>290</v>
      </c>
      <c r="V31" s="6">
        <f t="shared" si="15"/>
        <v>0.45983940355260006</v>
      </c>
      <c r="W31" s="1">
        <f t="shared" si="16"/>
        <v>1.4978482200410426</v>
      </c>
      <c r="X31" s="1">
        <f>T31</f>
        <v>289</v>
      </c>
      <c r="Y31" s="1">
        <f t="shared" si="18"/>
        <v>290</v>
      </c>
      <c r="Z31" s="1">
        <v>0.4</v>
      </c>
      <c r="AA31" s="1">
        <v>5</v>
      </c>
      <c r="AC31"/>
      <c r="AD31">
        <f t="shared" si="6"/>
        <v>0</v>
      </c>
      <c r="AH31" s="1" t="s">
        <v>195</v>
      </c>
    </row>
    <row r="32" spans="1:34" x14ac:dyDescent="0.3">
      <c r="A32" s="18" t="s">
        <v>61</v>
      </c>
      <c r="B32" s="17" t="s">
        <v>136</v>
      </c>
      <c r="C32" s="17" t="s">
        <v>43</v>
      </c>
      <c r="D32" s="18" t="s">
        <v>40</v>
      </c>
      <c r="E32" s="18" t="s">
        <v>42</v>
      </c>
      <c r="G32" s="1">
        <v>0.97</v>
      </c>
      <c r="I32" s="1">
        <v>0.78</v>
      </c>
      <c r="J32" s="1">
        <v>217</v>
      </c>
      <c r="K32" s="1">
        <v>278</v>
      </c>
      <c r="L32" s="3">
        <v>1.653</v>
      </c>
      <c r="M32" s="3">
        <v>-0.28999999999999998</v>
      </c>
      <c r="N32" s="1">
        <v>190</v>
      </c>
      <c r="P32" s="1">
        <v>196</v>
      </c>
      <c r="Q32" s="1">
        <v>6</v>
      </c>
      <c r="R32" s="5">
        <v>1.0449999999999999E-2</v>
      </c>
      <c r="S32" s="5">
        <v>3.3187099999999998</v>
      </c>
      <c r="T32" s="1">
        <f t="shared" si="13"/>
        <v>196</v>
      </c>
      <c r="U32" s="1">
        <f t="shared" si="14"/>
        <v>197</v>
      </c>
      <c r="V32" s="6">
        <f t="shared" si="15"/>
        <v>0.53647930414470013</v>
      </c>
      <c r="W32" s="1">
        <f t="shared" si="16"/>
        <v>0.3245488833301271</v>
      </c>
      <c r="X32" s="1">
        <f>12*25.4</f>
        <v>304.79999999999995</v>
      </c>
      <c r="Y32" s="1">
        <f t="shared" si="18"/>
        <v>305.79999999999995</v>
      </c>
      <c r="Z32" s="1">
        <v>0.4</v>
      </c>
      <c r="AA32" s="1">
        <v>5</v>
      </c>
      <c r="AB32" s="1">
        <v>305</v>
      </c>
      <c r="AC32" s="1">
        <v>0.16</v>
      </c>
      <c r="AD32">
        <f t="shared" si="6"/>
        <v>0.29824076858861365</v>
      </c>
      <c r="AE32" s="1">
        <v>0.77</v>
      </c>
      <c r="AH32" s="1" t="s">
        <v>195</v>
      </c>
    </row>
    <row r="33" spans="1:34" x14ac:dyDescent="0.3">
      <c r="A33" s="18" t="s">
        <v>61</v>
      </c>
      <c r="B33" s="17" t="s">
        <v>137</v>
      </c>
      <c r="C33" s="17" t="s">
        <v>187</v>
      </c>
      <c r="D33" s="18" t="s">
        <v>40</v>
      </c>
      <c r="E33" s="18" t="s">
        <v>44</v>
      </c>
      <c r="G33" s="1">
        <v>0.91</v>
      </c>
      <c r="H33" s="1">
        <v>512</v>
      </c>
      <c r="K33" s="1">
        <v>563</v>
      </c>
      <c r="L33" s="3">
        <v>0.28799999999999998</v>
      </c>
      <c r="M33" s="3">
        <v>-0.80900000000000005</v>
      </c>
      <c r="N33" s="1">
        <v>340</v>
      </c>
      <c r="P33" s="1">
        <v>374</v>
      </c>
      <c r="Q33" s="1">
        <v>22</v>
      </c>
      <c r="R33" s="5">
        <v>1.3599999999999999E-2</v>
      </c>
      <c r="S33" s="5">
        <v>3.109</v>
      </c>
      <c r="T33" s="1">
        <f t="shared" si="13"/>
        <v>374</v>
      </c>
      <c r="U33" s="1">
        <f t="shared" si="14"/>
        <v>375</v>
      </c>
      <c r="V33" s="6">
        <f t="shared" si="15"/>
        <v>0.1463125374940091</v>
      </c>
      <c r="W33" s="1">
        <f t="shared" si="16"/>
        <v>0.50802964407642048</v>
      </c>
      <c r="X33" s="1">
        <f>12*25.4</f>
        <v>304.79999999999995</v>
      </c>
      <c r="Y33" s="1">
        <f t="shared" si="18"/>
        <v>305.79999999999995</v>
      </c>
      <c r="Z33" s="1">
        <v>0.4</v>
      </c>
      <c r="AA33" s="1">
        <v>5</v>
      </c>
      <c r="AB33" s="1">
        <v>305</v>
      </c>
      <c r="AC33">
        <v>0.2</v>
      </c>
      <c r="AD33">
        <f t="shared" si="6"/>
        <v>1.3669368560311463</v>
      </c>
      <c r="AE33" s="1">
        <v>0.27</v>
      </c>
      <c r="AH33" s="1" t="s">
        <v>195</v>
      </c>
    </row>
    <row r="34" spans="1:34" x14ac:dyDescent="0.3">
      <c r="A34" s="18" t="s">
        <v>65</v>
      </c>
      <c r="B34" s="17" t="s">
        <v>138</v>
      </c>
      <c r="C34" s="17" t="s">
        <v>117</v>
      </c>
      <c r="D34" s="18" t="s">
        <v>19</v>
      </c>
      <c r="E34" s="18" t="s">
        <v>26</v>
      </c>
      <c r="K34" s="1">
        <v>1272</v>
      </c>
      <c r="L34" s="3">
        <v>0.22720000000000001</v>
      </c>
      <c r="M34" s="3">
        <v>-0.79310000000000003</v>
      </c>
      <c r="P34" s="1">
        <v>910</v>
      </c>
      <c r="Q34" s="1">
        <v>15</v>
      </c>
      <c r="R34" s="5">
        <v>2.4E-2</v>
      </c>
      <c r="S34" s="5">
        <v>2.86</v>
      </c>
      <c r="T34" s="1">
        <f t="shared" si="13"/>
        <v>910</v>
      </c>
      <c r="U34" s="1">
        <f t="shared" si="14"/>
        <v>911</v>
      </c>
      <c r="V34" s="6">
        <f t="shared" si="15"/>
        <v>0.21459172165788004</v>
      </c>
      <c r="W34" s="1">
        <f t="shared" si="16"/>
        <v>0.94450581715616211</v>
      </c>
      <c r="X34" s="1">
        <f>T34</f>
        <v>910</v>
      </c>
      <c r="Y34" s="1">
        <f t="shared" si="18"/>
        <v>911</v>
      </c>
      <c r="Z34" s="1">
        <v>0.4</v>
      </c>
      <c r="AA34" s="1">
        <v>5</v>
      </c>
      <c r="AC34">
        <v>0.14000000000000001</v>
      </c>
      <c r="AD34">
        <f t="shared" si="6"/>
        <v>0.65240168128759246</v>
      </c>
      <c r="AE34" s="1">
        <v>36</v>
      </c>
      <c r="AH34" s="1" t="s">
        <v>195</v>
      </c>
    </row>
    <row r="35" spans="1:34" x14ac:dyDescent="0.3">
      <c r="A35" s="18" t="s">
        <v>141</v>
      </c>
      <c r="B35" s="17" t="s">
        <v>139</v>
      </c>
      <c r="C35" s="17" t="s">
        <v>163</v>
      </c>
      <c r="D35" s="18" t="s">
        <v>47</v>
      </c>
      <c r="E35" s="18" t="s">
        <v>48</v>
      </c>
      <c r="G35" s="1">
        <v>0.89</v>
      </c>
      <c r="H35" s="1">
        <v>1236</v>
      </c>
      <c r="K35" s="1">
        <v>1389</v>
      </c>
      <c r="L35" s="3">
        <v>0.26</v>
      </c>
      <c r="M35" s="3">
        <v>-0.71</v>
      </c>
      <c r="N35" s="1">
        <v>780</v>
      </c>
      <c r="P35" s="1">
        <v>876</v>
      </c>
      <c r="Q35" s="1">
        <v>19</v>
      </c>
      <c r="R35" s="5">
        <v>6.1700000000000001E-3</v>
      </c>
      <c r="S35" s="5">
        <v>3.0109499999999998</v>
      </c>
      <c r="T35" s="1">
        <f t="shared" si="13"/>
        <v>876</v>
      </c>
      <c r="U35" s="1">
        <f t="shared" si="14"/>
        <v>877</v>
      </c>
      <c r="V35" s="6">
        <f t="shared" si="15"/>
        <v>0.16941451709832633</v>
      </c>
      <c r="W35" s="1">
        <f t="shared" si="16"/>
        <v>0.65159429653202439</v>
      </c>
      <c r="X35" s="1">
        <f>T35</f>
        <v>876</v>
      </c>
      <c r="Y35" s="1">
        <f t="shared" si="18"/>
        <v>877</v>
      </c>
      <c r="Z35" s="1">
        <v>0.4</v>
      </c>
      <c r="AA35" s="1">
        <v>5</v>
      </c>
      <c r="AC35"/>
      <c r="AD35">
        <f t="shared" si="6"/>
        <v>0</v>
      </c>
      <c r="AH35" s="1" t="s">
        <v>195</v>
      </c>
    </row>
    <row r="36" spans="1:34" x14ac:dyDescent="0.3">
      <c r="A36" s="18" t="s">
        <v>62</v>
      </c>
      <c r="B36" s="18" t="s">
        <v>140</v>
      </c>
      <c r="C36" s="18" t="s">
        <v>166</v>
      </c>
      <c r="D36" s="18" t="s">
        <v>7</v>
      </c>
      <c r="E36" s="18" t="s">
        <v>18</v>
      </c>
      <c r="K36" s="1">
        <v>180</v>
      </c>
      <c r="L36" s="3">
        <v>0.27500000000000002</v>
      </c>
      <c r="M36" s="3">
        <v>-1.2</v>
      </c>
      <c r="O36" s="1">
        <v>118</v>
      </c>
      <c r="P36" s="12"/>
      <c r="Q36" s="1">
        <v>41</v>
      </c>
      <c r="R36" s="5">
        <v>1.4800000000000001E-2</v>
      </c>
      <c r="S36" s="5">
        <v>3.16</v>
      </c>
      <c r="T36" s="1">
        <f t="shared" si="13"/>
        <v>0</v>
      </c>
      <c r="U36" s="1">
        <f t="shared" si="14"/>
        <v>1</v>
      </c>
      <c r="V36" s="6">
        <f t="shared" si="15"/>
        <v>7.8509166460200008E-2</v>
      </c>
      <c r="W36" s="1">
        <f t="shared" si="16"/>
        <v>0.28548787803709091</v>
      </c>
      <c r="X36" s="1">
        <f>2*25.4</f>
        <v>50.8</v>
      </c>
      <c r="Y36" s="1">
        <f t="shared" si="18"/>
        <v>51.8</v>
      </c>
      <c r="Z36" s="1">
        <v>0.4</v>
      </c>
      <c r="AA36" s="1">
        <v>5</v>
      </c>
      <c r="AD36" s="1">
        <f t="shared" si="6"/>
        <v>0</v>
      </c>
      <c r="AH36" s="1" t="s">
        <v>195</v>
      </c>
    </row>
    <row r="37" spans="1:34" x14ac:dyDescent="0.3">
      <c r="A37" s="18" t="s">
        <v>61</v>
      </c>
      <c r="B37" s="18" t="s">
        <v>197</v>
      </c>
      <c r="C37" s="18" t="s">
        <v>198</v>
      </c>
      <c r="D37" s="18" t="s">
        <v>40</v>
      </c>
      <c r="E37" s="1" t="s">
        <v>84</v>
      </c>
      <c r="AH37" s="1" t="s">
        <v>195</v>
      </c>
    </row>
    <row r="38" spans="1:34" x14ac:dyDescent="0.3">
      <c r="A38" s="18" t="s">
        <v>61</v>
      </c>
      <c r="B38" s="18" t="s">
        <v>199</v>
      </c>
      <c r="C38" s="18"/>
      <c r="D38" s="18" t="s">
        <v>40</v>
      </c>
      <c r="E38" s="1" t="s">
        <v>60</v>
      </c>
      <c r="AH38" s="1" t="s">
        <v>195</v>
      </c>
    </row>
  </sheetData>
  <sortState xmlns:xlrd2="http://schemas.microsoft.com/office/spreadsheetml/2017/richdata2" ref="A2:AH38">
    <sortCondition ref="E1"/>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FE605-41FE-CB4E-AAB5-16EDBBFA9E22}">
  <dimension ref="A1:AH16"/>
  <sheetViews>
    <sheetView tabSelected="1" workbookViewId="0">
      <selection activeCell="E16" sqref="E16"/>
    </sheetView>
  </sheetViews>
  <sheetFormatPr defaultColWidth="14.19921875" defaultRowHeight="15.6" x14ac:dyDescent="0.3"/>
  <cols>
    <col min="1" max="1" width="14.19921875" style="1"/>
    <col min="2" max="2" width="22.09765625" style="1" customWidth="1"/>
    <col min="3" max="3" width="14.3984375" style="1" customWidth="1"/>
    <col min="4" max="4" width="17.59765625" style="1" customWidth="1"/>
    <col min="5" max="5" width="26.5" style="1" customWidth="1"/>
    <col min="6" max="11" width="14.19921875" style="1"/>
    <col min="12" max="12" width="14.296875" style="1" customWidth="1"/>
    <col min="13" max="31" width="14.19921875" style="1"/>
    <col min="32" max="32" width="14.19921875" style="1" customWidth="1"/>
    <col min="33" max="16384" width="14.19921875" style="1"/>
  </cols>
  <sheetData>
    <row r="1" spans="1:34" x14ac:dyDescent="0.3">
      <c r="A1" s="18" t="s">
        <v>143</v>
      </c>
      <c r="B1" s="18" t="s">
        <v>144</v>
      </c>
      <c r="C1" s="18" t="s">
        <v>145</v>
      </c>
      <c r="D1" s="18" t="s">
        <v>146</v>
      </c>
      <c r="E1" s="18" t="s">
        <v>147</v>
      </c>
      <c r="F1" s="1" t="s">
        <v>168</v>
      </c>
      <c r="G1" s="1" t="s">
        <v>180</v>
      </c>
      <c r="H1" s="1" t="s">
        <v>1</v>
      </c>
      <c r="I1" s="1" t="s">
        <v>181</v>
      </c>
      <c r="J1" s="1" t="s">
        <v>2</v>
      </c>
      <c r="K1" s="2" t="s">
        <v>49</v>
      </c>
      <c r="L1" s="2" t="s">
        <v>3</v>
      </c>
      <c r="M1" s="2" t="s">
        <v>90</v>
      </c>
      <c r="N1" s="1" t="s">
        <v>4</v>
      </c>
      <c r="O1" s="1" t="s">
        <v>5</v>
      </c>
      <c r="P1" s="2" t="s">
        <v>6</v>
      </c>
      <c r="Q1" s="2" t="s">
        <v>182</v>
      </c>
      <c r="R1" s="2" t="s">
        <v>149</v>
      </c>
      <c r="S1" s="2" t="s">
        <v>150</v>
      </c>
      <c r="T1" s="2" t="s">
        <v>50</v>
      </c>
      <c r="U1" s="2" t="s">
        <v>51</v>
      </c>
      <c r="V1" s="2" t="s">
        <v>93</v>
      </c>
      <c r="W1" s="2" t="s">
        <v>148</v>
      </c>
      <c r="X1" s="16" t="s">
        <v>52</v>
      </c>
      <c r="Y1" s="16" t="s">
        <v>53</v>
      </c>
      <c r="Z1" s="2" t="s">
        <v>54</v>
      </c>
      <c r="AA1" s="2" t="s">
        <v>55</v>
      </c>
      <c r="AB1" s="1" t="s">
        <v>56</v>
      </c>
      <c r="AC1" s="13" t="s">
        <v>57</v>
      </c>
      <c r="AD1" s="13" t="s">
        <v>58</v>
      </c>
      <c r="AE1" s="13" t="s">
        <v>151</v>
      </c>
      <c r="AF1" s="7" t="s">
        <v>169</v>
      </c>
      <c r="AG1" s="7" t="s">
        <v>170</v>
      </c>
      <c r="AH1" s="7" t="s">
        <v>171</v>
      </c>
    </row>
    <row r="2" spans="1:34" x14ac:dyDescent="0.3">
      <c r="A2" s="18" t="s">
        <v>62</v>
      </c>
      <c r="B2" s="17" t="s">
        <v>66</v>
      </c>
      <c r="C2" s="18" t="s">
        <v>67</v>
      </c>
      <c r="D2" s="18" t="s">
        <v>7</v>
      </c>
      <c r="E2" s="18" t="s">
        <v>8</v>
      </c>
      <c r="I2" s="1">
        <v>0.76</v>
      </c>
      <c r="J2" s="1">
        <v>276</v>
      </c>
      <c r="K2" s="1">
        <v>363</v>
      </c>
      <c r="L2" s="3">
        <v>0.25</v>
      </c>
      <c r="M2" s="3">
        <v>-0.38</v>
      </c>
      <c r="O2" s="1">
        <v>210</v>
      </c>
      <c r="P2" s="1">
        <v>276</v>
      </c>
      <c r="Q2" s="1">
        <v>35</v>
      </c>
      <c r="R2" s="5">
        <v>2.5059999999999999E-2</v>
      </c>
      <c r="S2" s="5">
        <v>3.03193</v>
      </c>
      <c r="T2" s="1">
        <f t="shared" ref="T2:T16" si="0">P2</f>
        <v>276</v>
      </c>
      <c r="U2" s="1">
        <f t="shared" ref="U2:U16" si="1">T2+1</f>
        <v>277</v>
      </c>
      <c r="V2" s="6">
        <f t="shared" ref="V2:V16" si="2">-(LN(0.04))/Q2</f>
        <v>9.196788071052002E-2</v>
      </c>
      <c r="W2" s="1">
        <f t="shared" ref="W2:W16" si="3">V2/L2</f>
        <v>0.36787152284208008</v>
      </c>
      <c r="X2" s="1">
        <f>T2</f>
        <v>276</v>
      </c>
      <c r="Y2" s="1">
        <f t="shared" ref="Y2:Y16" si="4">X2+1</f>
        <v>277</v>
      </c>
      <c r="Z2" s="1">
        <v>0.4</v>
      </c>
      <c r="AA2" s="1">
        <v>5</v>
      </c>
      <c r="AC2">
        <v>0.27</v>
      </c>
      <c r="AD2">
        <f t="shared" ref="AD2:AD16" si="5">AC2/V2</f>
        <v>2.9358075657941662</v>
      </c>
      <c r="AE2" s="1">
        <v>0.16</v>
      </c>
      <c r="AH2" s="1" t="s">
        <v>196</v>
      </c>
    </row>
    <row r="3" spans="1:34" x14ac:dyDescent="0.3">
      <c r="A3" s="18" t="s">
        <v>62</v>
      </c>
      <c r="B3" s="18" t="s">
        <v>68</v>
      </c>
      <c r="C3" s="18" t="s">
        <v>69</v>
      </c>
      <c r="D3" s="18" t="s">
        <v>7</v>
      </c>
      <c r="E3" s="18" t="s">
        <v>9</v>
      </c>
      <c r="I3" s="1">
        <v>0.83</v>
      </c>
      <c r="J3" s="1">
        <v>308</v>
      </c>
      <c r="K3" s="1">
        <v>371</v>
      </c>
      <c r="L3" s="3">
        <v>0.29599999999999999</v>
      </c>
      <c r="M3" s="3">
        <v>-0.28999999999999998</v>
      </c>
      <c r="O3" s="1">
        <v>234</v>
      </c>
      <c r="P3" s="1">
        <v>282</v>
      </c>
      <c r="Q3" s="1">
        <v>28</v>
      </c>
      <c r="R3" s="5">
        <v>2.5100000000000001E-2</v>
      </c>
      <c r="S3" s="5">
        <v>3.032</v>
      </c>
      <c r="T3" s="1">
        <f t="shared" si="0"/>
        <v>282</v>
      </c>
      <c r="U3" s="1">
        <f t="shared" si="1"/>
        <v>283</v>
      </c>
      <c r="V3" s="6">
        <f t="shared" si="2"/>
        <v>0.11495985088815001</v>
      </c>
      <c r="W3" s="1">
        <f t="shared" si="3"/>
        <v>0.38837787462212847</v>
      </c>
      <c r="X3" s="1">
        <f>T3</f>
        <v>282</v>
      </c>
      <c r="Y3" s="1">
        <f t="shared" si="4"/>
        <v>283</v>
      </c>
      <c r="Z3" s="1">
        <v>0.4</v>
      </c>
      <c r="AA3" s="1">
        <v>5</v>
      </c>
      <c r="AC3">
        <v>0.18</v>
      </c>
      <c r="AD3">
        <f t="shared" si="5"/>
        <v>1.5657640350902218</v>
      </c>
      <c r="AE3" s="1">
        <v>0.32</v>
      </c>
      <c r="AH3" s="1" t="s">
        <v>196</v>
      </c>
    </row>
    <row r="4" spans="1:34" x14ac:dyDescent="0.3">
      <c r="A4" s="18" t="s">
        <v>62</v>
      </c>
      <c r="B4" s="18" t="s">
        <v>70</v>
      </c>
      <c r="C4" s="18" t="s">
        <v>67</v>
      </c>
      <c r="D4" s="18" t="s">
        <v>7</v>
      </c>
      <c r="E4" s="18" t="s">
        <v>10</v>
      </c>
      <c r="I4" s="1">
        <v>0.74</v>
      </c>
      <c r="J4" s="1">
        <v>426</v>
      </c>
      <c r="K4" s="1">
        <v>576</v>
      </c>
      <c r="L4" s="3">
        <v>0.28699999999999998</v>
      </c>
      <c r="M4" s="3">
        <v>-0.21</v>
      </c>
      <c r="O4" s="1">
        <v>367</v>
      </c>
      <c r="P4" s="1">
        <v>496</v>
      </c>
      <c r="Q4" s="1">
        <v>34</v>
      </c>
      <c r="R4" s="5">
        <v>2.673E-2</v>
      </c>
      <c r="S4" s="5">
        <v>2.9844900000000001</v>
      </c>
      <c r="T4" s="1">
        <f t="shared" si="0"/>
        <v>496</v>
      </c>
      <c r="U4" s="1">
        <f t="shared" si="1"/>
        <v>497</v>
      </c>
      <c r="V4" s="6">
        <f t="shared" si="2"/>
        <v>9.4672818378476492E-2</v>
      </c>
      <c r="W4" s="1">
        <f t="shared" si="3"/>
        <v>0.32987044731176479</v>
      </c>
      <c r="X4" s="1">
        <f>T4</f>
        <v>496</v>
      </c>
      <c r="Y4" s="1">
        <f t="shared" si="4"/>
        <v>497</v>
      </c>
      <c r="Z4" s="1">
        <v>0.4</v>
      </c>
      <c r="AA4" s="1">
        <v>5</v>
      </c>
      <c r="AC4"/>
      <c r="AD4">
        <f t="shared" si="5"/>
        <v>0</v>
      </c>
      <c r="AH4" s="1" t="s">
        <v>196</v>
      </c>
    </row>
    <row r="5" spans="1:34" x14ac:dyDescent="0.3">
      <c r="A5" s="18" t="s">
        <v>64</v>
      </c>
      <c r="B5" s="18" t="s">
        <v>71</v>
      </c>
      <c r="C5" s="18" t="s">
        <v>72</v>
      </c>
      <c r="D5" s="18" t="s">
        <v>29</v>
      </c>
      <c r="E5" s="18" t="s">
        <v>30</v>
      </c>
      <c r="G5" s="1">
        <v>0.92</v>
      </c>
      <c r="H5" s="1">
        <v>709</v>
      </c>
      <c r="K5" s="1">
        <v>771</v>
      </c>
      <c r="L5" s="3">
        <v>0.372</v>
      </c>
      <c r="M5" s="3">
        <v>-0.51</v>
      </c>
      <c r="N5" s="1">
        <v>450</v>
      </c>
      <c r="P5" s="1">
        <v>489</v>
      </c>
      <c r="Q5" s="1">
        <v>31</v>
      </c>
      <c r="R5" s="5">
        <v>0.19439999999999999</v>
      </c>
      <c r="S5" s="5">
        <v>2.4041199999999998</v>
      </c>
      <c r="T5" s="1">
        <f t="shared" si="0"/>
        <v>489</v>
      </c>
      <c r="U5" s="1">
        <f t="shared" si="1"/>
        <v>490</v>
      </c>
      <c r="V5" s="6">
        <f t="shared" si="2"/>
        <v>0.10383470402800647</v>
      </c>
      <c r="W5" s="1">
        <f t="shared" si="3"/>
        <v>0.27912554846238297</v>
      </c>
      <c r="X5" s="1">
        <f>T5</f>
        <v>489</v>
      </c>
      <c r="Y5" s="1">
        <f t="shared" si="4"/>
        <v>490</v>
      </c>
      <c r="Z5" s="1">
        <v>0.4</v>
      </c>
      <c r="AA5" s="1">
        <v>5</v>
      </c>
      <c r="AC5">
        <v>0.23</v>
      </c>
      <c r="AD5">
        <f t="shared" si="5"/>
        <v>2.2150590417050164</v>
      </c>
      <c r="AE5" s="1">
        <v>0.23</v>
      </c>
      <c r="AH5" s="1" t="s">
        <v>196</v>
      </c>
    </row>
    <row r="6" spans="1:34" x14ac:dyDescent="0.3">
      <c r="A6" s="18" t="s">
        <v>65</v>
      </c>
      <c r="B6" s="17" t="s">
        <v>73</v>
      </c>
      <c r="C6" s="17" t="s">
        <v>188</v>
      </c>
      <c r="D6" s="18" t="s">
        <v>19</v>
      </c>
      <c r="E6" s="18" t="s">
        <v>20</v>
      </c>
      <c r="I6" s="1">
        <v>0.87</v>
      </c>
      <c r="J6" s="1">
        <v>1838</v>
      </c>
      <c r="K6" s="1">
        <v>2113</v>
      </c>
      <c r="L6" s="3">
        <v>0.111</v>
      </c>
      <c r="M6" s="3">
        <v>9.7000000000000003E-2</v>
      </c>
      <c r="O6" s="1">
        <v>700</v>
      </c>
      <c r="P6" s="1">
        <v>805</v>
      </c>
      <c r="Q6" s="1">
        <v>11</v>
      </c>
      <c r="R6" s="5">
        <v>2.7300000000000001E-2</v>
      </c>
      <c r="S6" s="5">
        <v>2.9129999999999998</v>
      </c>
      <c r="T6" s="1">
        <f t="shared" si="0"/>
        <v>805</v>
      </c>
      <c r="U6" s="1">
        <f t="shared" si="1"/>
        <v>806</v>
      </c>
      <c r="V6" s="6">
        <f t="shared" si="2"/>
        <v>0.29262507498801821</v>
      </c>
      <c r="W6" s="1">
        <f t="shared" si="3"/>
        <v>2.6362619368289928</v>
      </c>
      <c r="X6" s="1">
        <f>10*25.4</f>
        <v>254</v>
      </c>
      <c r="Y6" s="1">
        <f t="shared" si="4"/>
        <v>255</v>
      </c>
      <c r="Z6" s="1">
        <v>0.4</v>
      </c>
      <c r="AA6" s="1">
        <v>5</v>
      </c>
      <c r="AB6" s="1">
        <v>254</v>
      </c>
      <c r="AC6">
        <v>0.3</v>
      </c>
      <c r="AD6">
        <f t="shared" si="5"/>
        <v>1.0252026420233595</v>
      </c>
      <c r="AE6" s="1">
        <v>0.21</v>
      </c>
      <c r="AH6" s="1" t="s">
        <v>196</v>
      </c>
    </row>
    <row r="7" spans="1:34" x14ac:dyDescent="0.3">
      <c r="A7" s="18" t="s">
        <v>65</v>
      </c>
      <c r="B7" s="17" t="s">
        <v>119</v>
      </c>
      <c r="C7" s="17" t="s">
        <v>167</v>
      </c>
      <c r="D7" s="18" t="s">
        <v>19</v>
      </c>
      <c r="E7" s="18" t="s">
        <v>21</v>
      </c>
      <c r="G7" s="1">
        <v>0.94</v>
      </c>
      <c r="H7" s="1">
        <v>822</v>
      </c>
      <c r="K7" s="1">
        <v>874</v>
      </c>
      <c r="L7" s="3">
        <v>0.12</v>
      </c>
      <c r="M7" s="3">
        <v>0</v>
      </c>
      <c r="N7" s="1">
        <v>370</v>
      </c>
      <c r="P7" s="1">
        <v>394</v>
      </c>
      <c r="Q7" s="1">
        <v>12</v>
      </c>
      <c r="R7" s="5">
        <v>1.9800000000000002E-2</v>
      </c>
      <c r="S7" s="5">
        <v>3.0009999999999999</v>
      </c>
      <c r="T7" s="1">
        <f t="shared" si="0"/>
        <v>394</v>
      </c>
      <c r="U7" s="1">
        <f t="shared" si="1"/>
        <v>395</v>
      </c>
      <c r="V7" s="6">
        <f t="shared" si="2"/>
        <v>0.26823965207235007</v>
      </c>
      <c r="W7" s="1">
        <f t="shared" si="3"/>
        <v>2.2353304339362507</v>
      </c>
      <c r="X7" s="1">
        <f>10*25.4</f>
        <v>254</v>
      </c>
      <c r="Y7" s="1">
        <f t="shared" si="4"/>
        <v>255</v>
      </c>
      <c r="Z7" s="1">
        <v>0.4</v>
      </c>
      <c r="AA7" s="1">
        <v>5</v>
      </c>
      <c r="AB7" s="1">
        <v>254</v>
      </c>
      <c r="AC7"/>
      <c r="AD7">
        <f t="shared" si="5"/>
        <v>0</v>
      </c>
      <c r="AH7" s="1" t="s">
        <v>196</v>
      </c>
    </row>
    <row r="8" spans="1:34" x14ac:dyDescent="0.3">
      <c r="A8" s="18" t="s">
        <v>65</v>
      </c>
      <c r="B8" s="17" t="s">
        <v>120</v>
      </c>
      <c r="C8" s="17" t="s">
        <v>184</v>
      </c>
      <c r="D8" s="18" t="s">
        <v>19</v>
      </c>
      <c r="E8" s="18" t="s">
        <v>22</v>
      </c>
      <c r="I8" s="1">
        <v>0.84</v>
      </c>
      <c r="J8" s="1">
        <v>897</v>
      </c>
      <c r="K8" s="1">
        <v>1068</v>
      </c>
      <c r="L8" s="3">
        <v>0.23300000000000001</v>
      </c>
      <c r="M8" s="3">
        <v>-4.3999999999999997E-2</v>
      </c>
      <c r="O8" s="1">
        <v>400</v>
      </c>
      <c r="P8" s="1">
        <v>476</v>
      </c>
      <c r="Q8" s="1">
        <v>7</v>
      </c>
      <c r="R8" s="5">
        <v>2.4199999999999999E-2</v>
      </c>
      <c r="S8" s="5">
        <v>2.9409999999999998</v>
      </c>
      <c r="T8" s="1">
        <f t="shared" si="0"/>
        <v>476</v>
      </c>
      <c r="U8" s="1">
        <f t="shared" si="1"/>
        <v>477</v>
      </c>
      <c r="V8" s="6">
        <f t="shared" si="2"/>
        <v>0.45983940355260006</v>
      </c>
      <c r="W8" s="1">
        <f t="shared" si="3"/>
        <v>1.9735596718995709</v>
      </c>
      <c r="X8" s="1">
        <f>10*25.4</f>
        <v>254</v>
      </c>
      <c r="Y8" s="1">
        <f t="shared" si="4"/>
        <v>255</v>
      </c>
      <c r="Z8" s="1">
        <v>0.4</v>
      </c>
      <c r="AA8" s="1">
        <v>5</v>
      </c>
      <c r="AB8" s="1">
        <v>254</v>
      </c>
      <c r="AC8">
        <v>0.16</v>
      </c>
      <c r="AD8">
        <f t="shared" si="5"/>
        <v>0.34794756335338267</v>
      </c>
      <c r="AE8" s="1">
        <v>0.65</v>
      </c>
      <c r="AH8" s="1" t="s">
        <v>196</v>
      </c>
    </row>
    <row r="9" spans="1:34" x14ac:dyDescent="0.3">
      <c r="A9" s="18" t="s">
        <v>65</v>
      </c>
      <c r="B9" s="17" t="s">
        <v>121</v>
      </c>
      <c r="C9" s="17" t="s">
        <v>183</v>
      </c>
      <c r="D9" s="18" t="s">
        <v>19</v>
      </c>
      <c r="E9" s="18" t="s">
        <v>23</v>
      </c>
      <c r="G9" s="1">
        <v>0.9</v>
      </c>
      <c r="H9" s="1">
        <v>800</v>
      </c>
      <c r="I9" s="1">
        <v>0.83</v>
      </c>
      <c r="K9" s="1">
        <v>889</v>
      </c>
      <c r="L9" s="3">
        <v>0.24</v>
      </c>
      <c r="M9" s="3">
        <v>0</v>
      </c>
      <c r="O9" s="1">
        <v>420</v>
      </c>
      <c r="P9" s="1">
        <v>506</v>
      </c>
      <c r="Q9" s="1">
        <v>11</v>
      </c>
      <c r="R9" s="5">
        <v>1.9800000000000002E-2</v>
      </c>
      <c r="S9" s="5">
        <v>2.9860000000000002</v>
      </c>
      <c r="T9" s="1">
        <f t="shared" si="0"/>
        <v>506</v>
      </c>
      <c r="U9" s="1">
        <f t="shared" si="1"/>
        <v>507</v>
      </c>
      <c r="V9" s="6">
        <f t="shared" si="2"/>
        <v>0.29262507498801821</v>
      </c>
      <c r="W9" s="1">
        <f t="shared" si="3"/>
        <v>1.2192711457834093</v>
      </c>
      <c r="X9" s="1">
        <f>10*25.4</f>
        <v>254</v>
      </c>
      <c r="Y9" s="1">
        <f t="shared" si="4"/>
        <v>255</v>
      </c>
      <c r="Z9" s="1">
        <v>0.4</v>
      </c>
      <c r="AA9" s="1">
        <v>5</v>
      </c>
      <c r="AB9" s="1">
        <v>254</v>
      </c>
      <c r="AC9"/>
      <c r="AD9">
        <f t="shared" si="5"/>
        <v>0</v>
      </c>
      <c r="AH9" s="1" t="s">
        <v>196</v>
      </c>
    </row>
    <row r="10" spans="1:34" x14ac:dyDescent="0.3">
      <c r="A10" s="18" t="s">
        <v>74</v>
      </c>
      <c r="B10" s="17" t="s">
        <v>122</v>
      </c>
      <c r="C10" s="17" t="s">
        <v>112</v>
      </c>
      <c r="D10" s="18" t="s">
        <v>45</v>
      </c>
      <c r="E10" s="18" t="s">
        <v>46</v>
      </c>
      <c r="I10" s="1">
        <v>0.82</v>
      </c>
      <c r="K10" s="1">
        <v>506</v>
      </c>
      <c r="L10" s="3">
        <v>7.4999999999999997E-2</v>
      </c>
      <c r="M10" s="3">
        <v>-6.5</v>
      </c>
      <c r="O10" s="1">
        <v>220</v>
      </c>
      <c r="P10" s="1">
        <v>268</v>
      </c>
      <c r="Q10" s="1">
        <v>25</v>
      </c>
      <c r="R10" s="5">
        <v>0.02</v>
      </c>
      <c r="S10" s="5">
        <v>2.99</v>
      </c>
      <c r="T10" s="1">
        <f t="shared" si="0"/>
        <v>268</v>
      </c>
      <c r="U10" s="1">
        <f t="shared" si="1"/>
        <v>269</v>
      </c>
      <c r="V10" s="6">
        <f t="shared" si="2"/>
        <v>0.12875503299472801</v>
      </c>
      <c r="W10" s="1">
        <f t="shared" si="3"/>
        <v>1.7167337732630403</v>
      </c>
      <c r="Y10" s="1">
        <f t="shared" si="4"/>
        <v>1</v>
      </c>
      <c r="Z10" s="1">
        <v>0.4</v>
      </c>
      <c r="AA10" s="1">
        <v>5</v>
      </c>
      <c r="AC10">
        <v>0.01</v>
      </c>
      <c r="AD10">
        <f t="shared" si="5"/>
        <v>7.7666866819951483E-2</v>
      </c>
      <c r="AE10" s="1">
        <v>0.99</v>
      </c>
      <c r="AH10" s="1" t="s">
        <v>196</v>
      </c>
    </row>
    <row r="11" spans="1:34" x14ac:dyDescent="0.3">
      <c r="A11" s="18" t="s">
        <v>61</v>
      </c>
      <c r="B11" s="18" t="s">
        <v>118</v>
      </c>
      <c r="C11" s="18" t="s">
        <v>43</v>
      </c>
      <c r="D11" s="18" t="s">
        <v>40</v>
      </c>
      <c r="E11" s="18" t="s">
        <v>41</v>
      </c>
      <c r="G11" s="1">
        <v>1</v>
      </c>
      <c r="I11" s="1">
        <v>0.87</v>
      </c>
      <c r="J11" s="1">
        <v>256</v>
      </c>
      <c r="K11" s="1">
        <v>294</v>
      </c>
      <c r="L11" s="3">
        <v>0.442</v>
      </c>
      <c r="M11" s="3">
        <v>-0.75600000000000001</v>
      </c>
      <c r="N11" s="1">
        <v>170</v>
      </c>
      <c r="P11" s="1">
        <v>170</v>
      </c>
      <c r="Q11" s="1">
        <v>10</v>
      </c>
      <c r="R11" s="5">
        <v>2.4309999999999998E-2</v>
      </c>
      <c r="S11" s="5">
        <v>2.9693100000000001</v>
      </c>
      <c r="T11" s="1">
        <f t="shared" si="0"/>
        <v>170</v>
      </c>
      <c r="U11" s="1">
        <f t="shared" si="1"/>
        <v>171</v>
      </c>
      <c r="V11" s="6">
        <f t="shared" si="2"/>
        <v>0.32188758248682003</v>
      </c>
      <c r="W11" s="1">
        <f t="shared" si="3"/>
        <v>0.7282524490652037</v>
      </c>
      <c r="X11" s="1">
        <f>T11</f>
        <v>170</v>
      </c>
      <c r="Y11" s="1">
        <f t="shared" si="4"/>
        <v>171</v>
      </c>
      <c r="Z11" s="1">
        <v>0.4</v>
      </c>
      <c r="AA11" s="1">
        <v>5</v>
      </c>
      <c r="AC11"/>
      <c r="AD11">
        <f t="shared" si="5"/>
        <v>0</v>
      </c>
      <c r="AF11" s="1" t="s">
        <v>201</v>
      </c>
      <c r="AH11" s="1" t="s">
        <v>196</v>
      </c>
    </row>
    <row r="12" spans="1:34" x14ac:dyDescent="0.3">
      <c r="A12" s="18" t="s">
        <v>65</v>
      </c>
      <c r="B12" s="17" t="s">
        <v>124</v>
      </c>
      <c r="C12" s="17" t="s">
        <v>113</v>
      </c>
      <c r="D12" s="18" t="s">
        <v>19</v>
      </c>
      <c r="E12" s="18" t="s">
        <v>24</v>
      </c>
      <c r="G12" s="1">
        <v>0.84</v>
      </c>
      <c r="H12" s="1">
        <v>930</v>
      </c>
      <c r="K12" s="1">
        <v>1107</v>
      </c>
      <c r="L12" s="3">
        <v>0.214</v>
      </c>
      <c r="M12" s="3">
        <v>0</v>
      </c>
      <c r="N12" s="1">
        <v>640</v>
      </c>
      <c r="P12" s="1">
        <v>762</v>
      </c>
      <c r="Q12" s="1">
        <v>13</v>
      </c>
      <c r="R12" s="5">
        <v>1.35E-2</v>
      </c>
      <c r="S12" s="5">
        <v>2.92</v>
      </c>
      <c r="T12" s="1">
        <f t="shared" si="0"/>
        <v>762</v>
      </c>
      <c r="U12" s="1">
        <f t="shared" si="1"/>
        <v>763</v>
      </c>
      <c r="V12" s="6">
        <f t="shared" si="2"/>
        <v>0.24760583268216926</v>
      </c>
      <c r="W12" s="1">
        <f>V12/L12</f>
        <v>1.157036601318548</v>
      </c>
      <c r="X12" s="1">
        <f>T12</f>
        <v>762</v>
      </c>
      <c r="Y12" s="1">
        <f t="shared" si="4"/>
        <v>763</v>
      </c>
      <c r="Z12" s="1">
        <v>0.4</v>
      </c>
      <c r="AA12" s="1">
        <v>5</v>
      </c>
      <c r="AC12"/>
      <c r="AD12">
        <f t="shared" si="5"/>
        <v>0</v>
      </c>
      <c r="AF12" s="1" t="s">
        <v>202</v>
      </c>
      <c r="AH12" s="1" t="s">
        <v>196</v>
      </c>
    </row>
    <row r="13" spans="1:34" x14ac:dyDescent="0.3">
      <c r="A13" s="18" t="s">
        <v>64</v>
      </c>
      <c r="B13" s="17" t="s">
        <v>125</v>
      </c>
      <c r="C13" s="17" t="s">
        <v>186</v>
      </c>
      <c r="D13" s="18" t="s">
        <v>29</v>
      </c>
      <c r="E13" s="18" t="s">
        <v>31</v>
      </c>
      <c r="K13" s="1">
        <v>340</v>
      </c>
      <c r="L13" s="3">
        <v>0.28999999999999998</v>
      </c>
      <c r="M13" s="3">
        <v>-1.37</v>
      </c>
      <c r="P13" s="1">
        <v>200</v>
      </c>
      <c r="Q13" s="1">
        <v>8</v>
      </c>
      <c r="R13" s="5">
        <v>8.4200000000000004E-3</v>
      </c>
      <c r="S13" s="5">
        <v>3.2469600000000001</v>
      </c>
      <c r="T13" s="1">
        <f t="shared" si="0"/>
        <v>200</v>
      </c>
      <c r="U13" s="1">
        <f t="shared" si="1"/>
        <v>201</v>
      </c>
      <c r="V13" s="6">
        <f t="shared" si="2"/>
        <v>0.40235947810852507</v>
      </c>
      <c r="W13" s="1">
        <f t="shared" si="3"/>
        <v>1.3874464762362935</v>
      </c>
      <c r="X13" s="1">
        <f>T13</f>
        <v>200</v>
      </c>
      <c r="Y13" s="1">
        <f t="shared" si="4"/>
        <v>201</v>
      </c>
      <c r="Z13" s="1">
        <v>0.4</v>
      </c>
      <c r="AA13" s="1">
        <v>5</v>
      </c>
      <c r="AC13">
        <v>0.36</v>
      </c>
      <c r="AD13">
        <f t="shared" si="5"/>
        <v>0.894722305765841</v>
      </c>
      <c r="AE13" s="1">
        <v>0.63</v>
      </c>
      <c r="AH13" s="1" t="s">
        <v>196</v>
      </c>
    </row>
    <row r="14" spans="1:34" x14ac:dyDescent="0.3">
      <c r="A14" s="18" t="s">
        <v>142</v>
      </c>
      <c r="B14" s="17" t="s">
        <v>126</v>
      </c>
      <c r="C14" s="19" t="s">
        <v>114</v>
      </c>
      <c r="D14" s="18" t="s">
        <v>32</v>
      </c>
      <c r="E14" s="18" t="s">
        <v>33</v>
      </c>
      <c r="K14" s="1">
        <v>609</v>
      </c>
      <c r="L14" s="3">
        <v>0.3</v>
      </c>
      <c r="M14" s="3">
        <v>-0.14000000000000001</v>
      </c>
      <c r="P14" s="1">
        <v>325</v>
      </c>
      <c r="Q14" s="1">
        <v>13</v>
      </c>
      <c r="R14" s="5">
        <v>1.085E-2</v>
      </c>
      <c r="S14" s="5">
        <v>3.089</v>
      </c>
      <c r="T14" s="1">
        <f t="shared" si="0"/>
        <v>325</v>
      </c>
      <c r="U14" s="1">
        <f t="shared" si="1"/>
        <v>326</v>
      </c>
      <c r="V14" s="6">
        <f t="shared" si="2"/>
        <v>0.24760583268216926</v>
      </c>
      <c r="W14" s="1">
        <f t="shared" si="3"/>
        <v>0.82535277560723086</v>
      </c>
      <c r="X14" s="1">
        <f>11*25.4</f>
        <v>279.39999999999998</v>
      </c>
      <c r="Y14" s="1">
        <f t="shared" si="4"/>
        <v>280.39999999999998</v>
      </c>
      <c r="Z14" s="1">
        <v>0.4</v>
      </c>
      <c r="AA14" s="1">
        <v>5</v>
      </c>
      <c r="AB14" s="1">
        <v>279</v>
      </c>
      <c r="AC14"/>
      <c r="AD14">
        <f t="shared" si="5"/>
        <v>0</v>
      </c>
      <c r="AH14" s="1" t="s">
        <v>196</v>
      </c>
    </row>
    <row r="15" spans="1:34" x14ac:dyDescent="0.3">
      <c r="A15" s="18" t="s">
        <v>63</v>
      </c>
      <c r="B15" s="17" t="s">
        <v>127</v>
      </c>
      <c r="C15" s="17" t="s">
        <v>191</v>
      </c>
      <c r="D15" s="18" t="s">
        <v>34</v>
      </c>
      <c r="E15" s="18" t="s">
        <v>35</v>
      </c>
      <c r="G15" s="1">
        <v>0.92</v>
      </c>
      <c r="H15" s="1">
        <v>342</v>
      </c>
      <c r="K15" s="1">
        <v>372</v>
      </c>
      <c r="L15" s="3">
        <v>0.56399999999999995</v>
      </c>
      <c r="M15" s="3">
        <v>-0.36</v>
      </c>
      <c r="N15" s="1">
        <v>183</v>
      </c>
      <c r="P15" s="1">
        <v>199</v>
      </c>
      <c r="Q15" s="1">
        <v>6</v>
      </c>
      <c r="R15" s="5">
        <v>8.6999999999999994E-3</v>
      </c>
      <c r="S15" s="5">
        <v>3.21</v>
      </c>
      <c r="T15" s="1">
        <f t="shared" si="0"/>
        <v>199</v>
      </c>
      <c r="U15" s="1">
        <f t="shared" si="1"/>
        <v>200</v>
      </c>
      <c r="V15" s="6">
        <f t="shared" si="2"/>
        <v>0.53647930414470013</v>
      </c>
      <c r="W15" s="1">
        <f t="shared" si="3"/>
        <v>0.95120443997287263</v>
      </c>
      <c r="X15" s="1">
        <f>7*25.4</f>
        <v>177.79999999999998</v>
      </c>
      <c r="Y15" s="1">
        <f t="shared" si="4"/>
        <v>178.79999999999998</v>
      </c>
      <c r="Z15" s="1">
        <v>0.4</v>
      </c>
      <c r="AA15" s="1">
        <v>5</v>
      </c>
      <c r="AC15">
        <v>0.42</v>
      </c>
      <c r="AD15">
        <f t="shared" si="5"/>
        <v>0.78288201754511089</v>
      </c>
      <c r="AE15" s="1">
        <v>0.61</v>
      </c>
      <c r="AH15" s="1" t="s">
        <v>196</v>
      </c>
    </row>
    <row r="16" spans="1:34" x14ac:dyDescent="0.3">
      <c r="A16" s="18" t="s">
        <v>63</v>
      </c>
      <c r="B16" s="17" t="s">
        <v>128</v>
      </c>
      <c r="C16" s="17" t="s">
        <v>190</v>
      </c>
      <c r="D16" s="18" t="s">
        <v>34</v>
      </c>
      <c r="E16" s="18" t="s">
        <v>36</v>
      </c>
      <c r="G16" s="1">
        <v>0.85</v>
      </c>
      <c r="H16" s="1">
        <v>227</v>
      </c>
      <c r="K16" s="1">
        <v>267</v>
      </c>
      <c r="L16" s="3">
        <v>1.3</v>
      </c>
      <c r="M16" s="3">
        <v>-1.1000000000000001</v>
      </c>
      <c r="N16" s="1">
        <v>175</v>
      </c>
      <c r="P16" s="1">
        <v>206</v>
      </c>
      <c r="Q16" s="1">
        <v>5</v>
      </c>
      <c r="R16" s="5">
        <v>1.67E-2</v>
      </c>
      <c r="S16" s="5">
        <v>2.96</v>
      </c>
      <c r="T16" s="1">
        <f t="shared" si="0"/>
        <v>206</v>
      </c>
      <c r="U16" s="1">
        <f t="shared" si="1"/>
        <v>207</v>
      </c>
      <c r="V16" s="6">
        <f t="shared" si="2"/>
        <v>0.64377516497364007</v>
      </c>
      <c r="W16" s="1">
        <f t="shared" si="3"/>
        <v>0.49521166536433847</v>
      </c>
      <c r="X16" s="1">
        <f>T16</f>
        <v>206</v>
      </c>
      <c r="Y16" s="1">
        <f t="shared" si="4"/>
        <v>207</v>
      </c>
      <c r="Z16" s="1">
        <v>0.4</v>
      </c>
      <c r="AA16" s="1">
        <v>5</v>
      </c>
      <c r="AC16">
        <v>0.01</v>
      </c>
      <c r="AD16">
        <f t="shared" si="5"/>
        <v>1.5533373363990298E-2</v>
      </c>
      <c r="AE16" s="1">
        <v>0.99</v>
      </c>
      <c r="AH16" s="1" t="s">
        <v>196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B8026-358C-A14F-9410-9DBF6F246876}">
  <dimension ref="A1:AH16"/>
  <sheetViews>
    <sheetView workbookViewId="0"/>
  </sheetViews>
  <sheetFormatPr defaultColWidth="14.19921875" defaultRowHeight="15.6" x14ac:dyDescent="0.3"/>
  <cols>
    <col min="1" max="4" width="14.19921875" style="1"/>
    <col min="5" max="5" width="21" style="1" customWidth="1"/>
    <col min="6" max="11" width="14.19921875" style="1"/>
    <col min="12" max="12" width="14.296875" style="1" customWidth="1"/>
    <col min="13" max="16384" width="14.19921875" style="1"/>
  </cols>
  <sheetData>
    <row r="1" spans="1:34" x14ac:dyDescent="0.3">
      <c r="A1" s="18" t="s">
        <v>143</v>
      </c>
      <c r="B1" s="18" t="s">
        <v>144</v>
      </c>
      <c r="C1" s="18" t="s">
        <v>145</v>
      </c>
      <c r="D1" s="18" t="s">
        <v>146</v>
      </c>
      <c r="E1" s="18" t="s">
        <v>147</v>
      </c>
      <c r="F1" s="1" t="s">
        <v>168</v>
      </c>
      <c r="G1" s="1" t="s">
        <v>180</v>
      </c>
      <c r="H1" s="1" t="s">
        <v>1</v>
      </c>
      <c r="I1" s="1" t="s">
        <v>181</v>
      </c>
      <c r="J1" s="1" t="s">
        <v>2</v>
      </c>
      <c r="K1" s="2" t="s">
        <v>49</v>
      </c>
      <c r="L1" s="2" t="s">
        <v>3</v>
      </c>
      <c r="M1" s="2" t="s">
        <v>90</v>
      </c>
      <c r="N1" s="1" t="s">
        <v>4</v>
      </c>
      <c r="O1" s="1" t="s">
        <v>5</v>
      </c>
      <c r="P1" s="2" t="s">
        <v>6</v>
      </c>
      <c r="Q1" s="2" t="s">
        <v>182</v>
      </c>
      <c r="R1" s="2" t="s">
        <v>149</v>
      </c>
      <c r="S1" s="2" t="s">
        <v>150</v>
      </c>
      <c r="T1" s="2" t="s">
        <v>50</v>
      </c>
      <c r="U1" s="2" t="s">
        <v>51</v>
      </c>
      <c r="V1" s="2" t="s">
        <v>93</v>
      </c>
      <c r="W1" s="2" t="s">
        <v>148</v>
      </c>
      <c r="X1" s="16" t="s">
        <v>52</v>
      </c>
      <c r="Y1" s="16" t="s">
        <v>53</v>
      </c>
      <c r="Z1" s="2" t="s">
        <v>54</v>
      </c>
      <c r="AA1" s="2" t="s">
        <v>55</v>
      </c>
      <c r="AB1" s="1" t="s">
        <v>56</v>
      </c>
      <c r="AC1" s="13" t="s">
        <v>57</v>
      </c>
      <c r="AD1" s="13" t="s">
        <v>58</v>
      </c>
      <c r="AE1" s="13" t="s">
        <v>151</v>
      </c>
      <c r="AF1" s="7" t="s">
        <v>169</v>
      </c>
      <c r="AG1" s="7" t="s">
        <v>170</v>
      </c>
      <c r="AH1" s="7" t="s">
        <v>171</v>
      </c>
    </row>
    <row r="2" spans="1:34" x14ac:dyDescent="0.3">
      <c r="A2" s="18" t="s">
        <v>75</v>
      </c>
      <c r="B2" s="17" t="s">
        <v>129</v>
      </c>
      <c r="C2" s="17" t="s">
        <v>162</v>
      </c>
      <c r="D2" s="18" t="s">
        <v>27</v>
      </c>
      <c r="E2" s="18" t="s">
        <v>28</v>
      </c>
      <c r="I2" s="1">
        <v>0.78</v>
      </c>
      <c r="J2" s="1">
        <v>211</v>
      </c>
      <c r="K2" s="1">
        <v>271</v>
      </c>
      <c r="L2" s="3">
        <v>0.14749999999999999</v>
      </c>
      <c r="M2" s="3">
        <v>-4.4786000000000001</v>
      </c>
      <c r="P2" s="1">
        <v>175</v>
      </c>
      <c r="Q2" s="1">
        <v>27</v>
      </c>
      <c r="R2" s="5">
        <v>2.7689999999999999E-2</v>
      </c>
      <c r="S2" s="5">
        <v>3.0033599999999998</v>
      </c>
      <c r="T2" s="1">
        <f t="shared" ref="T2:T14" si="0">P2</f>
        <v>175</v>
      </c>
      <c r="U2" s="1">
        <f t="shared" ref="U2:U14" si="1">T2+1</f>
        <v>176</v>
      </c>
      <c r="V2" s="6">
        <f t="shared" ref="V2:V14" si="2">-(LN(0.04))/Q2</f>
        <v>0.11921762314326668</v>
      </c>
      <c r="W2" s="1">
        <f t="shared" ref="W2:W14" si="3">V2/L2</f>
        <v>0.80825507215774028</v>
      </c>
      <c r="X2" s="1">
        <f>T2</f>
        <v>175</v>
      </c>
      <c r="Y2" s="1">
        <f>X2+1</f>
        <v>176</v>
      </c>
      <c r="Z2" s="1">
        <v>0.4</v>
      </c>
      <c r="AA2" s="1">
        <v>5</v>
      </c>
      <c r="AC2">
        <v>0.04</v>
      </c>
      <c r="AD2">
        <f t="shared" ref="AD2:AD14" si="4">AC2/V2</f>
        <v>0.33552086466219039</v>
      </c>
      <c r="AE2" s="1">
        <v>0.69</v>
      </c>
      <c r="AH2" s="1" t="s">
        <v>195</v>
      </c>
    </row>
    <row r="3" spans="1:34" x14ac:dyDescent="0.3">
      <c r="A3" s="18" t="s">
        <v>62</v>
      </c>
      <c r="B3" s="17" t="s">
        <v>130</v>
      </c>
      <c r="C3" s="17" t="s">
        <v>115</v>
      </c>
      <c r="D3" s="18" t="s">
        <v>7</v>
      </c>
      <c r="E3" s="18" t="s">
        <v>13</v>
      </c>
      <c r="I3" s="1">
        <v>0.93</v>
      </c>
      <c r="J3" s="1">
        <v>304</v>
      </c>
      <c r="K3" s="1">
        <v>327</v>
      </c>
      <c r="L3" s="3">
        <v>0.40200000000000002</v>
      </c>
      <c r="M3" s="3">
        <v>-0.21</v>
      </c>
      <c r="O3" s="1">
        <v>250</v>
      </c>
      <c r="P3" s="1">
        <v>269</v>
      </c>
      <c r="Q3" s="1">
        <v>25</v>
      </c>
      <c r="R3" s="5">
        <v>1.065E-2</v>
      </c>
      <c r="S3" s="5">
        <v>3.2429700000000001</v>
      </c>
      <c r="T3" s="1">
        <f t="shared" si="0"/>
        <v>269</v>
      </c>
      <c r="U3" s="1">
        <f t="shared" si="1"/>
        <v>270</v>
      </c>
      <c r="V3" s="6">
        <f t="shared" si="2"/>
        <v>0.12875503299472801</v>
      </c>
      <c r="W3" s="1">
        <f t="shared" si="3"/>
        <v>0.32028615172817915</v>
      </c>
      <c r="X3" s="1">
        <f>T3</f>
        <v>269</v>
      </c>
      <c r="Y3" s="1">
        <f>U3</f>
        <v>270</v>
      </c>
      <c r="Z3" s="1">
        <v>0.4</v>
      </c>
      <c r="AA3" s="1">
        <v>5</v>
      </c>
      <c r="AC3">
        <v>0.11</v>
      </c>
      <c r="AD3">
        <f t="shared" si="4"/>
        <v>0.85433553501946635</v>
      </c>
      <c r="AE3" s="1">
        <v>0.45</v>
      </c>
      <c r="AH3" s="1" t="s">
        <v>195</v>
      </c>
    </row>
    <row r="4" spans="1:34" x14ac:dyDescent="0.3">
      <c r="A4" s="18" t="s">
        <v>62</v>
      </c>
      <c r="B4" s="17" t="s">
        <v>131</v>
      </c>
      <c r="C4" s="17" t="s">
        <v>185</v>
      </c>
      <c r="D4" s="18" t="s">
        <v>7</v>
      </c>
      <c r="E4" s="18" t="s">
        <v>15</v>
      </c>
      <c r="I4" s="1">
        <v>0.88</v>
      </c>
      <c r="J4" s="1">
        <v>527</v>
      </c>
      <c r="K4" s="1">
        <v>599</v>
      </c>
      <c r="L4" s="3">
        <v>0.221</v>
      </c>
      <c r="M4" s="3">
        <v>-0.22</v>
      </c>
      <c r="O4" s="1">
        <v>450</v>
      </c>
      <c r="P4" s="1">
        <v>511</v>
      </c>
      <c r="Q4" s="1">
        <v>44</v>
      </c>
      <c r="R4" s="5">
        <v>4.24E-2</v>
      </c>
      <c r="S4" s="5">
        <v>2.8540000000000001</v>
      </c>
      <c r="T4" s="1">
        <f t="shared" si="0"/>
        <v>511</v>
      </c>
      <c r="U4" s="1">
        <f t="shared" si="1"/>
        <v>512</v>
      </c>
      <c r="V4" s="6">
        <f t="shared" si="2"/>
        <v>7.3156268747004552E-2</v>
      </c>
      <c r="W4" s="1">
        <f t="shared" si="3"/>
        <v>0.33102384048418348</v>
      </c>
      <c r="X4" s="1">
        <f>16*25.4</f>
        <v>406.4</v>
      </c>
      <c r="Y4" s="1">
        <f t="shared" ref="Y4:Y14" si="5">X4+1</f>
        <v>407.4</v>
      </c>
      <c r="Z4" s="1">
        <v>0.4</v>
      </c>
      <c r="AA4" s="1">
        <v>5</v>
      </c>
      <c r="AB4" s="1">
        <v>406</v>
      </c>
      <c r="AC4">
        <v>0.13</v>
      </c>
      <c r="AD4">
        <f t="shared" si="4"/>
        <v>1.7770179128404902</v>
      </c>
      <c r="AE4" s="1">
        <v>0.23</v>
      </c>
      <c r="AH4" s="1" t="s">
        <v>195</v>
      </c>
    </row>
    <row r="5" spans="1:34" x14ac:dyDescent="0.3">
      <c r="A5" s="18" t="s">
        <v>62</v>
      </c>
      <c r="B5" s="17" t="s">
        <v>132</v>
      </c>
      <c r="C5" s="17" t="s">
        <v>189</v>
      </c>
      <c r="D5" s="18" t="s">
        <v>7</v>
      </c>
      <c r="E5" s="18" t="s">
        <v>16</v>
      </c>
      <c r="G5" s="1">
        <v>1</v>
      </c>
      <c r="H5" s="1">
        <v>256</v>
      </c>
      <c r="K5" s="1">
        <v>256</v>
      </c>
      <c r="L5" s="3">
        <v>0.34079999999999999</v>
      </c>
      <c r="M5" s="3">
        <v>-0.66</v>
      </c>
      <c r="N5" s="1">
        <v>199</v>
      </c>
      <c r="P5" s="1">
        <v>199</v>
      </c>
      <c r="Q5" s="1">
        <v>25</v>
      </c>
      <c r="R5" s="5">
        <v>4.9700000000000001E-2</v>
      </c>
      <c r="S5" s="5">
        <v>2.839</v>
      </c>
      <c r="T5" s="1">
        <f t="shared" si="0"/>
        <v>199</v>
      </c>
      <c r="U5" s="1">
        <f t="shared" si="1"/>
        <v>200</v>
      </c>
      <c r="V5" s="6">
        <f t="shared" si="2"/>
        <v>0.12875503299472801</v>
      </c>
      <c r="W5" s="1">
        <f t="shared" si="3"/>
        <v>0.37780232686246484</v>
      </c>
      <c r="X5" s="1">
        <f>T5</f>
        <v>199</v>
      </c>
      <c r="Y5" s="1">
        <f t="shared" si="5"/>
        <v>200</v>
      </c>
      <c r="Z5" s="1">
        <v>0.4</v>
      </c>
      <c r="AA5" s="1">
        <v>5</v>
      </c>
      <c r="AC5">
        <v>0.21</v>
      </c>
      <c r="AD5">
        <f t="shared" si="4"/>
        <v>1.6310042032189811</v>
      </c>
      <c r="AE5" s="1">
        <v>0.3</v>
      </c>
      <c r="AH5" s="1" t="s">
        <v>195</v>
      </c>
    </row>
    <row r="6" spans="1:34" x14ac:dyDescent="0.3">
      <c r="A6" s="18" t="s">
        <v>62</v>
      </c>
      <c r="B6" s="17" t="s">
        <v>164</v>
      </c>
      <c r="C6" s="17" t="s">
        <v>14</v>
      </c>
      <c r="D6" s="18" t="s">
        <v>7</v>
      </c>
      <c r="E6" s="18" t="s">
        <v>17</v>
      </c>
      <c r="G6" s="1">
        <v>1</v>
      </c>
      <c r="H6" s="1">
        <v>480</v>
      </c>
      <c r="K6" s="1">
        <v>480</v>
      </c>
      <c r="L6" s="3">
        <v>0.44</v>
      </c>
      <c r="M6" s="3">
        <v>-0.12</v>
      </c>
      <c r="N6" s="1">
        <v>355</v>
      </c>
      <c r="P6" s="1">
        <v>355</v>
      </c>
      <c r="Q6" s="1">
        <v>50</v>
      </c>
      <c r="R6" s="5">
        <v>1.788E-2</v>
      </c>
      <c r="S6" s="5">
        <v>3.03545</v>
      </c>
      <c r="T6" s="1">
        <f t="shared" si="0"/>
        <v>355</v>
      </c>
      <c r="U6" s="1">
        <f t="shared" si="1"/>
        <v>356</v>
      </c>
      <c r="V6" s="6">
        <f t="shared" si="2"/>
        <v>6.4377516497364007E-2</v>
      </c>
      <c r="W6" s="1">
        <f t="shared" si="3"/>
        <v>0.1463125374940091</v>
      </c>
      <c r="X6" s="1">
        <f>14*25.4</f>
        <v>355.59999999999997</v>
      </c>
      <c r="Y6" s="1">
        <f t="shared" si="5"/>
        <v>356.59999999999997</v>
      </c>
      <c r="Z6" s="1">
        <v>0.4</v>
      </c>
      <c r="AA6" s="1">
        <v>5</v>
      </c>
      <c r="AB6" s="1">
        <v>356</v>
      </c>
      <c r="AC6">
        <v>0.25</v>
      </c>
      <c r="AD6">
        <f t="shared" si="4"/>
        <v>3.8833433409975742</v>
      </c>
      <c r="AE6" s="1">
        <v>0.08</v>
      </c>
      <c r="AH6" s="1" t="s">
        <v>195</v>
      </c>
    </row>
    <row r="7" spans="1:34" x14ac:dyDescent="0.3">
      <c r="A7" s="18" t="s">
        <v>63</v>
      </c>
      <c r="B7" s="17" t="s">
        <v>133</v>
      </c>
      <c r="C7" s="17" t="s">
        <v>38</v>
      </c>
      <c r="D7" s="18" t="s">
        <v>34</v>
      </c>
      <c r="E7" s="18" t="s">
        <v>37</v>
      </c>
      <c r="G7" s="1">
        <v>0.9</v>
      </c>
      <c r="H7" s="1">
        <v>303</v>
      </c>
      <c r="K7" s="1">
        <v>337</v>
      </c>
      <c r="L7" s="3">
        <v>0.75555000000000005</v>
      </c>
      <c r="M7" s="3">
        <v>-0.13500000000000001</v>
      </c>
      <c r="N7" s="1">
        <v>148</v>
      </c>
      <c r="P7" s="1">
        <v>164</v>
      </c>
      <c r="Q7" s="1">
        <v>5</v>
      </c>
      <c r="R7" s="5">
        <v>1.136E-2</v>
      </c>
      <c r="S7" s="5">
        <v>3.21082</v>
      </c>
      <c r="T7" s="1">
        <f t="shared" si="0"/>
        <v>164</v>
      </c>
      <c r="U7" s="1">
        <f t="shared" si="1"/>
        <v>165</v>
      </c>
      <c r="V7" s="6">
        <f t="shared" si="2"/>
        <v>0.64377516497364007</v>
      </c>
      <c r="W7" s="1">
        <f t="shared" si="3"/>
        <v>0.85206163056533657</v>
      </c>
      <c r="X7" s="1">
        <f>7*25.4</f>
        <v>177.79999999999998</v>
      </c>
      <c r="Y7" s="1">
        <f t="shared" si="5"/>
        <v>178.79999999999998</v>
      </c>
      <c r="Z7" s="1">
        <v>0.4</v>
      </c>
      <c r="AA7" s="1">
        <v>5</v>
      </c>
      <c r="AB7" s="1">
        <v>179</v>
      </c>
      <c r="AC7"/>
      <c r="AD7">
        <f t="shared" si="4"/>
        <v>0</v>
      </c>
      <c r="AH7" s="1" t="s">
        <v>195</v>
      </c>
    </row>
    <row r="8" spans="1:34" x14ac:dyDescent="0.3">
      <c r="A8" s="18" t="s">
        <v>63</v>
      </c>
      <c r="B8" s="17" t="s">
        <v>134</v>
      </c>
      <c r="C8" s="17" t="s">
        <v>165</v>
      </c>
      <c r="D8" s="18" t="s">
        <v>34</v>
      </c>
      <c r="E8" s="18" t="s">
        <v>39</v>
      </c>
      <c r="G8" s="1">
        <v>0.9</v>
      </c>
      <c r="H8" s="1">
        <v>492</v>
      </c>
      <c r="K8" s="1">
        <v>547</v>
      </c>
      <c r="L8" s="3">
        <v>0.53800000000000003</v>
      </c>
      <c r="M8" s="3">
        <v>-0.44600000000000001</v>
      </c>
      <c r="N8" s="1">
        <v>238</v>
      </c>
      <c r="P8" s="1">
        <v>264</v>
      </c>
      <c r="Q8" s="1">
        <v>6</v>
      </c>
      <c r="R8" s="5">
        <v>1.136E-2</v>
      </c>
      <c r="S8" s="5">
        <v>3.21082</v>
      </c>
      <c r="T8" s="1">
        <f t="shared" si="0"/>
        <v>264</v>
      </c>
      <c r="U8" s="1">
        <f t="shared" si="1"/>
        <v>265</v>
      </c>
      <c r="V8" s="6">
        <f t="shared" si="2"/>
        <v>0.53647930414470013</v>
      </c>
      <c r="W8" s="1">
        <f t="shared" si="3"/>
        <v>0.99717342777825302</v>
      </c>
      <c r="X8" s="1">
        <f>10*25.4</f>
        <v>254</v>
      </c>
      <c r="Y8" s="1">
        <f t="shared" si="5"/>
        <v>255</v>
      </c>
      <c r="Z8" s="1">
        <v>0.4</v>
      </c>
      <c r="AA8" s="1">
        <v>5</v>
      </c>
      <c r="AB8" s="1">
        <v>254</v>
      </c>
      <c r="AC8">
        <v>1.32</v>
      </c>
      <c r="AD8">
        <f t="shared" si="4"/>
        <v>2.4604863408560629</v>
      </c>
      <c r="AE8" s="1">
        <v>0.14000000000000001</v>
      </c>
      <c r="AH8" s="1" t="s">
        <v>195</v>
      </c>
    </row>
    <row r="9" spans="1:34" x14ac:dyDescent="0.3">
      <c r="A9" s="18" t="s">
        <v>65</v>
      </c>
      <c r="B9" s="17" t="s">
        <v>135</v>
      </c>
      <c r="C9" s="17" t="s">
        <v>116</v>
      </c>
      <c r="D9" s="18" t="s">
        <v>19</v>
      </c>
      <c r="E9" s="18" t="s">
        <v>25</v>
      </c>
      <c r="G9" s="1">
        <v>0.9</v>
      </c>
      <c r="H9" s="1">
        <v>1232</v>
      </c>
      <c r="K9" s="1">
        <v>1369</v>
      </c>
      <c r="L9" s="3">
        <v>0.307</v>
      </c>
      <c r="M9" s="3">
        <v>-0.77</v>
      </c>
      <c r="P9" s="1">
        <v>289</v>
      </c>
      <c r="Q9" s="1">
        <v>7</v>
      </c>
      <c r="R9" s="5">
        <v>2.7099999999999999E-2</v>
      </c>
      <c r="S9" s="5">
        <v>2.88598</v>
      </c>
      <c r="T9" s="1">
        <f t="shared" si="0"/>
        <v>289</v>
      </c>
      <c r="U9" s="1">
        <f t="shared" si="1"/>
        <v>290</v>
      </c>
      <c r="V9" s="6">
        <f t="shared" si="2"/>
        <v>0.45983940355260006</v>
      </c>
      <c r="W9" s="1">
        <f t="shared" si="3"/>
        <v>1.4978482200410426</v>
      </c>
      <c r="X9" s="1">
        <f>T9</f>
        <v>289</v>
      </c>
      <c r="Y9" s="1">
        <f t="shared" si="5"/>
        <v>290</v>
      </c>
      <c r="Z9" s="1">
        <v>0.4</v>
      </c>
      <c r="AA9" s="1">
        <v>5</v>
      </c>
      <c r="AC9"/>
      <c r="AD9">
        <f t="shared" si="4"/>
        <v>0</v>
      </c>
      <c r="AH9" s="1" t="s">
        <v>195</v>
      </c>
    </row>
    <row r="10" spans="1:34" x14ac:dyDescent="0.3">
      <c r="A10" s="18" t="s">
        <v>61</v>
      </c>
      <c r="B10" s="17" t="s">
        <v>136</v>
      </c>
      <c r="C10" s="17" t="s">
        <v>43</v>
      </c>
      <c r="D10" s="18" t="s">
        <v>40</v>
      </c>
      <c r="E10" s="18" t="s">
        <v>42</v>
      </c>
      <c r="G10" s="1">
        <v>0.97</v>
      </c>
      <c r="I10" s="1">
        <v>0.78</v>
      </c>
      <c r="J10" s="1">
        <v>217</v>
      </c>
      <c r="K10" s="1">
        <v>278</v>
      </c>
      <c r="L10" s="3">
        <v>1.653</v>
      </c>
      <c r="M10" s="3">
        <v>-0.28999999999999998</v>
      </c>
      <c r="N10" s="1">
        <v>190</v>
      </c>
      <c r="P10" s="1">
        <v>196</v>
      </c>
      <c r="Q10" s="1">
        <v>6</v>
      </c>
      <c r="R10" s="5">
        <v>1.0449999999999999E-2</v>
      </c>
      <c r="S10" s="5">
        <v>3.3187099999999998</v>
      </c>
      <c r="T10" s="1">
        <f t="shared" si="0"/>
        <v>196</v>
      </c>
      <c r="U10" s="1">
        <f t="shared" si="1"/>
        <v>197</v>
      </c>
      <c r="V10" s="6">
        <f t="shared" si="2"/>
        <v>0.53647930414470013</v>
      </c>
      <c r="W10" s="1">
        <f t="shared" si="3"/>
        <v>0.3245488833301271</v>
      </c>
      <c r="X10" s="1">
        <f>12*25.4</f>
        <v>304.79999999999995</v>
      </c>
      <c r="Y10" s="1">
        <f t="shared" si="5"/>
        <v>305.79999999999995</v>
      </c>
      <c r="Z10" s="1">
        <v>0.4</v>
      </c>
      <c r="AA10" s="1">
        <v>5</v>
      </c>
      <c r="AB10" s="1">
        <v>305</v>
      </c>
      <c r="AC10" s="1">
        <v>0.16</v>
      </c>
      <c r="AD10">
        <f t="shared" si="4"/>
        <v>0.29824076858861365</v>
      </c>
      <c r="AE10" s="1">
        <v>0.77</v>
      </c>
      <c r="AH10" s="1" t="s">
        <v>195</v>
      </c>
    </row>
    <row r="11" spans="1:34" x14ac:dyDescent="0.3">
      <c r="A11" s="18" t="s">
        <v>61</v>
      </c>
      <c r="B11" s="17" t="s">
        <v>137</v>
      </c>
      <c r="C11" s="17" t="s">
        <v>187</v>
      </c>
      <c r="D11" s="18" t="s">
        <v>40</v>
      </c>
      <c r="E11" s="18" t="s">
        <v>44</v>
      </c>
      <c r="G11" s="1">
        <v>0.91</v>
      </c>
      <c r="H11" s="1">
        <v>512</v>
      </c>
      <c r="K11" s="1">
        <v>563</v>
      </c>
      <c r="L11" s="3">
        <v>0.28799999999999998</v>
      </c>
      <c r="M11" s="3">
        <v>-0.80900000000000005</v>
      </c>
      <c r="N11" s="1">
        <v>340</v>
      </c>
      <c r="P11" s="1">
        <v>374</v>
      </c>
      <c r="Q11" s="1">
        <v>22</v>
      </c>
      <c r="R11" s="5">
        <v>1.3599999999999999E-2</v>
      </c>
      <c r="S11" s="5">
        <v>3.109</v>
      </c>
      <c r="T11" s="1">
        <f t="shared" si="0"/>
        <v>374</v>
      </c>
      <c r="U11" s="1">
        <f t="shared" si="1"/>
        <v>375</v>
      </c>
      <c r="V11" s="6">
        <f t="shared" si="2"/>
        <v>0.1463125374940091</v>
      </c>
      <c r="W11" s="1">
        <f t="shared" si="3"/>
        <v>0.50802964407642048</v>
      </c>
      <c r="X11" s="1">
        <f>12*25.4</f>
        <v>304.79999999999995</v>
      </c>
      <c r="Y11" s="1">
        <f t="shared" si="5"/>
        <v>305.79999999999995</v>
      </c>
      <c r="Z11" s="1">
        <v>0.4</v>
      </c>
      <c r="AA11" s="1">
        <v>5</v>
      </c>
      <c r="AB11" s="1">
        <v>305</v>
      </c>
      <c r="AC11">
        <v>0.2</v>
      </c>
      <c r="AD11">
        <f t="shared" si="4"/>
        <v>1.3669368560311463</v>
      </c>
      <c r="AE11" s="1">
        <v>0.27</v>
      </c>
      <c r="AH11" s="1" t="s">
        <v>195</v>
      </c>
    </row>
    <row r="12" spans="1:34" x14ac:dyDescent="0.3">
      <c r="A12" s="18" t="s">
        <v>65</v>
      </c>
      <c r="B12" s="17" t="s">
        <v>138</v>
      </c>
      <c r="C12" s="17" t="s">
        <v>117</v>
      </c>
      <c r="D12" s="18" t="s">
        <v>19</v>
      </c>
      <c r="E12" s="18" t="s">
        <v>26</v>
      </c>
      <c r="K12" s="1">
        <v>1272</v>
      </c>
      <c r="L12" s="3">
        <v>0.22720000000000001</v>
      </c>
      <c r="M12" s="3">
        <v>-0.79310000000000003</v>
      </c>
      <c r="P12" s="1">
        <v>910</v>
      </c>
      <c r="Q12" s="1">
        <v>15</v>
      </c>
      <c r="R12" s="5">
        <v>2.4E-2</v>
      </c>
      <c r="S12" s="5">
        <v>2.86</v>
      </c>
      <c r="T12" s="1">
        <f t="shared" si="0"/>
        <v>910</v>
      </c>
      <c r="U12" s="1">
        <f t="shared" si="1"/>
        <v>911</v>
      </c>
      <c r="V12" s="6">
        <f t="shared" si="2"/>
        <v>0.21459172165788004</v>
      </c>
      <c r="W12" s="1">
        <f t="shared" si="3"/>
        <v>0.94450581715616211</v>
      </c>
      <c r="X12" s="1">
        <f>T12</f>
        <v>910</v>
      </c>
      <c r="Y12" s="1">
        <f t="shared" si="5"/>
        <v>911</v>
      </c>
      <c r="Z12" s="1">
        <v>0.4</v>
      </c>
      <c r="AA12" s="1">
        <v>5</v>
      </c>
      <c r="AC12">
        <v>0.14000000000000001</v>
      </c>
      <c r="AD12">
        <f t="shared" si="4"/>
        <v>0.65240168128759246</v>
      </c>
      <c r="AE12" s="1">
        <v>36</v>
      </c>
      <c r="AH12" s="1" t="s">
        <v>195</v>
      </c>
    </row>
    <row r="13" spans="1:34" x14ac:dyDescent="0.3">
      <c r="A13" s="18" t="s">
        <v>141</v>
      </c>
      <c r="B13" s="17" t="s">
        <v>139</v>
      </c>
      <c r="C13" s="17" t="s">
        <v>163</v>
      </c>
      <c r="D13" s="18" t="s">
        <v>47</v>
      </c>
      <c r="E13" s="18" t="s">
        <v>48</v>
      </c>
      <c r="G13" s="1">
        <v>0.89</v>
      </c>
      <c r="H13" s="1">
        <v>1236</v>
      </c>
      <c r="K13" s="1">
        <v>1389</v>
      </c>
      <c r="L13" s="3">
        <v>0.26</v>
      </c>
      <c r="M13" s="3">
        <v>-0.71</v>
      </c>
      <c r="N13" s="1">
        <v>780</v>
      </c>
      <c r="P13" s="1">
        <v>876</v>
      </c>
      <c r="Q13" s="1">
        <v>19</v>
      </c>
      <c r="R13" s="5">
        <v>6.1700000000000001E-3</v>
      </c>
      <c r="S13" s="5">
        <v>3.0109499999999998</v>
      </c>
      <c r="T13" s="1">
        <f t="shared" si="0"/>
        <v>876</v>
      </c>
      <c r="U13" s="1">
        <f t="shared" si="1"/>
        <v>877</v>
      </c>
      <c r="V13" s="6">
        <f t="shared" si="2"/>
        <v>0.16941451709832633</v>
      </c>
      <c r="W13" s="1">
        <f t="shared" si="3"/>
        <v>0.65159429653202439</v>
      </c>
      <c r="X13" s="1">
        <f>T13</f>
        <v>876</v>
      </c>
      <c r="Y13" s="1">
        <f t="shared" si="5"/>
        <v>877</v>
      </c>
      <c r="Z13" s="1">
        <v>0.4</v>
      </c>
      <c r="AA13" s="1">
        <v>5</v>
      </c>
      <c r="AC13"/>
      <c r="AD13">
        <f t="shared" si="4"/>
        <v>0</v>
      </c>
      <c r="AH13" s="1" t="s">
        <v>195</v>
      </c>
    </row>
    <row r="14" spans="1:34" x14ac:dyDescent="0.3">
      <c r="A14" s="18" t="s">
        <v>62</v>
      </c>
      <c r="B14" s="18" t="s">
        <v>140</v>
      </c>
      <c r="C14" s="18" t="s">
        <v>166</v>
      </c>
      <c r="D14" s="18" t="s">
        <v>7</v>
      </c>
      <c r="E14" s="18" t="s">
        <v>18</v>
      </c>
      <c r="K14" s="1">
        <v>180</v>
      </c>
      <c r="L14" s="3">
        <v>0.27500000000000002</v>
      </c>
      <c r="M14" s="3">
        <v>-1.2</v>
      </c>
      <c r="O14" s="1">
        <v>118</v>
      </c>
      <c r="P14" s="12"/>
      <c r="Q14" s="1">
        <v>41</v>
      </c>
      <c r="R14" s="5">
        <v>1.4800000000000001E-2</v>
      </c>
      <c r="S14" s="5">
        <v>3.16</v>
      </c>
      <c r="T14" s="1">
        <f t="shared" si="0"/>
        <v>0</v>
      </c>
      <c r="U14" s="1">
        <f t="shared" si="1"/>
        <v>1</v>
      </c>
      <c r="V14" s="6">
        <f t="shared" si="2"/>
        <v>7.8509166460200008E-2</v>
      </c>
      <c r="W14" s="1">
        <f t="shared" si="3"/>
        <v>0.28548787803709091</v>
      </c>
      <c r="X14" s="1">
        <f>2*25.4</f>
        <v>50.8</v>
      </c>
      <c r="Y14" s="1">
        <f t="shared" si="5"/>
        <v>51.8</v>
      </c>
      <c r="Z14" s="1">
        <v>0.4</v>
      </c>
      <c r="AA14" s="1">
        <v>5</v>
      </c>
      <c r="AD14" s="1">
        <f t="shared" si="4"/>
        <v>0</v>
      </c>
      <c r="AH14" s="1" t="s">
        <v>195</v>
      </c>
    </row>
    <row r="15" spans="1:34" x14ac:dyDescent="0.3">
      <c r="A15" s="18" t="s">
        <v>61</v>
      </c>
      <c r="B15" s="18" t="s">
        <v>197</v>
      </c>
      <c r="C15" s="18" t="s">
        <v>198</v>
      </c>
      <c r="D15" s="18" t="s">
        <v>40</v>
      </c>
      <c r="E15" s="1" t="s">
        <v>84</v>
      </c>
      <c r="AH15" s="1" t="s">
        <v>195</v>
      </c>
    </row>
    <row r="16" spans="1:34" x14ac:dyDescent="0.3">
      <c r="A16" s="18" t="s">
        <v>61</v>
      </c>
      <c r="B16" s="18" t="s">
        <v>199</v>
      </c>
      <c r="C16" s="18"/>
      <c r="D16" s="18" t="s">
        <v>40</v>
      </c>
      <c r="E16" s="1" t="s">
        <v>60</v>
      </c>
      <c r="AH16" s="1" t="s">
        <v>195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65BC1-E580-6F46-B54B-9275F0F55BB8}">
  <dimension ref="A1:Y27"/>
  <sheetViews>
    <sheetView workbookViewId="0">
      <selection activeCell="A2" sqref="A2:XFD2"/>
    </sheetView>
  </sheetViews>
  <sheetFormatPr defaultColWidth="14.19921875" defaultRowHeight="15.6" x14ac:dyDescent="0.3"/>
  <cols>
    <col min="1" max="1" width="32.19921875" style="1" customWidth="1"/>
    <col min="2" max="8" width="14.19921875" style="1"/>
    <col min="9" max="9" width="19.296875" style="1" customWidth="1"/>
    <col min="10" max="12" width="14.19921875" style="8" customWidth="1"/>
    <col min="13" max="14" width="14.296875" style="1" customWidth="1"/>
    <col min="15" max="15" width="14.19921875" style="1"/>
    <col min="16" max="17" width="14.19921875" style="8"/>
    <col min="18" max="21" width="14.19921875" style="1"/>
    <col min="22" max="23" width="14.19921875" style="8"/>
    <col min="24" max="25" width="14.19921875" style="1"/>
    <col min="26" max="27" width="14.19921875" style="1" customWidth="1"/>
    <col min="28" max="16384" width="14.19921875" style="1"/>
  </cols>
  <sheetData>
    <row r="1" spans="1:25" x14ac:dyDescent="0.3">
      <c r="A1" s="1" t="s">
        <v>153</v>
      </c>
      <c r="B1" s="1" t="s">
        <v>85</v>
      </c>
      <c r="C1" s="1" t="s">
        <v>86</v>
      </c>
      <c r="D1" s="1" t="s">
        <v>100</v>
      </c>
      <c r="E1" s="1" t="s">
        <v>101</v>
      </c>
      <c r="F1" s="1" t="s">
        <v>107</v>
      </c>
      <c r="G1" s="1" t="s">
        <v>152</v>
      </c>
      <c r="H1" s="1" t="s">
        <v>156</v>
      </c>
      <c r="I1" s="1" t="s">
        <v>0</v>
      </c>
      <c r="J1" s="8" t="s">
        <v>1</v>
      </c>
      <c r="K1" s="8" t="s">
        <v>59</v>
      </c>
      <c r="L1" s="8" t="s">
        <v>2</v>
      </c>
      <c r="M1" s="1" t="s">
        <v>89</v>
      </c>
      <c r="N1" s="1" t="s">
        <v>3</v>
      </c>
      <c r="O1" s="1" t="s">
        <v>90</v>
      </c>
      <c r="P1" s="8" t="s">
        <v>4</v>
      </c>
      <c r="Q1" s="8" t="s">
        <v>5</v>
      </c>
      <c r="R1" s="1" t="s">
        <v>6</v>
      </c>
      <c r="S1" s="1" t="s">
        <v>95</v>
      </c>
      <c r="T1" s="1" t="s">
        <v>91</v>
      </c>
      <c r="U1" s="1" t="s">
        <v>92</v>
      </c>
      <c r="V1" s="8" t="s">
        <v>93</v>
      </c>
      <c r="W1" s="8" t="s">
        <v>54</v>
      </c>
      <c r="X1" s="1" t="s">
        <v>104</v>
      </c>
    </row>
    <row r="2" spans="1:25" x14ac:dyDescent="0.3">
      <c r="A2" s="1" t="s">
        <v>155</v>
      </c>
      <c r="B2" s="1" t="s">
        <v>87</v>
      </c>
      <c r="C2" t="s">
        <v>94</v>
      </c>
      <c r="D2"/>
      <c r="E2"/>
      <c r="F2" t="s">
        <v>108</v>
      </c>
      <c r="G2">
        <v>78</v>
      </c>
      <c r="H2"/>
      <c r="I2" s="2" t="s">
        <v>46</v>
      </c>
      <c r="M2" s="1">
        <f>47.9*10</f>
        <v>479</v>
      </c>
      <c r="N2" s="1">
        <v>0.11799999999999999</v>
      </c>
      <c r="O2" s="1">
        <v>-3.4</v>
      </c>
      <c r="S2" s="1">
        <v>24</v>
      </c>
      <c r="T2" s="1">
        <v>1.7000000000000001E-2</v>
      </c>
      <c r="U2" s="1">
        <v>3.0150000000000001</v>
      </c>
      <c r="V2" s="9"/>
    </row>
    <row r="3" spans="1:25" x14ac:dyDescent="0.3">
      <c r="A3" s="1" t="s">
        <v>158</v>
      </c>
      <c r="B3" s="1" t="s">
        <v>82</v>
      </c>
      <c r="C3" t="s">
        <v>83</v>
      </c>
      <c r="D3"/>
      <c r="E3"/>
      <c r="F3" t="s">
        <v>109</v>
      </c>
      <c r="G3">
        <v>133</v>
      </c>
      <c r="H3" t="s">
        <v>157</v>
      </c>
      <c r="I3" s="2" t="s">
        <v>11</v>
      </c>
      <c r="L3" s="1">
        <v>145.19999999999999</v>
      </c>
      <c r="N3" s="1">
        <v>0.42299999999999999</v>
      </c>
      <c r="O3" s="1">
        <v>-0.51</v>
      </c>
      <c r="S3" s="1">
        <v>39</v>
      </c>
      <c r="T3" s="5"/>
      <c r="U3" s="5"/>
      <c r="V3" s="9"/>
    </row>
    <row r="4" spans="1:25" x14ac:dyDescent="0.3">
      <c r="A4" s="1" t="s">
        <v>158</v>
      </c>
      <c r="B4" s="13" t="s">
        <v>88</v>
      </c>
      <c r="C4" s="13" t="s">
        <v>96</v>
      </c>
      <c r="D4" s="13" t="s">
        <v>102</v>
      </c>
      <c r="E4" s="13" t="s">
        <v>103</v>
      </c>
      <c r="F4" s="13" t="s">
        <v>111</v>
      </c>
      <c r="G4" s="13">
        <v>101</v>
      </c>
      <c r="H4" s="13" t="s">
        <v>159</v>
      </c>
      <c r="I4" s="2" t="s">
        <v>42</v>
      </c>
      <c r="J4" s="1">
        <f>10*32.7</f>
        <v>327</v>
      </c>
      <c r="K4" s="1">
        <v>0.97</v>
      </c>
      <c r="M4" s="4">
        <f>J4/K4</f>
        <v>337.11340206185565</v>
      </c>
      <c r="N4" s="3">
        <v>0.48599999999999999</v>
      </c>
      <c r="O4" s="3">
        <v>-0.01</v>
      </c>
      <c r="P4" s="1">
        <f>10*22.6</f>
        <v>226</v>
      </c>
      <c r="R4" s="4">
        <f>P4/K4</f>
        <v>232.98969072164948</v>
      </c>
      <c r="T4" s="5"/>
      <c r="U4" s="5"/>
      <c r="V4" s="9"/>
      <c r="X4" s="4">
        <f>(13.9*10)/K4</f>
        <v>143.29896907216497</v>
      </c>
    </row>
    <row r="5" spans="1:25" x14ac:dyDescent="0.3">
      <c r="A5" s="1" t="s">
        <v>158</v>
      </c>
      <c r="B5" s="13" t="s">
        <v>88</v>
      </c>
      <c r="C5" s="13" t="s">
        <v>96</v>
      </c>
      <c r="D5" s="13" t="s">
        <v>102</v>
      </c>
      <c r="E5" s="13" t="s">
        <v>103</v>
      </c>
      <c r="F5" s="13" t="s">
        <v>111</v>
      </c>
      <c r="G5" s="13">
        <v>272</v>
      </c>
      <c r="H5" s="13" t="s">
        <v>159</v>
      </c>
      <c r="I5" s="2" t="s">
        <v>44</v>
      </c>
      <c r="J5" s="1">
        <f>10*53.5</f>
        <v>535</v>
      </c>
      <c r="K5" s="1">
        <v>0.91</v>
      </c>
      <c r="M5" s="4">
        <f>J5/K5</f>
        <v>587.91208791208794</v>
      </c>
      <c r="N5" s="3">
        <v>0.41</v>
      </c>
      <c r="O5" s="3">
        <v>0.12</v>
      </c>
      <c r="P5" s="1">
        <f>10*47.3</f>
        <v>473</v>
      </c>
      <c r="R5" s="4">
        <f>P5/K5</f>
        <v>519.7802197802198</v>
      </c>
      <c r="T5" s="5"/>
      <c r="U5" s="5"/>
      <c r="V5" s="9"/>
      <c r="X5" s="4">
        <f>(10*35)/K5</f>
        <v>384.61538461538458</v>
      </c>
    </row>
    <row r="6" spans="1:25" x14ac:dyDescent="0.3">
      <c r="A6" s="1" t="s">
        <v>158</v>
      </c>
      <c r="B6" s="1" t="s">
        <v>78</v>
      </c>
      <c r="C6" t="s">
        <v>79</v>
      </c>
      <c r="D6"/>
      <c r="E6"/>
      <c r="F6" t="s">
        <v>110</v>
      </c>
      <c r="G6">
        <v>56</v>
      </c>
      <c r="H6" t="s">
        <v>160</v>
      </c>
      <c r="I6" s="7" t="s">
        <v>76</v>
      </c>
      <c r="J6" s="1">
        <f>10*67.26</f>
        <v>672.6</v>
      </c>
      <c r="M6" s="12"/>
      <c r="N6" s="1">
        <v>0.18</v>
      </c>
      <c r="O6" s="1">
        <v>-0.68</v>
      </c>
      <c r="P6" s="1">
        <f>((41+43.7)/2)*10</f>
        <v>423.5</v>
      </c>
      <c r="R6" s="12"/>
      <c r="S6" s="1">
        <v>14</v>
      </c>
      <c r="T6" s="1">
        <v>0.01</v>
      </c>
      <c r="U6" s="1">
        <v>3.04</v>
      </c>
    </row>
    <row r="7" spans="1:25" x14ac:dyDescent="0.3">
      <c r="A7" s="1" t="s">
        <v>158</v>
      </c>
      <c r="B7" s="1" t="s">
        <v>78</v>
      </c>
      <c r="C7" t="s">
        <v>79</v>
      </c>
      <c r="D7"/>
      <c r="E7"/>
      <c r="F7" t="s">
        <v>110</v>
      </c>
      <c r="G7">
        <v>47</v>
      </c>
      <c r="H7" t="s">
        <v>161</v>
      </c>
      <c r="I7" s="7" t="s">
        <v>77</v>
      </c>
      <c r="J7" s="1">
        <f>10*56.39</f>
        <v>563.9</v>
      </c>
      <c r="M7" s="12"/>
      <c r="N7" s="1">
        <v>0.26</v>
      </c>
      <c r="O7" s="1">
        <v>-0.49</v>
      </c>
      <c r="P7" s="1">
        <f>((45.9+40.4)/2)*10</f>
        <v>431.5</v>
      </c>
      <c r="R7" s="12"/>
      <c r="S7" s="1">
        <v>11</v>
      </c>
      <c r="T7" s="1">
        <v>0.01</v>
      </c>
      <c r="U7" s="1">
        <v>3.02</v>
      </c>
    </row>
    <row r="8" spans="1:25" s="14" customFormat="1" x14ac:dyDescent="0.3">
      <c r="A8" s="14" t="s">
        <v>154</v>
      </c>
      <c r="B8" s="14" t="s">
        <v>82</v>
      </c>
      <c r="C8" s="14" t="s">
        <v>83</v>
      </c>
      <c r="F8" s="14" t="s">
        <v>109</v>
      </c>
      <c r="I8" s="14" t="s">
        <v>80</v>
      </c>
      <c r="L8" s="14">
        <v>135.4</v>
      </c>
      <c r="N8" s="14">
        <v>0.66300000000000003</v>
      </c>
      <c r="O8" s="14">
        <v>-0.23</v>
      </c>
      <c r="S8" s="14">
        <v>17</v>
      </c>
      <c r="Y8" s="15" t="s">
        <v>106</v>
      </c>
    </row>
    <row r="9" spans="1:25" s="14" customFormat="1" x14ac:dyDescent="0.3">
      <c r="A9" s="14" t="s">
        <v>154</v>
      </c>
      <c r="B9" s="14" t="s">
        <v>82</v>
      </c>
      <c r="C9" s="14" t="s">
        <v>83</v>
      </c>
      <c r="F9" s="14" t="s">
        <v>109</v>
      </c>
      <c r="I9" s="14" t="s">
        <v>81</v>
      </c>
      <c r="L9" s="14">
        <v>74.900000000000006</v>
      </c>
      <c r="N9" s="14">
        <v>0.98499999999999999</v>
      </c>
      <c r="O9" s="14">
        <v>-0.15</v>
      </c>
      <c r="S9" s="14">
        <v>5</v>
      </c>
      <c r="Y9" s="15"/>
    </row>
    <row r="10" spans="1:25" x14ac:dyDescent="0.3">
      <c r="B10" s="13" t="s">
        <v>88</v>
      </c>
      <c r="C10" s="13" t="s">
        <v>96</v>
      </c>
      <c r="D10" s="13" t="s">
        <v>102</v>
      </c>
      <c r="E10" s="13" t="s">
        <v>103</v>
      </c>
      <c r="F10" s="13" t="s">
        <v>111</v>
      </c>
      <c r="G10" s="13"/>
      <c r="H10" s="13"/>
      <c r="I10" s="7" t="s">
        <v>84</v>
      </c>
      <c r="J10" s="1">
        <f>10*53.2</f>
        <v>532</v>
      </c>
      <c r="K10" s="1">
        <v>1</v>
      </c>
      <c r="M10" s="1">
        <f>J10/K10</f>
        <v>532</v>
      </c>
      <c r="N10" s="1">
        <v>0.22500000000000001</v>
      </c>
      <c r="O10" s="1">
        <v>-1.48</v>
      </c>
      <c r="P10" s="1">
        <f>46.4*10</f>
        <v>464</v>
      </c>
      <c r="R10" s="1">
        <f>P10/K10</f>
        <v>464</v>
      </c>
      <c r="S10" s="12"/>
      <c r="T10" s="1">
        <v>1.3599999999999999E-2</v>
      </c>
      <c r="U10" s="1">
        <v>3.109</v>
      </c>
      <c r="X10" s="1">
        <f>(10*34.5)/K10</f>
        <v>345</v>
      </c>
    </row>
    <row r="11" spans="1:25" x14ac:dyDescent="0.3">
      <c r="B11" s="13" t="s">
        <v>88</v>
      </c>
      <c r="C11" s="13" t="s">
        <v>96</v>
      </c>
      <c r="D11" s="13" t="s">
        <v>102</v>
      </c>
      <c r="E11" s="13" t="s">
        <v>103</v>
      </c>
      <c r="F11" s="13" t="s">
        <v>111</v>
      </c>
      <c r="G11" s="13"/>
      <c r="H11" s="13"/>
      <c r="I11" s="7" t="s">
        <v>60</v>
      </c>
      <c r="J11" s="1">
        <f>10*34.4</f>
        <v>344</v>
      </c>
      <c r="K11" s="1">
        <v>1</v>
      </c>
      <c r="M11" s="1">
        <f>J11/K11</f>
        <v>344</v>
      </c>
      <c r="N11" s="1">
        <v>0.4</v>
      </c>
      <c r="O11" s="1">
        <v>-0.13</v>
      </c>
      <c r="P11" s="1">
        <f>10*27.3</f>
        <v>273</v>
      </c>
      <c r="R11" s="1">
        <f>P11/K11</f>
        <v>273</v>
      </c>
      <c r="S11" s="12"/>
      <c r="T11" s="12"/>
      <c r="U11" s="12"/>
      <c r="X11" s="1" t="s">
        <v>105</v>
      </c>
    </row>
    <row r="12" spans="1:25" x14ac:dyDescent="0.3">
      <c r="B12" s="1" t="s">
        <v>99</v>
      </c>
      <c r="C12" t="s">
        <v>98</v>
      </c>
      <c r="D12"/>
      <c r="E12"/>
      <c r="F12" t="s">
        <v>108</v>
      </c>
      <c r="G12"/>
      <c r="H12"/>
      <c r="I12" s="7" t="s">
        <v>97</v>
      </c>
      <c r="K12" s="1">
        <v>0.87</v>
      </c>
      <c r="M12" s="1">
        <v>203</v>
      </c>
      <c r="N12" s="1">
        <v>1.4308000000000001</v>
      </c>
      <c r="O12" s="1">
        <v>5.11E-2</v>
      </c>
      <c r="P12" s="1">
        <f>10*15.7</f>
        <v>157</v>
      </c>
      <c r="R12" s="4">
        <f>P12/K12</f>
        <v>180.45977011494253</v>
      </c>
      <c r="S12" s="12"/>
      <c r="T12" s="1">
        <v>8.3059999999999995E-2</v>
      </c>
      <c r="U12" s="1">
        <v>2.56968</v>
      </c>
    </row>
    <row r="23" spans="13:13" ht="31.2" x14ac:dyDescent="0.6">
      <c r="M23" s="11"/>
    </row>
    <row r="27" spans="13:13" x14ac:dyDescent="0.3">
      <c r="M27" s="10"/>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Code List</vt:lpstr>
      <vt:lpstr>Bill's List</vt:lpstr>
      <vt:lpstr>Erin's List</vt:lpstr>
      <vt:lpstr>Lit 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William Harford</cp:lastModifiedBy>
  <dcterms:created xsi:type="dcterms:W3CDTF">2020-06-29T21:53:21Z</dcterms:created>
  <dcterms:modified xsi:type="dcterms:W3CDTF">2020-07-31T19:03:21Z</dcterms:modified>
</cp:coreProperties>
</file>