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stig/Desktop/TNC/LBSPR_Kaupulehu/Kaupulehu/"/>
    </mc:Choice>
  </mc:AlternateContent>
  <xr:revisionPtr revIDLastSave="0" documentId="13_ncr:1_{2EE27BAC-A94E-6449-B5F2-FB951C484FC1}" xr6:coauthVersionLast="36" xr6:coauthVersionMax="45" xr10:uidLastSave="{00000000-0000-0000-0000-000000000000}"/>
  <bookViews>
    <workbookView xWindow="14600" yWindow="0" windowWidth="14200" windowHeight="18000" xr2:uid="{00000000-000D-0000-FFFF-FFFF00000000}"/>
  </bookViews>
  <sheets>
    <sheet name="Species_List" sheetId="1" r:id="rId1"/>
  </sheets>
  <calcPr calcId="181029"/>
</workbook>
</file>

<file path=xl/calcChain.xml><?xml version="1.0" encoding="utf-8"?>
<calcChain xmlns="http://schemas.openxmlformats.org/spreadsheetml/2006/main">
  <c r="Y12" i="1" l="1"/>
  <c r="AJ28" i="1"/>
  <c r="AJ27" i="1"/>
  <c r="AJ26" i="1"/>
  <c r="AK11" i="1" s="1"/>
  <c r="AJ24" i="1"/>
  <c r="AJ22" i="1"/>
  <c r="AJ21" i="1"/>
  <c r="AJ20" i="1"/>
  <c r="AJ19" i="1"/>
  <c r="AJ18" i="1"/>
  <c r="AJ17" i="1"/>
  <c r="AJ16" i="1"/>
  <c r="AK23" i="1" s="1"/>
  <c r="AJ14" i="1"/>
  <c r="AJ10" i="1"/>
  <c r="AJ8" i="1"/>
  <c r="AK7" i="1" s="1"/>
  <c r="AJ6" i="1"/>
  <c r="AJ5" i="1"/>
  <c r="AK4" i="1"/>
  <c r="AJ3" i="1"/>
  <c r="AJ2" i="1"/>
  <c r="Z27" i="1" l="1"/>
  <c r="AA27" i="1" s="1"/>
  <c r="Z26" i="1"/>
  <c r="Z24" i="1"/>
  <c r="Z23" i="1"/>
  <c r="Z16" i="1"/>
  <c r="Z15" i="1"/>
  <c r="AA15" i="1" s="1"/>
  <c r="Z7" i="1"/>
  <c r="Z8" i="1"/>
  <c r="Z9" i="1"/>
  <c r="AA9" i="1" s="1"/>
  <c r="Z6" i="1"/>
  <c r="AA6" i="1" s="1"/>
  <c r="Z30" i="1"/>
  <c r="Z22" i="1"/>
  <c r="AA22" i="1" s="1"/>
  <c r="Z20" i="1"/>
  <c r="H3" i="1"/>
  <c r="H4" i="1"/>
  <c r="H12" i="1"/>
  <c r="H19" i="1"/>
  <c r="H20" i="1"/>
  <c r="H21" i="1"/>
  <c r="H22" i="1"/>
  <c r="H30" i="1"/>
  <c r="H6" i="1"/>
  <c r="H7" i="1"/>
  <c r="H8" i="1"/>
  <c r="H9" i="1"/>
  <c r="H13" i="1"/>
  <c r="H25" i="1"/>
  <c r="H28" i="1"/>
  <c r="H18" i="1"/>
  <c r="H5" i="1"/>
  <c r="H14" i="1"/>
  <c r="H15" i="1"/>
  <c r="H16" i="1"/>
  <c r="H17" i="1"/>
  <c r="H23" i="1"/>
  <c r="H24" i="1"/>
  <c r="H11" i="1"/>
  <c r="H26" i="1"/>
  <c r="H27" i="1"/>
  <c r="H10" i="1"/>
  <c r="H29" i="1"/>
  <c r="H2" i="1"/>
  <c r="Y3" i="1"/>
  <c r="Y4" i="1"/>
  <c r="Y19" i="1"/>
  <c r="Y20" i="1"/>
  <c r="Y21" i="1"/>
  <c r="Y22" i="1"/>
  <c r="Y30" i="1"/>
  <c r="Y6" i="1"/>
  <c r="Y7" i="1"/>
  <c r="Y8" i="1"/>
  <c r="Y9" i="1"/>
  <c r="Y13" i="1"/>
  <c r="Y25" i="1"/>
  <c r="Y28" i="1"/>
  <c r="Y18" i="1"/>
  <c r="Y5" i="1"/>
  <c r="Y14" i="1"/>
  <c r="Y15" i="1"/>
  <c r="Y16" i="1"/>
  <c r="Y17" i="1"/>
  <c r="Y23" i="1"/>
  <c r="Y24" i="1"/>
  <c r="Y11" i="1"/>
  <c r="Y26" i="1"/>
  <c r="Y27" i="1"/>
  <c r="Y10" i="1"/>
  <c r="Y29" i="1"/>
  <c r="Y2" i="1"/>
  <c r="X3" i="1"/>
  <c r="X21" i="1"/>
  <c r="X6" i="1"/>
  <c r="X25" i="1"/>
  <c r="X5" i="1"/>
  <c r="X26" i="1"/>
  <c r="W3" i="1"/>
  <c r="Z3" i="1" s="1"/>
  <c r="AA3" i="1" s="1"/>
  <c r="W4" i="1"/>
  <c r="Z4" i="1" s="1"/>
  <c r="AA4" i="1" s="1"/>
  <c r="W12" i="1"/>
  <c r="X12" i="1" s="1"/>
  <c r="W19" i="1"/>
  <c r="W20" i="1"/>
  <c r="X20" i="1" s="1"/>
  <c r="W21" i="1"/>
  <c r="Z21" i="1" s="1"/>
  <c r="AA21" i="1" s="1"/>
  <c r="W22" i="1"/>
  <c r="X22" i="1" s="1"/>
  <c r="W30" i="1"/>
  <c r="X30" i="1" s="1"/>
  <c r="W6" i="1"/>
  <c r="W7" i="1"/>
  <c r="X7" i="1" s="1"/>
  <c r="W8" i="1"/>
  <c r="X8" i="1" s="1"/>
  <c r="W9" i="1"/>
  <c r="X9" i="1" s="1"/>
  <c r="W13" i="1"/>
  <c r="Z13" i="1" s="1"/>
  <c r="AA13" i="1" s="1"/>
  <c r="W25" i="1"/>
  <c r="Z25" i="1" s="1"/>
  <c r="AA25" i="1" s="1"/>
  <c r="W28" i="1"/>
  <c r="Z28" i="1" s="1"/>
  <c r="AA28" i="1" s="1"/>
  <c r="W18" i="1"/>
  <c r="Z18" i="1" s="1"/>
  <c r="AA18" i="1" s="1"/>
  <c r="W5" i="1"/>
  <c r="Z5" i="1" s="1"/>
  <c r="AA5" i="1" s="1"/>
  <c r="W14" i="1"/>
  <c r="Z14" i="1" s="1"/>
  <c r="AA14" i="1" s="1"/>
  <c r="W15" i="1"/>
  <c r="X15" i="1" s="1"/>
  <c r="W16" i="1"/>
  <c r="X16" i="1" s="1"/>
  <c r="W17" i="1"/>
  <c r="Z17" i="1" s="1"/>
  <c r="AA17" i="1" s="1"/>
  <c r="W23" i="1"/>
  <c r="X23" i="1" s="1"/>
  <c r="W24" i="1"/>
  <c r="X24" i="1" s="1"/>
  <c r="W11" i="1"/>
  <c r="Z11" i="1" s="1"/>
  <c r="AA11" i="1" s="1"/>
  <c r="W26" i="1"/>
  <c r="W27" i="1"/>
  <c r="X27" i="1" s="1"/>
  <c r="W10" i="1"/>
  <c r="X10" i="1" s="1"/>
  <c r="W29" i="1"/>
  <c r="Z29" i="1" s="1"/>
  <c r="AA29" i="1" s="1"/>
  <c r="W2" i="1"/>
  <c r="X2" i="1" s="1"/>
  <c r="V3" i="1"/>
  <c r="V4" i="1"/>
  <c r="V12" i="1"/>
  <c r="V19" i="1"/>
  <c r="V20" i="1"/>
  <c r="V21" i="1"/>
  <c r="V22" i="1"/>
  <c r="V30" i="1"/>
  <c r="V6" i="1"/>
  <c r="V7" i="1"/>
  <c r="V8" i="1"/>
  <c r="V9" i="1"/>
  <c r="V13" i="1"/>
  <c r="V25" i="1"/>
  <c r="V28" i="1"/>
  <c r="V18" i="1"/>
  <c r="V5" i="1"/>
  <c r="V14" i="1"/>
  <c r="V15" i="1"/>
  <c r="V16" i="1"/>
  <c r="V17" i="1"/>
  <c r="V23" i="1"/>
  <c r="V24" i="1"/>
  <c r="V11" i="1"/>
  <c r="V26" i="1"/>
  <c r="V27" i="1"/>
  <c r="V10" i="1"/>
  <c r="V29" i="1"/>
  <c r="V2" i="1"/>
  <c r="AA20" i="1"/>
  <c r="AA30" i="1"/>
  <c r="AA7" i="1"/>
  <c r="AA8" i="1"/>
  <c r="AA16" i="1"/>
  <c r="AA23" i="1"/>
  <c r="AA24" i="1"/>
  <c r="AA26" i="1"/>
  <c r="AA10" i="1"/>
  <c r="X11" i="1" l="1"/>
  <c r="X18" i="1"/>
  <c r="X28" i="1"/>
  <c r="X19" i="1"/>
  <c r="AA19" i="1" s="1"/>
  <c r="Z19" i="1"/>
  <c r="X14" i="1"/>
  <c r="X4" i="1"/>
  <c r="Z2" i="1"/>
  <c r="AA2" i="1" s="1"/>
  <c r="Z12" i="1"/>
  <c r="AA12" i="1" s="1"/>
  <c r="X17" i="1"/>
  <c r="X13" i="1"/>
  <c r="X29" i="1"/>
</calcChain>
</file>

<file path=xl/sharedStrings.xml><?xml version="1.0" encoding="utf-8"?>
<sst xmlns="http://schemas.openxmlformats.org/spreadsheetml/2006/main" count="161" uniqueCount="108">
  <si>
    <t>Family</t>
  </si>
  <si>
    <t>Species</t>
  </si>
  <si>
    <t>TL_TO_FL</t>
  </si>
  <si>
    <t>LINF_FL</t>
  </si>
  <si>
    <t>TL_TO_SL</t>
  </si>
  <si>
    <t>LINF_SL</t>
  </si>
  <si>
    <t>K</t>
  </si>
  <si>
    <t>T0</t>
  </si>
  <si>
    <t>LMAT_FL</t>
  </si>
  <si>
    <t>LMAT_SL</t>
  </si>
  <si>
    <t>LMAT_TL</t>
  </si>
  <si>
    <t>LONG</t>
  </si>
  <si>
    <t>LW_A</t>
  </si>
  <si>
    <t>LW_B</t>
  </si>
  <si>
    <t>Type</t>
  </si>
  <si>
    <t>Common Name</t>
  </si>
  <si>
    <t>Season</t>
  </si>
  <si>
    <t>Minimum Size</t>
  </si>
  <si>
    <t>Bag Limit</t>
  </si>
  <si>
    <t>Acanthuridae</t>
  </si>
  <si>
    <t>Acanthurus blochii</t>
  </si>
  <si>
    <t>Aquarium?</t>
  </si>
  <si>
    <t>Acanthurus dussumieri</t>
  </si>
  <si>
    <t>Acanthurus xanthopterus</t>
  </si>
  <si>
    <t>Ctenochaetus strigosus</t>
  </si>
  <si>
    <t>Aquarium-regulated</t>
  </si>
  <si>
    <t>Kole</t>
  </si>
  <si>
    <t>Naso brevirostris</t>
  </si>
  <si>
    <t>Kala</t>
  </si>
  <si>
    <t>Open</t>
  </si>
  <si>
    <t>14in</t>
  </si>
  <si>
    <t>None</t>
  </si>
  <si>
    <t>Naso hexacanthus</t>
  </si>
  <si>
    <t>16in</t>
  </si>
  <si>
    <t>Naso lituratus</t>
  </si>
  <si>
    <t>Naso tang</t>
  </si>
  <si>
    <t>Naso unicornis</t>
  </si>
  <si>
    <t>Zebrasoma flavescens</t>
  </si>
  <si>
    <t>Yellow tang</t>
  </si>
  <si>
    <t>To possess more than five yellow tang larger than 4.5 inches total length, or more than five yellow tang smaller than 2 inches total length</t>
  </si>
  <si>
    <t>Carangidae</t>
  </si>
  <si>
    <t>Caranx ignobilis</t>
  </si>
  <si>
    <t>Ulua and p_pio</t>
  </si>
  <si>
    <t>10in; 16in (sale)</t>
  </si>
  <si>
    <t>20 (total all species, non-commercial only)</t>
  </si>
  <si>
    <t>Caranx lugubris</t>
  </si>
  <si>
    <t>Caranx melampygus</t>
  </si>
  <si>
    <t>Caranx sexfasciatus</t>
  </si>
  <si>
    <t>Elagatis bipinnulata</t>
  </si>
  <si>
    <t>Pseudocaranx dentex</t>
  </si>
  <si>
    <t>Seriola dumerili</t>
  </si>
  <si>
    <t>Holocentridae</t>
  </si>
  <si>
    <t>Myripristis berndti</t>
  </si>
  <si>
    <t>Lutjanidae</t>
  </si>
  <si>
    <t>Aprion virescens</t>
  </si>
  <si>
    <t>Lutjanus kasmira</t>
  </si>
  <si>
    <t>Mugilidae</t>
  </si>
  <si>
    <t>Mugil cephalus</t>
  </si>
  <si>
    <t>‘Ama‘ama, pua (striped mullet)</t>
  </si>
  <si>
    <t>Closed December-March</t>
  </si>
  <si>
    <t>11in</t>
  </si>
  <si>
    <t>Mullidae</t>
  </si>
  <si>
    <t>Mulloidichthys flavolineatus</t>
  </si>
  <si>
    <t>Weke (‘_) and ‘oama (‘oama are weke under 7”)</t>
  </si>
  <si>
    <t>7in (sale)</t>
  </si>
  <si>
    <t>50 ‘oama</t>
  </si>
  <si>
    <t>Mulloidichthys vanicolensis</t>
  </si>
  <si>
    <t>Parupeneus multifasciatus</t>
  </si>
  <si>
    <t>Moano</t>
  </si>
  <si>
    <t>7in</t>
  </si>
  <si>
    <t>Parupeneus porphyreus</t>
  </si>
  <si>
    <t>K_m_</t>
  </si>
  <si>
    <t>10in</t>
  </si>
  <si>
    <t>Scaridae</t>
  </si>
  <si>
    <t>Chlorurus sordidus</t>
  </si>
  <si>
    <t>Scarus psittacus</t>
  </si>
  <si>
    <t>Uhu</t>
  </si>
  <si>
    <t>12in</t>
  </si>
  <si>
    <t>Scarus rubroviolaceus</t>
  </si>
  <si>
    <t>Serranidae</t>
  </si>
  <si>
    <t>Cephalopholis argus</t>
  </si>
  <si>
    <t>Invasive?</t>
  </si>
  <si>
    <t>Sphyraenidae</t>
  </si>
  <si>
    <t>Sphyraena barracuda</t>
  </si>
  <si>
    <t>Linf</t>
  </si>
  <si>
    <t>L50</t>
  </si>
  <si>
    <t>L95</t>
  </si>
  <si>
    <t>MK</t>
  </si>
  <si>
    <t>SL50</t>
  </si>
  <si>
    <t>SL95</t>
  </si>
  <si>
    <t>SPR</t>
  </si>
  <si>
    <t>BinWidth</t>
  </si>
  <si>
    <t>LINF_TL (in)</t>
  </si>
  <si>
    <t>LINF_TL (mm)</t>
  </si>
  <si>
    <t>kala lolo</t>
  </si>
  <si>
    <t>Opelu kala</t>
  </si>
  <si>
    <t>Use</t>
  </si>
  <si>
    <t>CurrentLc</t>
  </si>
  <si>
    <t>Nadon_TL_UVS</t>
  </si>
  <si>
    <t>Nadon_TL_COM</t>
  </si>
  <si>
    <t>Nadon_F</t>
  </si>
  <si>
    <t>Nadon_M</t>
  </si>
  <si>
    <t>Nadon_F/M</t>
  </si>
  <si>
    <t>Avg_F/M</t>
  </si>
  <si>
    <t>Surgeonfish</t>
  </si>
  <si>
    <t>Jack</t>
  </si>
  <si>
    <t>Parrotfish</t>
  </si>
  <si>
    <t>Goatfish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</si>
</sst>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topLeftCell="AG1" workbookViewId="0">
      <selection activeCell="AB11" sqref="AB11"/>
    </sheetView>
  </sheetViews>
  <sheetFormatPr baseColWidth="10" defaultColWidth="14.1640625" defaultRowHeight="16"/>
  <cols>
    <col min="1" max="16384" width="14.1640625" style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92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/>
    </row>
    <row r="2" spans="1:38">
      <c r="A2" s="1" t="s">
        <v>19</v>
      </c>
      <c r="B2" s="1" t="s">
        <v>20</v>
      </c>
      <c r="E2" s="1">
        <v>0.76</v>
      </c>
      <c r="F2" s="1">
        <v>276</v>
      </c>
      <c r="G2" s="1">
        <v>363</v>
      </c>
      <c r="H2" s="1">
        <f>G2/25.4</f>
        <v>14.291338582677167</v>
      </c>
      <c r="I2" s="1">
        <v>0.25</v>
      </c>
      <c r="J2" s="1">
        <v>-0.38</v>
      </c>
      <c r="L2" s="1">
        <v>210</v>
      </c>
      <c r="M2" s="1">
        <v>276</v>
      </c>
      <c r="N2" s="1">
        <v>35</v>
      </c>
      <c r="O2" s="1">
        <v>2.5059999999999999E-2</v>
      </c>
      <c r="P2" s="1">
        <v>3.03193</v>
      </c>
      <c r="Q2" s="1" t="s">
        <v>21</v>
      </c>
      <c r="V2" s="1">
        <f>G2</f>
        <v>363</v>
      </c>
      <c r="W2" s="1">
        <f>M2</f>
        <v>276</v>
      </c>
      <c r="X2" s="1">
        <f>W2+1</f>
        <v>277</v>
      </c>
      <c r="Y2" s="1">
        <f>(4.899*(N2)^-0.916)/I2</f>
        <v>0.75474649030534546</v>
      </c>
      <c r="Z2" s="1">
        <f>W2</f>
        <v>276</v>
      </c>
      <c r="AA2" s="1">
        <f>Z2+1</f>
        <v>277</v>
      </c>
      <c r="AB2" s="1">
        <v>0.4</v>
      </c>
      <c r="AC2" s="1">
        <v>5</v>
      </c>
      <c r="AD2" t="b">
        <v>1</v>
      </c>
      <c r="AE2"/>
      <c r="AF2">
        <v>301</v>
      </c>
      <c r="AG2"/>
      <c r="AH2">
        <v>0.27</v>
      </c>
      <c r="AI2">
        <v>0.09</v>
      </c>
      <c r="AJ2">
        <f>AH2/AI2</f>
        <v>3.0000000000000004</v>
      </c>
      <c r="AK2"/>
      <c r="AL2"/>
    </row>
    <row r="3" spans="1:38">
      <c r="A3" s="1" t="s">
        <v>19</v>
      </c>
      <c r="B3" s="1" t="s">
        <v>22</v>
      </c>
      <c r="E3" s="1">
        <v>0.83</v>
      </c>
      <c r="F3" s="1">
        <v>308</v>
      </c>
      <c r="G3" s="1">
        <v>371</v>
      </c>
      <c r="H3" s="1">
        <f>G3/25.4</f>
        <v>14.606299212598426</v>
      </c>
      <c r="I3" s="1">
        <v>0.29599999999999999</v>
      </c>
      <c r="J3" s="1">
        <v>-0.28999999999999998</v>
      </c>
      <c r="L3" s="1">
        <v>234</v>
      </c>
      <c r="M3" s="1">
        <v>282</v>
      </c>
      <c r="N3" s="1">
        <v>28</v>
      </c>
      <c r="O3" s="1">
        <v>2.5100000000000001E-2</v>
      </c>
      <c r="P3" s="1">
        <v>3.032</v>
      </c>
      <c r="Q3" s="1" t="s">
        <v>21</v>
      </c>
      <c r="V3" s="1">
        <f>G3</f>
        <v>371</v>
      </c>
      <c r="W3" s="1">
        <f>M3</f>
        <v>282</v>
      </c>
      <c r="X3" s="1">
        <f>W3+1</f>
        <v>283</v>
      </c>
      <c r="Y3" s="1">
        <f>(4.899*(N3)^-0.916)/I3</f>
        <v>0.78202200143442513</v>
      </c>
      <c r="Z3" s="1">
        <f>W3</f>
        <v>282</v>
      </c>
      <c r="AA3" s="1">
        <f>Z3+1</f>
        <v>283</v>
      </c>
      <c r="AB3" s="1">
        <v>0.4</v>
      </c>
      <c r="AC3" s="1">
        <v>5</v>
      </c>
      <c r="AD3" t="b">
        <v>1</v>
      </c>
      <c r="AE3"/>
      <c r="AF3">
        <v>323</v>
      </c>
      <c r="AG3">
        <v>334</v>
      </c>
      <c r="AH3">
        <v>0.18</v>
      </c>
      <c r="AI3">
        <v>0.11</v>
      </c>
      <c r="AJ3">
        <f t="shared" ref="AJ3:AJ28" si="0">AH3/AI3</f>
        <v>1.6363636363636362</v>
      </c>
      <c r="AK3"/>
      <c r="AL3"/>
    </row>
    <row r="4" spans="1:38">
      <c r="A4" s="1" t="s">
        <v>19</v>
      </c>
      <c r="B4" s="1" t="s">
        <v>23</v>
      </c>
      <c r="E4" s="1">
        <v>0.74</v>
      </c>
      <c r="F4" s="1">
        <v>426</v>
      </c>
      <c r="G4" s="1">
        <v>576</v>
      </c>
      <c r="H4" s="1">
        <f>G4/25.4</f>
        <v>22.677165354330711</v>
      </c>
      <c r="I4" s="1">
        <v>0.28699999999999998</v>
      </c>
      <c r="J4" s="1">
        <v>-0.21</v>
      </c>
      <c r="L4" s="1">
        <v>367</v>
      </c>
      <c r="M4" s="1">
        <v>496</v>
      </c>
      <c r="N4" s="1">
        <v>34</v>
      </c>
      <c r="O4" s="1">
        <v>2.673E-2</v>
      </c>
      <c r="P4" s="1">
        <v>2.9844900000000001</v>
      </c>
      <c r="Q4" s="1" t="s">
        <v>21</v>
      </c>
      <c r="V4" s="1">
        <f>G4</f>
        <v>576</v>
      </c>
      <c r="W4" s="1">
        <f>M4</f>
        <v>496</v>
      </c>
      <c r="X4" s="1">
        <f>W4+1</f>
        <v>497</v>
      </c>
      <c r="Y4" s="1">
        <f>(4.899*(N4)^-0.916)/I4</f>
        <v>0.67513536014241615</v>
      </c>
      <c r="Z4" s="1">
        <f>W4</f>
        <v>496</v>
      </c>
      <c r="AA4" s="1">
        <f>Z4+1</f>
        <v>497</v>
      </c>
      <c r="AB4" s="1">
        <v>0.4</v>
      </c>
      <c r="AC4" s="1">
        <v>5</v>
      </c>
      <c r="AD4" t="b">
        <v>1</v>
      </c>
      <c r="AE4"/>
      <c r="AF4"/>
      <c r="AG4"/>
      <c r="AH4"/>
      <c r="AI4"/>
      <c r="AJ4"/>
      <c r="AK4">
        <f>(AJ2+AJ3+AJ19+AJ21+AJ20+AJ22)/6</f>
        <v>2.2211399711399711</v>
      </c>
      <c r="AL4" t="s">
        <v>104</v>
      </c>
    </row>
    <row r="5" spans="1:38">
      <c r="A5" s="1" t="s">
        <v>53</v>
      </c>
      <c r="B5" s="1" t="s">
        <v>54</v>
      </c>
      <c r="C5" s="1">
        <v>0.92</v>
      </c>
      <c r="D5" s="1">
        <v>709</v>
      </c>
      <c r="G5" s="1">
        <v>771</v>
      </c>
      <c r="H5" s="1">
        <f>G5/25.4</f>
        <v>30.354330708661418</v>
      </c>
      <c r="I5" s="1">
        <v>0.372</v>
      </c>
      <c r="J5" s="1">
        <v>-0.51</v>
      </c>
      <c r="K5" s="1">
        <v>450</v>
      </c>
      <c r="M5" s="1">
        <v>489</v>
      </c>
      <c r="N5" s="1">
        <v>31</v>
      </c>
      <c r="O5" s="1">
        <v>0.19439999999999999</v>
      </c>
      <c r="P5" s="1">
        <v>2.4041199999999998</v>
      </c>
      <c r="V5" s="1">
        <f>G5</f>
        <v>771</v>
      </c>
      <c r="W5" s="1">
        <f>M5</f>
        <v>489</v>
      </c>
      <c r="X5" s="1">
        <f>W5+1</f>
        <v>490</v>
      </c>
      <c r="Y5" s="1">
        <f>(4.899*(N5)^-0.916)/I5</f>
        <v>0.56686179546378124</v>
      </c>
      <c r="Z5" s="1">
        <f>W5</f>
        <v>489</v>
      </c>
      <c r="AA5" s="1">
        <f>Z5+1</f>
        <v>490</v>
      </c>
      <c r="AB5" s="1">
        <v>0.4</v>
      </c>
      <c r="AC5" s="1">
        <v>5</v>
      </c>
      <c r="AD5" t="b">
        <v>1</v>
      </c>
      <c r="AE5"/>
      <c r="AF5">
        <v>579</v>
      </c>
      <c r="AG5">
        <v>611</v>
      </c>
      <c r="AH5">
        <v>0.23</v>
      </c>
      <c r="AI5">
        <v>0.12</v>
      </c>
      <c r="AJ5">
        <f t="shared" si="0"/>
        <v>1.9166666666666667</v>
      </c>
      <c r="AK5"/>
      <c r="AL5"/>
    </row>
    <row r="6" spans="1:38">
      <c r="A6" s="1" t="s">
        <v>40</v>
      </c>
      <c r="B6" s="1" t="s">
        <v>41</v>
      </c>
      <c r="E6" s="1">
        <v>0.87</v>
      </c>
      <c r="F6" s="1">
        <v>1838</v>
      </c>
      <c r="G6" s="1">
        <v>2113</v>
      </c>
      <c r="H6" s="1">
        <f>G6/25.4</f>
        <v>83.188976377952756</v>
      </c>
      <c r="I6" s="1">
        <v>0.111</v>
      </c>
      <c r="J6" s="1">
        <v>9.7000000000000003E-2</v>
      </c>
      <c r="L6" s="1">
        <v>700</v>
      </c>
      <c r="M6" s="1">
        <v>805</v>
      </c>
      <c r="N6" s="1">
        <v>11</v>
      </c>
      <c r="O6" s="1">
        <v>2.7300000000000001E-2</v>
      </c>
      <c r="P6" s="1">
        <v>2.9129999999999998</v>
      </c>
      <c r="R6" s="1" t="s">
        <v>42</v>
      </c>
      <c r="S6" s="1" t="s">
        <v>29</v>
      </c>
      <c r="T6" s="1" t="s">
        <v>43</v>
      </c>
      <c r="U6" s="1" t="s">
        <v>44</v>
      </c>
      <c r="V6" s="1">
        <f>G6</f>
        <v>2113</v>
      </c>
      <c r="W6" s="1">
        <f>M6</f>
        <v>805</v>
      </c>
      <c r="X6" s="1">
        <f>W6+1</f>
        <v>806</v>
      </c>
      <c r="Y6" s="1">
        <f>(4.899*(N6)^-0.916)/I6</f>
        <v>4.9075955169489163</v>
      </c>
      <c r="Z6" s="1">
        <f>10*25.4</f>
        <v>254</v>
      </c>
      <c r="AA6" s="1">
        <f>Z6+1</f>
        <v>255</v>
      </c>
      <c r="AB6" s="1">
        <v>0.4</v>
      </c>
      <c r="AC6" s="1">
        <v>5</v>
      </c>
      <c r="AD6" t="b">
        <v>1</v>
      </c>
      <c r="AE6">
        <v>254</v>
      </c>
      <c r="AF6"/>
      <c r="AG6">
        <v>769</v>
      </c>
      <c r="AH6">
        <v>0.3</v>
      </c>
      <c r="AI6">
        <v>0.27</v>
      </c>
      <c r="AJ6">
        <f t="shared" si="0"/>
        <v>1.1111111111111109</v>
      </c>
      <c r="AK6"/>
      <c r="AL6"/>
    </row>
    <row r="7" spans="1:38">
      <c r="A7" s="1" t="s">
        <v>40</v>
      </c>
      <c r="B7" s="1" t="s">
        <v>45</v>
      </c>
      <c r="C7" s="1">
        <v>0.94</v>
      </c>
      <c r="D7" s="1">
        <v>822</v>
      </c>
      <c r="G7" s="1">
        <v>874</v>
      </c>
      <c r="H7" s="1">
        <f>G7/25.4</f>
        <v>34.409448818897637</v>
      </c>
      <c r="I7" s="1">
        <v>0.12</v>
      </c>
      <c r="J7" s="1">
        <v>0</v>
      </c>
      <c r="K7" s="1">
        <v>370</v>
      </c>
      <c r="M7" s="1">
        <v>394</v>
      </c>
      <c r="N7" s="1">
        <v>12</v>
      </c>
      <c r="O7" s="1">
        <v>1.9800000000000002E-2</v>
      </c>
      <c r="P7" s="1">
        <v>3.0009999999999999</v>
      </c>
      <c r="R7" s="1" t="s">
        <v>42</v>
      </c>
      <c r="S7" s="1" t="s">
        <v>29</v>
      </c>
      <c r="T7" s="1" t="s">
        <v>43</v>
      </c>
      <c r="U7" s="1" t="s">
        <v>44</v>
      </c>
      <c r="V7" s="1">
        <f>G7</f>
        <v>874</v>
      </c>
      <c r="W7" s="1">
        <f>M7</f>
        <v>394</v>
      </c>
      <c r="X7" s="1">
        <f>W7+1</f>
        <v>395</v>
      </c>
      <c r="Y7" s="1">
        <f>(4.899*(N7)^-0.916)/I7</f>
        <v>4.1917577120513707</v>
      </c>
      <c r="Z7" s="1">
        <f>10*25.4</f>
        <v>254</v>
      </c>
      <c r="AA7" s="1">
        <f>Z7+1</f>
        <v>255</v>
      </c>
      <c r="AB7" s="1">
        <v>0.4</v>
      </c>
      <c r="AC7" s="1">
        <v>5</v>
      </c>
      <c r="AD7" t="b">
        <v>1</v>
      </c>
      <c r="AE7">
        <v>254</v>
      </c>
      <c r="AF7"/>
      <c r="AG7"/>
      <c r="AH7"/>
      <c r="AI7"/>
      <c r="AJ7"/>
      <c r="AK7">
        <f>(AJ6+AJ8+AJ28)/3</f>
        <v>0.72773471145564173</v>
      </c>
      <c r="AL7" t="s">
        <v>105</v>
      </c>
    </row>
    <row r="8" spans="1:38">
      <c r="A8" s="1" t="s">
        <v>40</v>
      </c>
      <c r="B8" s="1" t="s">
        <v>46</v>
      </c>
      <c r="E8" s="1">
        <v>0.84</v>
      </c>
      <c r="F8" s="1">
        <v>897</v>
      </c>
      <c r="G8" s="1">
        <v>1068</v>
      </c>
      <c r="H8" s="1">
        <f>G8/25.4</f>
        <v>42.047244094488192</v>
      </c>
      <c r="I8" s="1">
        <v>0.23300000000000001</v>
      </c>
      <c r="J8" s="1">
        <v>-4.3999999999999997E-2</v>
      </c>
      <c r="L8" s="1">
        <v>400</v>
      </c>
      <c r="M8" s="1">
        <v>476</v>
      </c>
      <c r="N8" s="1">
        <v>7</v>
      </c>
      <c r="O8" s="1">
        <v>2.4199999999999999E-2</v>
      </c>
      <c r="P8" s="1">
        <v>2.9409999999999998</v>
      </c>
      <c r="R8" s="1" t="s">
        <v>42</v>
      </c>
      <c r="S8" s="1" t="s">
        <v>29</v>
      </c>
      <c r="T8" s="1" t="s">
        <v>43</v>
      </c>
      <c r="U8" s="1" t="s">
        <v>44</v>
      </c>
      <c r="V8" s="1">
        <f>G8</f>
        <v>1068</v>
      </c>
      <c r="W8" s="1">
        <f>M8</f>
        <v>476</v>
      </c>
      <c r="X8" s="1">
        <f>W8+1</f>
        <v>477</v>
      </c>
      <c r="Y8" s="1">
        <f>(4.899*(N8)^-0.916)/I8</f>
        <v>3.5370541919058174</v>
      </c>
      <c r="Z8" s="1">
        <f>10*25.4</f>
        <v>254</v>
      </c>
      <c r="AA8" s="1">
        <f>Z8+1</f>
        <v>255</v>
      </c>
      <c r="AB8" s="1">
        <v>0.4</v>
      </c>
      <c r="AC8" s="1">
        <v>5</v>
      </c>
      <c r="AD8" t="b">
        <v>1</v>
      </c>
      <c r="AE8">
        <v>254</v>
      </c>
      <c r="AF8">
        <v>433</v>
      </c>
      <c r="AG8">
        <v>545</v>
      </c>
      <c r="AH8">
        <v>0.16</v>
      </c>
      <c r="AI8">
        <v>0.43</v>
      </c>
      <c r="AJ8">
        <f t="shared" si="0"/>
        <v>0.37209302325581395</v>
      </c>
      <c r="AK8"/>
      <c r="AL8"/>
    </row>
    <row r="9" spans="1:38">
      <c r="A9" s="1" t="s">
        <v>40</v>
      </c>
      <c r="B9" s="1" t="s">
        <v>47</v>
      </c>
      <c r="C9" s="1">
        <v>0.9</v>
      </c>
      <c r="D9" s="1">
        <v>800</v>
      </c>
      <c r="E9" s="1">
        <v>0.83</v>
      </c>
      <c r="G9" s="1">
        <v>889</v>
      </c>
      <c r="H9" s="1">
        <f>G9/25.4</f>
        <v>35</v>
      </c>
      <c r="I9" s="1">
        <v>0.24</v>
      </c>
      <c r="J9" s="1">
        <v>0</v>
      </c>
      <c r="L9" s="1">
        <v>420</v>
      </c>
      <c r="M9" s="1">
        <v>506</v>
      </c>
      <c r="N9" s="1">
        <v>11</v>
      </c>
      <c r="O9" s="1">
        <v>1.9800000000000002E-2</v>
      </c>
      <c r="P9" s="1">
        <v>2.9860000000000002</v>
      </c>
      <c r="R9" s="1" t="s">
        <v>42</v>
      </c>
      <c r="S9" s="1" t="s">
        <v>29</v>
      </c>
      <c r="T9" s="1" t="s">
        <v>43</v>
      </c>
      <c r="U9" s="1" t="s">
        <v>44</v>
      </c>
      <c r="V9" s="1">
        <f>G9</f>
        <v>889</v>
      </c>
      <c r="W9" s="1">
        <f>M9</f>
        <v>506</v>
      </c>
      <c r="X9" s="1">
        <f>W9+1</f>
        <v>507</v>
      </c>
      <c r="Y9" s="1">
        <f>(4.899*(N9)^-0.916)/I9</f>
        <v>2.2697629265888741</v>
      </c>
      <c r="Z9" s="1">
        <f>10*25.4</f>
        <v>254</v>
      </c>
      <c r="AA9" s="1">
        <f>Z9+1</f>
        <v>255</v>
      </c>
      <c r="AB9" s="1">
        <v>0.4</v>
      </c>
      <c r="AC9" s="1">
        <v>5</v>
      </c>
      <c r="AD9" t="b">
        <v>1</v>
      </c>
      <c r="AE9">
        <v>254</v>
      </c>
      <c r="AF9"/>
      <c r="AG9"/>
      <c r="AH9"/>
      <c r="AI9"/>
      <c r="AJ9"/>
      <c r="AK9">
        <v>0.72773471145564173</v>
      </c>
      <c r="AL9"/>
    </row>
    <row r="10" spans="1:38">
      <c r="A10" s="1" t="s">
        <v>79</v>
      </c>
      <c r="B10" s="1" t="s">
        <v>80</v>
      </c>
      <c r="E10" s="1">
        <v>0.82</v>
      </c>
      <c r="G10" s="1">
        <v>506</v>
      </c>
      <c r="H10" s="1">
        <f>G10/25.4</f>
        <v>19.921259842519685</v>
      </c>
      <c r="I10" s="1">
        <v>7.4999999999999997E-2</v>
      </c>
      <c r="J10" s="1">
        <v>-6.5</v>
      </c>
      <c r="L10" s="1">
        <v>220</v>
      </c>
      <c r="M10" s="1">
        <v>268</v>
      </c>
      <c r="N10" s="1">
        <v>25</v>
      </c>
      <c r="O10" s="1">
        <v>0.02</v>
      </c>
      <c r="P10" s="1">
        <v>2.99</v>
      </c>
      <c r="Q10" s="1" t="s">
        <v>81</v>
      </c>
      <c r="V10" s="1">
        <f>G10</f>
        <v>506</v>
      </c>
      <c r="W10" s="1">
        <f>M10</f>
        <v>268</v>
      </c>
      <c r="X10" s="1">
        <f>W10+1</f>
        <v>269</v>
      </c>
      <c r="Y10" s="1">
        <f>(4.899*(N10)^-0.916)/I10</f>
        <v>3.4239950497333114</v>
      </c>
      <c r="AA10" s="1">
        <f>Z10+1</f>
        <v>1</v>
      </c>
      <c r="AB10" s="1">
        <v>0.4</v>
      </c>
      <c r="AC10" s="1">
        <v>5</v>
      </c>
      <c r="AD10" t="b">
        <v>1</v>
      </c>
      <c r="AE10"/>
      <c r="AF10">
        <v>380</v>
      </c>
      <c r="AG10">
        <v>409</v>
      </c>
      <c r="AH10">
        <v>0.01</v>
      </c>
      <c r="AI10">
        <v>0.12</v>
      </c>
      <c r="AJ10">
        <f t="shared" si="0"/>
        <v>8.3333333333333343E-2</v>
      </c>
      <c r="AK10"/>
      <c r="AL10"/>
    </row>
    <row r="11" spans="1:38">
      <c r="A11" s="1" t="s">
        <v>73</v>
      </c>
      <c r="B11" s="1" t="s">
        <v>74</v>
      </c>
      <c r="C11" s="1">
        <v>1</v>
      </c>
      <c r="E11" s="1">
        <v>0.87</v>
      </c>
      <c r="F11" s="1">
        <v>251</v>
      </c>
      <c r="G11" s="1">
        <v>289</v>
      </c>
      <c r="H11" s="1">
        <f>G11/25.4</f>
        <v>11.377952755905513</v>
      </c>
      <c r="I11" s="1">
        <v>0.442</v>
      </c>
      <c r="J11" s="1">
        <v>-0.75600000000000001</v>
      </c>
      <c r="K11" s="1">
        <v>170</v>
      </c>
      <c r="M11" s="1">
        <v>170</v>
      </c>
      <c r="N11" s="1">
        <v>10</v>
      </c>
      <c r="O11" s="1">
        <v>2.4309999999999998E-2</v>
      </c>
      <c r="P11" s="1">
        <v>2.9693100000000001</v>
      </c>
      <c r="V11" s="1">
        <f>G11</f>
        <v>289</v>
      </c>
      <c r="W11" s="1">
        <f>M11</f>
        <v>170</v>
      </c>
      <c r="X11" s="1">
        <f>W11+1</f>
        <v>171</v>
      </c>
      <c r="Y11" s="1">
        <f>(4.899*(N11)^-0.916)/I11</f>
        <v>1.3448850629927422</v>
      </c>
      <c r="Z11" s="1">
        <f>W11</f>
        <v>170</v>
      </c>
      <c r="AA11" s="1">
        <f>Z11+1</f>
        <v>171</v>
      </c>
      <c r="AB11" s="1">
        <v>0.4</v>
      </c>
      <c r="AC11" s="1">
        <v>5</v>
      </c>
      <c r="AD11" t="b">
        <v>1</v>
      </c>
      <c r="AE11"/>
      <c r="AF11"/>
      <c r="AG11"/>
      <c r="AH11"/>
      <c r="AI11"/>
      <c r="AJ11"/>
      <c r="AK11">
        <f>(AJ26+AJ27)/2</f>
        <v>0.87428571428571433</v>
      </c>
      <c r="AL11" t="s">
        <v>106</v>
      </c>
    </row>
    <row r="12" spans="1:38">
      <c r="A12" s="1" t="s">
        <v>19</v>
      </c>
      <c r="B12" s="1" t="s">
        <v>24</v>
      </c>
      <c r="C12" s="1">
        <v>0.94</v>
      </c>
      <c r="D12" s="1">
        <v>133</v>
      </c>
      <c r="G12" s="1">
        <v>141</v>
      </c>
      <c r="H12" s="1">
        <f>G12/25.4</f>
        <v>5.5511811023622046</v>
      </c>
      <c r="I12" s="1">
        <v>0.58260000000000001</v>
      </c>
      <c r="J12" s="1">
        <v>-1.1000000000000001</v>
      </c>
      <c r="K12" s="1">
        <v>92</v>
      </c>
      <c r="M12" s="1">
        <v>98</v>
      </c>
      <c r="N12" s="1">
        <v>18</v>
      </c>
      <c r="O12" s="1">
        <v>2.2000000000000001E-3</v>
      </c>
      <c r="P12" s="1">
        <v>3</v>
      </c>
      <c r="Q12" s="1" t="s">
        <v>25</v>
      </c>
      <c r="R12" s="1" t="s">
        <v>26</v>
      </c>
      <c r="V12" s="1">
        <f>G12</f>
        <v>141</v>
      </c>
      <c r="W12" s="1">
        <f>M12</f>
        <v>98</v>
      </c>
      <c r="X12" s="1">
        <f>W12+1</f>
        <v>99</v>
      </c>
      <c r="Y12" s="1">
        <f>(4.899*(N12)^-0.916)/I12</f>
        <v>0.5955350742363541</v>
      </c>
      <c r="Z12" s="1">
        <f>W12</f>
        <v>98</v>
      </c>
      <c r="AA12" s="1">
        <f>Z12+1</f>
        <v>99</v>
      </c>
      <c r="AB12" s="1">
        <v>0.4</v>
      </c>
      <c r="AC12" s="1">
        <v>5</v>
      </c>
      <c r="AD12" t="b">
        <v>1</v>
      </c>
      <c r="AE12"/>
      <c r="AF12"/>
      <c r="AG12"/>
      <c r="AH12"/>
      <c r="AI12"/>
      <c r="AJ12"/>
      <c r="AK12">
        <v>2.2211399711399711</v>
      </c>
      <c r="AL12"/>
    </row>
    <row r="13" spans="1:38">
      <c r="A13" s="1" t="s">
        <v>40</v>
      </c>
      <c r="B13" s="1" t="s">
        <v>48</v>
      </c>
      <c r="C13" s="1">
        <v>0.84</v>
      </c>
      <c r="D13" s="1">
        <v>975</v>
      </c>
      <c r="G13" s="1">
        <v>1161</v>
      </c>
      <c r="H13" s="1">
        <f>G13/25.4</f>
        <v>45.708661417322837</v>
      </c>
      <c r="I13" s="1">
        <v>0.6</v>
      </c>
      <c r="J13" s="1">
        <v>0</v>
      </c>
      <c r="K13" s="1">
        <v>640</v>
      </c>
      <c r="M13" s="1">
        <v>762</v>
      </c>
      <c r="N13" s="1">
        <v>13</v>
      </c>
      <c r="O13" s="1">
        <v>1.35E-2</v>
      </c>
      <c r="P13" s="1">
        <v>2.92</v>
      </c>
      <c r="V13" s="1">
        <f>G13</f>
        <v>1161</v>
      </c>
      <c r="W13" s="1">
        <f>M13</f>
        <v>762</v>
      </c>
      <c r="X13" s="1">
        <f>W13+1</f>
        <v>763</v>
      </c>
      <c r="Y13" s="1">
        <f>(4.899*(N13)^-0.916)/I13</f>
        <v>0.77908362865776815</v>
      </c>
      <c r="Z13" s="1">
        <f>W13</f>
        <v>762</v>
      </c>
      <c r="AA13" s="1">
        <f>Z13+1</f>
        <v>763</v>
      </c>
      <c r="AB13" s="1">
        <v>0.4</v>
      </c>
      <c r="AC13" s="1">
        <v>5</v>
      </c>
      <c r="AD13" t="b">
        <v>1</v>
      </c>
      <c r="AE13"/>
      <c r="AF13"/>
      <c r="AG13"/>
      <c r="AH13"/>
      <c r="AI13"/>
      <c r="AJ13"/>
      <c r="AK13">
        <v>0.72773471145564173</v>
      </c>
      <c r="AL13"/>
    </row>
    <row r="14" spans="1:38">
      <c r="A14" s="1" t="s">
        <v>53</v>
      </c>
      <c r="B14" s="1" t="s">
        <v>55</v>
      </c>
      <c r="G14" s="1">
        <v>340</v>
      </c>
      <c r="H14" s="1">
        <f>G14/25.4</f>
        <v>13.385826771653544</v>
      </c>
      <c r="I14" s="1">
        <v>0.28999999999999998</v>
      </c>
      <c r="J14" s="1">
        <v>-1.37</v>
      </c>
      <c r="M14" s="1">
        <v>200</v>
      </c>
      <c r="N14" s="1">
        <v>8</v>
      </c>
      <c r="O14" s="1">
        <v>8.4200000000000004E-3</v>
      </c>
      <c r="P14" s="1">
        <v>3.2469600000000001</v>
      </c>
      <c r="V14" s="1">
        <f>G14</f>
        <v>340</v>
      </c>
      <c r="W14" s="1">
        <f>M14</f>
        <v>200</v>
      </c>
      <c r="X14" s="1">
        <f>W14+1</f>
        <v>201</v>
      </c>
      <c r="Y14" s="1">
        <f>(4.899*(N14)^-0.916)/I14</f>
        <v>2.514658493551285</v>
      </c>
      <c r="Z14" s="1">
        <f>W14</f>
        <v>200</v>
      </c>
      <c r="AA14" s="1">
        <f>Z14+1</f>
        <v>201</v>
      </c>
      <c r="AB14" s="1">
        <v>0.4</v>
      </c>
      <c r="AC14" s="1">
        <v>5</v>
      </c>
      <c r="AD14" t="b">
        <v>1</v>
      </c>
      <c r="AE14"/>
      <c r="AF14">
        <v>275</v>
      </c>
      <c r="AG14">
        <v>264</v>
      </c>
      <c r="AH14">
        <v>0.36</v>
      </c>
      <c r="AI14">
        <v>0.37</v>
      </c>
      <c r="AJ14">
        <f t="shared" si="0"/>
        <v>0.97297297297297292</v>
      </c>
      <c r="AK14"/>
      <c r="AL14"/>
    </row>
    <row r="15" spans="1:38">
      <c r="A15" s="1" t="s">
        <v>56</v>
      </c>
      <c r="B15" s="1" t="s">
        <v>57</v>
      </c>
      <c r="G15" s="1">
        <v>609</v>
      </c>
      <c r="H15" s="1">
        <f>G15/25.4</f>
        <v>23.976377952755907</v>
      </c>
      <c r="I15" s="1">
        <v>0.3</v>
      </c>
      <c r="J15" s="1">
        <v>-0.14000000000000001</v>
      </c>
      <c r="M15" s="1">
        <v>325</v>
      </c>
      <c r="N15" s="1">
        <v>13</v>
      </c>
      <c r="O15" s="1">
        <v>1.085E-2</v>
      </c>
      <c r="P15" s="1">
        <v>3.089</v>
      </c>
      <c r="R15" s="1" t="s">
        <v>58</v>
      </c>
      <c r="S15" s="1" t="s">
        <v>59</v>
      </c>
      <c r="T15" s="1" t="s">
        <v>60</v>
      </c>
      <c r="U15" s="1" t="s">
        <v>31</v>
      </c>
      <c r="V15" s="1">
        <f>G15</f>
        <v>609</v>
      </c>
      <c r="W15" s="1">
        <f>M15</f>
        <v>325</v>
      </c>
      <c r="X15" s="1">
        <f>W15+1</f>
        <v>326</v>
      </c>
      <c r="Y15" s="1">
        <f>(4.899*(N15)^-0.916)/I15</f>
        <v>1.5581672573155363</v>
      </c>
      <c r="Z15" s="1">
        <f>11*25.4</f>
        <v>279.39999999999998</v>
      </c>
      <c r="AA15" s="1">
        <f>Z15+1</f>
        <v>280.39999999999998</v>
      </c>
      <c r="AB15" s="1">
        <v>0.4</v>
      </c>
      <c r="AC15" s="1">
        <v>5</v>
      </c>
      <c r="AD15" t="b">
        <v>1</v>
      </c>
      <c r="AE15">
        <v>279</v>
      </c>
      <c r="AF15"/>
      <c r="AG15"/>
      <c r="AH15"/>
      <c r="AI15"/>
      <c r="AJ15"/>
      <c r="AK15"/>
      <c r="AL15"/>
    </row>
    <row r="16" spans="1:38">
      <c r="A16" s="1" t="s">
        <v>61</v>
      </c>
      <c r="B16" s="1" t="s">
        <v>62</v>
      </c>
      <c r="C16" s="1">
        <v>0.92</v>
      </c>
      <c r="D16" s="1">
        <v>342</v>
      </c>
      <c r="G16" s="1">
        <v>372</v>
      </c>
      <c r="H16" s="1">
        <f>G16/25.4</f>
        <v>14.645669291338583</v>
      </c>
      <c r="I16" s="1">
        <v>0.56399999999999995</v>
      </c>
      <c r="J16" s="1">
        <v>-0.36</v>
      </c>
      <c r="K16" s="1">
        <v>183</v>
      </c>
      <c r="M16" s="1">
        <v>199</v>
      </c>
      <c r="N16" s="1">
        <v>6</v>
      </c>
      <c r="O16" s="1">
        <v>8.6999999999999994E-3</v>
      </c>
      <c r="P16" s="1">
        <v>3.21</v>
      </c>
      <c r="R16" s="1" t="s">
        <v>63</v>
      </c>
      <c r="S16" s="1" t="s">
        <v>29</v>
      </c>
      <c r="T16" s="1" t="s">
        <v>64</v>
      </c>
      <c r="U16" s="1" t="s">
        <v>65</v>
      </c>
      <c r="V16" s="1">
        <f>G16</f>
        <v>372</v>
      </c>
      <c r="W16" s="1">
        <f>M16</f>
        <v>199</v>
      </c>
      <c r="X16" s="1">
        <f>W16+1</f>
        <v>200</v>
      </c>
      <c r="Y16" s="1">
        <f>(4.899*(N16)^-0.916)/I16</f>
        <v>1.6828359846956942</v>
      </c>
      <c r="Z16" s="1">
        <f>7*25.4</f>
        <v>177.79999999999998</v>
      </c>
      <c r="AA16" s="1">
        <f>Z16+1</f>
        <v>178.79999999999998</v>
      </c>
      <c r="AB16" s="1">
        <v>0.4</v>
      </c>
      <c r="AC16" s="1">
        <v>5</v>
      </c>
      <c r="AD16" t="b">
        <v>1</v>
      </c>
      <c r="AE16"/>
      <c r="AF16"/>
      <c r="AG16">
        <v>313</v>
      </c>
      <c r="AH16">
        <v>0.42</v>
      </c>
      <c r="AI16">
        <v>0.5</v>
      </c>
      <c r="AJ16">
        <f t="shared" si="0"/>
        <v>0.84</v>
      </c>
      <c r="AK16"/>
      <c r="AL16"/>
    </row>
    <row r="17" spans="1:38">
      <c r="A17" s="1" t="s">
        <v>61</v>
      </c>
      <c r="B17" s="1" t="s">
        <v>66</v>
      </c>
      <c r="C17" s="1">
        <v>0.85</v>
      </c>
      <c r="D17" s="1">
        <v>227</v>
      </c>
      <c r="G17" s="1">
        <v>267</v>
      </c>
      <c r="H17" s="1">
        <f>G17/25.4</f>
        <v>10.511811023622048</v>
      </c>
      <c r="I17" s="1">
        <v>1.3</v>
      </c>
      <c r="J17" s="1">
        <v>-1.1000000000000001</v>
      </c>
      <c r="K17" s="1">
        <v>175</v>
      </c>
      <c r="M17" s="1">
        <v>206</v>
      </c>
      <c r="N17" s="1">
        <v>5</v>
      </c>
      <c r="O17" s="1">
        <v>1.67E-2</v>
      </c>
      <c r="P17" s="1">
        <v>2.96</v>
      </c>
      <c r="V17" s="1">
        <f>G17</f>
        <v>267</v>
      </c>
      <c r="W17" s="1">
        <f>M17</f>
        <v>206</v>
      </c>
      <c r="X17" s="1">
        <f>W17+1</f>
        <v>207</v>
      </c>
      <c r="Y17" s="1">
        <f>(4.899*(N17)^-0.916)/I17</f>
        <v>0.86279488780991498</v>
      </c>
      <c r="Z17" s="1">
        <f>W17</f>
        <v>206</v>
      </c>
      <c r="AA17" s="1">
        <f>Z17+1</f>
        <v>207</v>
      </c>
      <c r="AB17" s="1">
        <v>0.4</v>
      </c>
      <c r="AC17" s="1">
        <v>5</v>
      </c>
      <c r="AD17" t="b">
        <v>1</v>
      </c>
      <c r="AE17"/>
      <c r="AF17">
        <v>236</v>
      </c>
      <c r="AG17">
        <v>268</v>
      </c>
      <c r="AH17">
        <v>0.01</v>
      </c>
      <c r="AI17">
        <v>0.6</v>
      </c>
      <c r="AJ17">
        <f t="shared" si="0"/>
        <v>1.6666666666666666E-2</v>
      </c>
      <c r="AK17"/>
      <c r="AL17"/>
    </row>
    <row r="18" spans="1:38">
      <c r="A18" s="1" t="s">
        <v>51</v>
      </c>
      <c r="B18" s="1" t="s">
        <v>52</v>
      </c>
      <c r="E18" s="1">
        <v>0.78</v>
      </c>
      <c r="F18" s="1">
        <v>211</v>
      </c>
      <c r="G18" s="1">
        <v>271</v>
      </c>
      <c r="H18" s="1">
        <f>G18/25.4</f>
        <v>10.669291338582678</v>
      </c>
      <c r="I18" s="1">
        <v>0.14749999999999999</v>
      </c>
      <c r="J18" s="1">
        <v>-4.4786000000000001</v>
      </c>
      <c r="M18" s="1">
        <v>175</v>
      </c>
      <c r="N18" s="1">
        <v>27</v>
      </c>
      <c r="O18" s="1">
        <v>2.7689999999999999E-2</v>
      </c>
      <c r="P18" s="1">
        <v>3.0033599999999998</v>
      </c>
      <c r="V18" s="1">
        <f>G18</f>
        <v>271</v>
      </c>
      <c r="W18" s="1">
        <f>M18</f>
        <v>175</v>
      </c>
      <c r="X18" s="1">
        <f>W18+1</f>
        <v>176</v>
      </c>
      <c r="Y18" s="1">
        <f>(4.899*(N18)^-0.916)/I18</f>
        <v>1.6225056252215129</v>
      </c>
      <c r="Z18" s="1">
        <f>W18</f>
        <v>175</v>
      </c>
      <c r="AA18" s="1">
        <f>Z18+1</f>
        <v>176</v>
      </c>
      <c r="AB18" s="1">
        <v>0.4</v>
      </c>
      <c r="AC18" s="1">
        <v>5</v>
      </c>
      <c r="AD18" t="b">
        <v>1</v>
      </c>
      <c r="AE18"/>
      <c r="AF18">
        <v>222</v>
      </c>
      <c r="AG18"/>
      <c r="AH18">
        <v>0.04</v>
      </c>
      <c r="AI18">
        <v>0.11</v>
      </c>
      <c r="AJ18">
        <f>AH18/AI18</f>
        <v>0.36363636363636365</v>
      </c>
      <c r="AK18"/>
      <c r="AL18"/>
    </row>
    <row r="19" spans="1:38">
      <c r="A19" s="1" t="s">
        <v>19</v>
      </c>
      <c r="B19" s="1" t="s">
        <v>27</v>
      </c>
      <c r="E19" s="1">
        <v>0.93</v>
      </c>
      <c r="F19" s="1">
        <v>304</v>
      </c>
      <c r="G19" s="1">
        <v>327</v>
      </c>
      <c r="H19" s="1">
        <f>G19/25.4</f>
        <v>12.874015748031496</v>
      </c>
      <c r="I19" s="1">
        <v>0.40200000000000002</v>
      </c>
      <c r="J19" s="1">
        <v>-0.21</v>
      </c>
      <c r="L19" s="1">
        <v>250</v>
      </c>
      <c r="M19" s="1">
        <v>269</v>
      </c>
      <c r="N19" s="1">
        <v>25</v>
      </c>
      <c r="O19" s="1">
        <v>1.065E-2</v>
      </c>
      <c r="P19" s="1">
        <v>3.2429700000000001</v>
      </c>
      <c r="R19" s="1" t="s">
        <v>94</v>
      </c>
      <c r="S19" s="1" t="s">
        <v>29</v>
      </c>
      <c r="U19" s="1" t="s">
        <v>31</v>
      </c>
      <c r="V19" s="1">
        <f>G19</f>
        <v>327</v>
      </c>
      <c r="W19" s="1">
        <f>M19</f>
        <v>269</v>
      </c>
      <c r="X19" s="1">
        <f>W19+1</f>
        <v>270</v>
      </c>
      <c r="Y19" s="1">
        <f>(4.899*(N19)^-0.916)/I19</f>
        <v>0.63880504659203563</v>
      </c>
      <c r="Z19" s="1">
        <f>W19</f>
        <v>269</v>
      </c>
      <c r="AA19" s="1">
        <f>X19</f>
        <v>270</v>
      </c>
      <c r="AB19" s="1">
        <v>0.4</v>
      </c>
      <c r="AC19" s="1">
        <v>5</v>
      </c>
      <c r="AD19" t="b">
        <v>1</v>
      </c>
      <c r="AE19"/>
      <c r="AF19">
        <v>271</v>
      </c>
      <c r="AG19"/>
      <c r="AH19">
        <v>0.11</v>
      </c>
      <c r="AI19">
        <v>0.12</v>
      </c>
      <c r="AJ19">
        <f t="shared" si="0"/>
        <v>0.91666666666666674</v>
      </c>
      <c r="AK19"/>
      <c r="AL19"/>
    </row>
    <row r="20" spans="1:38">
      <c r="A20" s="1" t="s">
        <v>19</v>
      </c>
      <c r="B20" s="1" t="s">
        <v>32</v>
      </c>
      <c r="E20" s="1">
        <v>0.88</v>
      </c>
      <c r="F20" s="1">
        <v>527</v>
      </c>
      <c r="G20" s="1">
        <v>599</v>
      </c>
      <c r="H20" s="1">
        <f>G20/25.4</f>
        <v>23.582677165354333</v>
      </c>
      <c r="I20" s="1">
        <v>0.221</v>
      </c>
      <c r="J20" s="1">
        <v>-0.22</v>
      </c>
      <c r="L20" s="1">
        <v>450</v>
      </c>
      <c r="M20" s="1">
        <v>511</v>
      </c>
      <c r="N20" s="1">
        <v>44</v>
      </c>
      <c r="O20" s="1">
        <v>4.24E-2</v>
      </c>
      <c r="P20" s="1">
        <v>2.8540000000000001</v>
      </c>
      <c r="R20" s="1" t="s">
        <v>95</v>
      </c>
      <c r="S20" s="1" t="s">
        <v>29</v>
      </c>
      <c r="T20" s="1" t="s">
        <v>33</v>
      </c>
      <c r="U20" s="1" t="s">
        <v>31</v>
      </c>
      <c r="V20" s="1">
        <f>G20</f>
        <v>599</v>
      </c>
      <c r="W20" s="1">
        <f>M20</f>
        <v>511</v>
      </c>
      <c r="X20" s="1">
        <f>W20+1</f>
        <v>512</v>
      </c>
      <c r="Y20" s="1">
        <f>(4.899*(N20)^-0.916)/I20</f>
        <v>0.69232898495767137</v>
      </c>
      <c r="Z20" s="1">
        <f>16*25.4</f>
        <v>406.4</v>
      </c>
      <c r="AA20" s="1">
        <f>Z20+1</f>
        <v>407.4</v>
      </c>
      <c r="AB20" s="1">
        <v>0.4</v>
      </c>
      <c r="AC20" s="1">
        <v>5</v>
      </c>
      <c r="AD20" t="b">
        <v>1</v>
      </c>
      <c r="AE20">
        <v>406</v>
      </c>
      <c r="AF20"/>
      <c r="AG20">
        <v>466</v>
      </c>
      <c r="AH20">
        <v>0.13</v>
      </c>
      <c r="AI20">
        <v>7.0000000000000007E-2</v>
      </c>
      <c r="AJ20">
        <f t="shared" si="0"/>
        <v>1.857142857142857</v>
      </c>
      <c r="AK20"/>
      <c r="AL20"/>
    </row>
    <row r="21" spans="1:38">
      <c r="A21" s="1" t="s">
        <v>19</v>
      </c>
      <c r="B21" s="1" t="s">
        <v>34</v>
      </c>
      <c r="C21" s="1">
        <v>1</v>
      </c>
      <c r="D21" s="1">
        <v>256</v>
      </c>
      <c r="G21" s="1">
        <v>256</v>
      </c>
      <c r="H21" s="1">
        <f>G21/25.4</f>
        <v>10.078740157480315</v>
      </c>
      <c r="I21" s="1">
        <v>0.34079999999999999</v>
      </c>
      <c r="J21" s="1">
        <v>-0.66</v>
      </c>
      <c r="K21" s="1">
        <v>199</v>
      </c>
      <c r="M21" s="1">
        <v>199</v>
      </c>
      <c r="N21" s="1">
        <v>25</v>
      </c>
      <c r="O21" s="1">
        <v>4.9700000000000001E-2</v>
      </c>
      <c r="P21" s="1">
        <v>2.839</v>
      </c>
      <c r="Q21" s="1" t="s">
        <v>25</v>
      </c>
      <c r="R21" s="1" t="s">
        <v>35</v>
      </c>
      <c r="V21" s="1">
        <f>G21</f>
        <v>256</v>
      </c>
      <c r="W21" s="1">
        <f>M21</f>
        <v>199</v>
      </c>
      <c r="X21" s="1">
        <f>W21+1</f>
        <v>200</v>
      </c>
      <c r="Y21" s="1">
        <f>(4.899*(N21)^-0.916)/I21</f>
        <v>0.75352003735328155</v>
      </c>
      <c r="Z21" s="1">
        <f>W21</f>
        <v>199</v>
      </c>
      <c r="AA21" s="1">
        <f>Z21+1</f>
        <v>200</v>
      </c>
      <c r="AB21" s="1">
        <v>0.4</v>
      </c>
      <c r="AC21" s="1">
        <v>5</v>
      </c>
      <c r="AD21" t="b">
        <v>1</v>
      </c>
      <c r="AE21"/>
      <c r="AF21">
        <v>277</v>
      </c>
      <c r="AG21">
        <v>289</v>
      </c>
      <c r="AH21">
        <v>0.21</v>
      </c>
      <c r="AI21">
        <v>0.12</v>
      </c>
      <c r="AJ21">
        <f t="shared" si="0"/>
        <v>1.75</v>
      </c>
      <c r="AK21"/>
      <c r="AL21"/>
    </row>
    <row r="22" spans="1:38">
      <c r="A22" s="1" t="s">
        <v>19</v>
      </c>
      <c r="B22" s="1" t="s">
        <v>36</v>
      </c>
      <c r="C22" s="1">
        <v>1</v>
      </c>
      <c r="D22" s="1">
        <v>480</v>
      </c>
      <c r="G22" s="1">
        <v>480</v>
      </c>
      <c r="H22" s="1">
        <f>G22/25.4</f>
        <v>18.897637795275593</v>
      </c>
      <c r="I22" s="1">
        <v>0.44</v>
      </c>
      <c r="J22" s="1">
        <v>-0.12</v>
      </c>
      <c r="K22" s="1">
        <v>355</v>
      </c>
      <c r="M22" s="1">
        <v>355</v>
      </c>
      <c r="N22" s="1">
        <v>50</v>
      </c>
      <c r="O22" s="1">
        <v>1.788E-2</v>
      </c>
      <c r="P22" s="1">
        <v>3.03545</v>
      </c>
      <c r="R22" s="1" t="s">
        <v>28</v>
      </c>
      <c r="S22" s="1" t="s">
        <v>29</v>
      </c>
      <c r="T22" s="1" t="s">
        <v>30</v>
      </c>
      <c r="U22" s="1" t="s">
        <v>31</v>
      </c>
      <c r="V22" s="1">
        <f>G22</f>
        <v>480</v>
      </c>
      <c r="W22" s="1">
        <f>M22</f>
        <v>355</v>
      </c>
      <c r="X22" s="1">
        <f>W22+1</f>
        <v>356</v>
      </c>
      <c r="Y22" s="1">
        <f>(4.899*(N22)^-0.916)/I22</f>
        <v>0.30931304687244354</v>
      </c>
      <c r="Z22" s="1">
        <f>14*25.4</f>
        <v>355.59999999999997</v>
      </c>
      <c r="AA22" s="1">
        <f>Z22+1</f>
        <v>356.59999999999997</v>
      </c>
      <c r="AB22" s="1">
        <v>0.4</v>
      </c>
      <c r="AC22" s="1">
        <v>5</v>
      </c>
      <c r="AD22" t="b">
        <v>1</v>
      </c>
      <c r="AE22">
        <v>356</v>
      </c>
      <c r="AF22">
        <v>344</v>
      </c>
      <c r="AG22"/>
      <c r="AH22">
        <v>0.25</v>
      </c>
      <c r="AI22">
        <v>0.06</v>
      </c>
      <c r="AJ22">
        <f t="shared" si="0"/>
        <v>4.166666666666667</v>
      </c>
      <c r="AK22"/>
      <c r="AL22"/>
    </row>
    <row r="23" spans="1:38">
      <c r="A23" s="1" t="s">
        <v>61</v>
      </c>
      <c r="B23" s="1" t="s">
        <v>67</v>
      </c>
      <c r="C23" s="1">
        <v>0.9</v>
      </c>
      <c r="D23" s="1">
        <v>303</v>
      </c>
      <c r="G23" s="1">
        <v>337</v>
      </c>
      <c r="H23" s="1">
        <f>G23/25.4</f>
        <v>13.267716535433072</v>
      </c>
      <c r="I23" s="1">
        <v>0.75555000000000005</v>
      </c>
      <c r="J23" s="1">
        <v>-0.13500000000000001</v>
      </c>
      <c r="K23" s="1">
        <v>148</v>
      </c>
      <c r="M23" s="1">
        <v>164</v>
      </c>
      <c r="N23" s="1">
        <v>5</v>
      </c>
      <c r="O23" s="1">
        <v>1.136E-2</v>
      </c>
      <c r="P23" s="1">
        <v>3.21082</v>
      </c>
      <c r="R23" s="1" t="s">
        <v>68</v>
      </c>
      <c r="S23" s="1" t="s">
        <v>29</v>
      </c>
      <c r="T23" s="1" t="s">
        <v>69</v>
      </c>
      <c r="U23" s="1" t="s">
        <v>31</v>
      </c>
      <c r="V23" s="1">
        <f>G23</f>
        <v>337</v>
      </c>
      <c r="W23" s="1">
        <f>M23</f>
        <v>164</v>
      </c>
      <c r="X23" s="1">
        <f>W23+1</f>
        <v>165</v>
      </c>
      <c r="Y23" s="1">
        <f>(4.899*(N23)^-0.916)/I23</f>
        <v>1.4845256490674203</v>
      </c>
      <c r="Z23" s="1">
        <f>7*25.4</f>
        <v>177.79999999999998</v>
      </c>
      <c r="AA23" s="1">
        <f>Z23+1</f>
        <v>178.79999999999998</v>
      </c>
      <c r="AB23" s="1">
        <v>0.4</v>
      </c>
      <c r="AC23" s="1">
        <v>5</v>
      </c>
      <c r="AD23" t="b">
        <v>1</v>
      </c>
      <c r="AE23">
        <v>179</v>
      </c>
      <c r="AF23"/>
      <c r="AG23"/>
      <c r="AH23"/>
      <c r="AI23"/>
      <c r="AJ23"/>
      <c r="AK23">
        <f>(AJ16+AJ17+AJ24)/3</f>
        <v>1.1655555555555557</v>
      </c>
      <c r="AL23" t="s">
        <v>107</v>
      </c>
    </row>
    <row r="24" spans="1:38">
      <c r="A24" s="1" t="s">
        <v>61</v>
      </c>
      <c r="B24" s="1" t="s">
        <v>70</v>
      </c>
      <c r="C24" s="1">
        <v>0.9</v>
      </c>
      <c r="D24" s="1">
        <v>492</v>
      </c>
      <c r="G24" s="1">
        <v>547</v>
      </c>
      <c r="H24" s="1">
        <f>G24/25.4</f>
        <v>21.535433070866144</v>
      </c>
      <c r="I24" s="1">
        <v>0.53800000000000003</v>
      </c>
      <c r="J24" s="1">
        <v>-0.44600000000000001</v>
      </c>
      <c r="K24" s="1">
        <v>238</v>
      </c>
      <c r="M24" s="1">
        <v>264</v>
      </c>
      <c r="N24" s="1">
        <v>6</v>
      </c>
      <c r="O24" s="1">
        <v>1.136E-2</v>
      </c>
      <c r="P24" s="1">
        <v>3.21082</v>
      </c>
      <c r="R24" s="1" t="s">
        <v>71</v>
      </c>
      <c r="S24" s="1" t="s">
        <v>29</v>
      </c>
      <c r="T24" s="1" t="s">
        <v>72</v>
      </c>
      <c r="U24" s="1" t="s">
        <v>31</v>
      </c>
      <c r="V24" s="1">
        <f>G24</f>
        <v>547</v>
      </c>
      <c r="W24" s="1">
        <f>M24</f>
        <v>264</v>
      </c>
      <c r="X24" s="1">
        <f>W24+1</f>
        <v>265</v>
      </c>
      <c r="Y24" s="1">
        <f>(4.899*(N24)^-0.916)/I24</f>
        <v>1.7641626307962295</v>
      </c>
      <c r="Z24" s="1">
        <f>10*25.4</f>
        <v>254</v>
      </c>
      <c r="AA24" s="1">
        <f>Z24+1</f>
        <v>255</v>
      </c>
      <c r="AB24" s="1">
        <v>0.4</v>
      </c>
      <c r="AC24" s="1">
        <v>5</v>
      </c>
      <c r="AD24" t="b">
        <v>1</v>
      </c>
      <c r="AE24">
        <v>254</v>
      </c>
      <c r="AF24"/>
      <c r="AG24">
        <v>334</v>
      </c>
      <c r="AH24">
        <v>1.32</v>
      </c>
      <c r="AI24">
        <v>0.5</v>
      </c>
      <c r="AJ24">
        <f t="shared" si="0"/>
        <v>2.64</v>
      </c>
      <c r="AK24"/>
      <c r="AL24"/>
    </row>
    <row r="25" spans="1:38">
      <c r="A25" s="1" t="s">
        <v>40</v>
      </c>
      <c r="B25" s="1" t="s">
        <v>49</v>
      </c>
      <c r="C25" s="1">
        <v>0.9</v>
      </c>
      <c r="D25" s="1">
        <v>1232</v>
      </c>
      <c r="G25" s="1">
        <v>1369</v>
      </c>
      <c r="H25" s="1">
        <f>G25/25.4</f>
        <v>53.897637795275593</v>
      </c>
      <c r="I25" s="1">
        <v>0.307</v>
      </c>
      <c r="J25" s="1">
        <v>-0.77</v>
      </c>
      <c r="M25" s="1">
        <v>289</v>
      </c>
      <c r="N25" s="1">
        <v>7</v>
      </c>
      <c r="O25" s="1">
        <v>2.7099999999999999E-2</v>
      </c>
      <c r="P25" s="1">
        <v>2.88598</v>
      </c>
      <c r="V25" s="1">
        <f>G25</f>
        <v>1369</v>
      </c>
      <c r="W25" s="1">
        <f>M25</f>
        <v>289</v>
      </c>
      <c r="X25" s="1">
        <f>W25+1</f>
        <v>290</v>
      </c>
      <c r="Y25" s="1">
        <f>(4.899*(N25)^-0.916)/I25</f>
        <v>2.6844743541174449</v>
      </c>
      <c r="Z25" s="1">
        <f>W25</f>
        <v>289</v>
      </c>
      <c r="AA25" s="1">
        <f>Z25+1</f>
        <v>290</v>
      </c>
      <c r="AB25" s="1">
        <v>0.4</v>
      </c>
      <c r="AC25" s="1">
        <v>5</v>
      </c>
      <c r="AD25" t="b">
        <v>1</v>
      </c>
      <c r="AE25"/>
      <c r="AF25"/>
      <c r="AG25"/>
      <c r="AH25"/>
      <c r="AI25"/>
      <c r="AJ25"/>
      <c r="AK25">
        <v>0.72773471145564173</v>
      </c>
      <c r="AL25"/>
    </row>
    <row r="26" spans="1:38">
      <c r="A26" s="1" t="s">
        <v>73</v>
      </c>
      <c r="B26" s="1" t="s">
        <v>75</v>
      </c>
      <c r="C26" s="1">
        <v>0.97</v>
      </c>
      <c r="E26" s="1">
        <v>0.78</v>
      </c>
      <c r="F26" s="1">
        <v>217</v>
      </c>
      <c r="G26" s="1">
        <v>278</v>
      </c>
      <c r="H26" s="1">
        <f>G26/25.4</f>
        <v>10.94488188976378</v>
      </c>
      <c r="I26" s="1">
        <v>1.653</v>
      </c>
      <c r="J26" s="1">
        <v>-0.28999999999999998</v>
      </c>
      <c r="K26" s="1">
        <v>190</v>
      </c>
      <c r="M26" s="1">
        <v>196</v>
      </c>
      <c r="N26" s="1">
        <v>6</v>
      </c>
      <c r="O26" s="1">
        <v>1.0449999999999999E-2</v>
      </c>
      <c r="P26" s="1">
        <v>3.3187099999999998</v>
      </c>
      <c r="R26" s="1" t="s">
        <v>76</v>
      </c>
      <c r="S26" s="1" t="s">
        <v>29</v>
      </c>
      <c r="T26" s="1" t="s">
        <v>77</v>
      </c>
      <c r="U26" s="1" t="s">
        <v>31</v>
      </c>
      <c r="V26" s="1">
        <f>G26</f>
        <v>278</v>
      </c>
      <c r="W26" s="1">
        <f>M26</f>
        <v>196</v>
      </c>
      <c r="X26" s="1">
        <f>W26+1</f>
        <v>197</v>
      </c>
      <c r="Y26" s="1">
        <f>(4.899*(N26)^-0.916)/I26</f>
        <v>0.57417997299961976</v>
      </c>
      <c r="Z26" s="1">
        <f>12*25.4</f>
        <v>304.79999999999995</v>
      </c>
      <c r="AA26" s="1">
        <f>Z26+1</f>
        <v>305.79999999999995</v>
      </c>
      <c r="AB26" s="1">
        <v>0.4</v>
      </c>
      <c r="AC26" s="1">
        <v>5</v>
      </c>
      <c r="AD26" s="2" t="b">
        <v>1</v>
      </c>
      <c r="AE26" s="2">
        <v>305</v>
      </c>
      <c r="AF26" s="2">
        <v>269</v>
      </c>
      <c r="AG26" s="2"/>
      <c r="AH26" s="2">
        <v>0.16</v>
      </c>
      <c r="AI26" s="2">
        <v>0.5</v>
      </c>
      <c r="AJ26" s="2">
        <f t="shared" si="0"/>
        <v>0.32</v>
      </c>
      <c r="AK26" s="2"/>
      <c r="AL26" s="2"/>
    </row>
    <row r="27" spans="1:38">
      <c r="A27" s="1" t="s">
        <v>73</v>
      </c>
      <c r="B27" s="1" t="s">
        <v>78</v>
      </c>
      <c r="C27" s="1">
        <v>0.91</v>
      </c>
      <c r="D27" s="1">
        <v>512</v>
      </c>
      <c r="G27" s="1">
        <v>563</v>
      </c>
      <c r="H27" s="1">
        <f>G27/25.4</f>
        <v>22.165354330708663</v>
      </c>
      <c r="I27" s="1">
        <v>0.28799999999999998</v>
      </c>
      <c r="J27" s="1">
        <v>-0.80900000000000005</v>
      </c>
      <c r="K27" s="1">
        <v>340</v>
      </c>
      <c r="M27" s="1">
        <v>374</v>
      </c>
      <c r="N27" s="1">
        <v>22</v>
      </c>
      <c r="O27" s="1">
        <v>1.3599999999999999E-2</v>
      </c>
      <c r="P27" s="1">
        <v>3.109</v>
      </c>
      <c r="R27" s="1" t="s">
        <v>76</v>
      </c>
      <c r="S27" s="1" t="s">
        <v>29</v>
      </c>
      <c r="T27" s="1" t="s">
        <v>77</v>
      </c>
      <c r="U27" s="1" t="s">
        <v>31</v>
      </c>
      <c r="V27" s="1">
        <f>G27</f>
        <v>563</v>
      </c>
      <c r="W27" s="1">
        <f>M27</f>
        <v>374</v>
      </c>
      <c r="X27" s="1">
        <f>W27+1</f>
        <v>375</v>
      </c>
      <c r="Y27" s="1">
        <f>(4.899*(N27)^-0.916)/I27</f>
        <v>1.0024339715374317</v>
      </c>
      <c r="Z27" s="1">
        <f>12*25.4</f>
        <v>304.79999999999995</v>
      </c>
      <c r="AA27" s="1">
        <f>Z27+1</f>
        <v>305.79999999999995</v>
      </c>
      <c r="AB27" s="1">
        <v>0.4</v>
      </c>
      <c r="AC27" s="1">
        <v>5</v>
      </c>
      <c r="AD27" t="b">
        <v>1</v>
      </c>
      <c r="AE27">
        <v>305</v>
      </c>
      <c r="AF27">
        <v>379</v>
      </c>
      <c r="AG27"/>
      <c r="AH27">
        <v>0.2</v>
      </c>
      <c r="AI27">
        <v>0.14000000000000001</v>
      </c>
      <c r="AJ27">
        <f t="shared" si="0"/>
        <v>1.4285714285714286</v>
      </c>
      <c r="AK27"/>
      <c r="AL27"/>
    </row>
    <row r="28" spans="1:38">
      <c r="A28" s="1" t="s">
        <v>40</v>
      </c>
      <c r="B28" s="1" t="s">
        <v>50</v>
      </c>
      <c r="G28" s="1">
        <v>1272</v>
      </c>
      <c r="H28" s="1">
        <f>G28/25.4</f>
        <v>50.078740157480318</v>
      </c>
      <c r="I28" s="1">
        <v>0.22720000000000001</v>
      </c>
      <c r="J28" s="1">
        <v>-0.79310000000000003</v>
      </c>
      <c r="M28" s="1">
        <v>910</v>
      </c>
      <c r="N28" s="1">
        <v>15</v>
      </c>
      <c r="O28" s="1">
        <v>2.4E-2</v>
      </c>
      <c r="P28" s="1">
        <v>2.86</v>
      </c>
      <c r="V28" s="1">
        <f>G28</f>
        <v>1272</v>
      </c>
      <c r="W28" s="1">
        <f>M28</f>
        <v>910</v>
      </c>
      <c r="X28" s="1">
        <f>W28+1</f>
        <v>911</v>
      </c>
      <c r="Y28" s="1">
        <f>(4.899*(N28)^-0.916)/I28</f>
        <v>1.8046771483056934</v>
      </c>
      <c r="Z28" s="1">
        <f>W28</f>
        <v>910</v>
      </c>
      <c r="AA28" s="1">
        <f>Z28+1</f>
        <v>911</v>
      </c>
      <c r="AB28" s="1">
        <v>0.4</v>
      </c>
      <c r="AC28" s="1">
        <v>5</v>
      </c>
      <c r="AD28" t="b">
        <v>1</v>
      </c>
      <c r="AE28"/>
      <c r="AF28"/>
      <c r="AG28">
        <v>740</v>
      </c>
      <c r="AH28">
        <v>0.14000000000000001</v>
      </c>
      <c r="AI28">
        <v>0.2</v>
      </c>
      <c r="AJ28">
        <f t="shared" si="0"/>
        <v>0.70000000000000007</v>
      </c>
      <c r="AK28"/>
      <c r="AL28"/>
    </row>
    <row r="29" spans="1:38">
      <c r="A29" s="1" t="s">
        <v>82</v>
      </c>
      <c r="B29" s="1" t="s">
        <v>83</v>
      </c>
      <c r="C29" s="1">
        <v>0.89</v>
      </c>
      <c r="D29" s="1">
        <v>1236</v>
      </c>
      <c r="G29" s="1">
        <v>1389</v>
      </c>
      <c r="H29" s="1">
        <f>G29/25.4</f>
        <v>54.685039370078741</v>
      </c>
      <c r="I29" s="1">
        <v>0.26</v>
      </c>
      <c r="J29" s="1">
        <v>-0.71</v>
      </c>
      <c r="K29" s="1">
        <v>780</v>
      </c>
      <c r="M29" s="1">
        <v>876</v>
      </c>
      <c r="N29" s="1">
        <v>19</v>
      </c>
      <c r="O29" s="1">
        <v>6.1700000000000001E-3</v>
      </c>
      <c r="P29" s="1">
        <v>3.0109499999999998</v>
      </c>
      <c r="V29" s="1">
        <f>G29</f>
        <v>1389</v>
      </c>
      <c r="W29" s="1">
        <f>M29</f>
        <v>876</v>
      </c>
      <c r="X29" s="1">
        <f>W29+1</f>
        <v>877</v>
      </c>
      <c r="Y29" s="1">
        <f>(4.899*(N29)^-0.916)/I29</f>
        <v>1.2699768166614354</v>
      </c>
      <c r="Z29" s="1">
        <f>W29</f>
        <v>876</v>
      </c>
      <c r="AA29" s="1">
        <f>Z29+1</f>
        <v>877</v>
      </c>
      <c r="AB29" s="1">
        <v>0.4</v>
      </c>
      <c r="AC29" s="1">
        <v>5</v>
      </c>
      <c r="AD29" t="b">
        <v>1</v>
      </c>
      <c r="AE29"/>
      <c r="AF29"/>
      <c r="AG29"/>
      <c r="AH29"/>
      <c r="AI29"/>
      <c r="AJ29"/>
      <c r="AK29"/>
      <c r="AL29"/>
    </row>
    <row r="30" spans="1:38">
      <c r="A30" s="1" t="s">
        <v>19</v>
      </c>
      <c r="B30" s="1" t="s">
        <v>37</v>
      </c>
      <c r="G30" s="1">
        <v>180</v>
      </c>
      <c r="H30" s="1">
        <f>G30/25.4</f>
        <v>7.0866141732283472</v>
      </c>
      <c r="I30" s="1">
        <v>0.27500000000000002</v>
      </c>
      <c r="J30" s="1">
        <v>-1.2</v>
      </c>
      <c r="L30" s="1">
        <v>118</v>
      </c>
      <c r="N30" s="1">
        <v>41</v>
      </c>
      <c r="O30" s="1">
        <v>1.4800000000000001E-2</v>
      </c>
      <c r="P30" s="1">
        <v>3.16</v>
      </c>
      <c r="Q30" s="1" t="s">
        <v>25</v>
      </c>
      <c r="R30" s="1" t="s">
        <v>38</v>
      </c>
      <c r="T30" s="1" t="s">
        <v>39</v>
      </c>
      <c r="V30" s="1">
        <f>G30</f>
        <v>180</v>
      </c>
      <c r="W30" s="1">
        <f>M30</f>
        <v>0</v>
      </c>
      <c r="X30" s="1">
        <f>W30+1</f>
        <v>1</v>
      </c>
      <c r="Y30" s="1">
        <f>(4.899*(N30)^-0.916)/I30</f>
        <v>0.59356014584665417</v>
      </c>
      <c r="Z30" s="1">
        <f>2*25.4</f>
        <v>50.8</v>
      </c>
      <c r="AA30" s="1">
        <f>Z30+1</f>
        <v>51.8</v>
      </c>
      <c r="AB30" s="1">
        <v>0.4</v>
      </c>
      <c r="AC30" s="1">
        <v>5</v>
      </c>
      <c r="AD30" t="b">
        <v>1</v>
      </c>
      <c r="AE30"/>
      <c r="AF30"/>
      <c r="AG30"/>
      <c r="AH30"/>
      <c r="AI30"/>
      <c r="AJ30"/>
      <c r="AK30">
        <v>2.2211399711399711</v>
      </c>
      <c r="AL30"/>
    </row>
  </sheetData>
  <sortState ref="A2:AC30">
    <sortCondition ref="B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2020-06-29T21:53:21Z</dcterms:created>
  <dcterms:modified xsi:type="dcterms:W3CDTF">2020-07-08T22:32:23Z</dcterms:modified>
</cp:coreProperties>
</file>