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stig/Desktop/TNC/LBSPR_Kaupulehu/Kaupulehu/"/>
    </mc:Choice>
  </mc:AlternateContent>
  <xr:revisionPtr revIDLastSave="0" documentId="13_ncr:1_{D6307223-E256-A54F-B8F5-384DE08591FC}" xr6:coauthVersionLast="36" xr6:coauthVersionMax="45" xr10:uidLastSave="{00000000-0000-0000-0000-000000000000}"/>
  <bookViews>
    <workbookView xWindow="-32000" yWindow="-2160" windowWidth="32000" windowHeight="22480" activeTab="2" xr2:uid="{00000000-000D-0000-FFFF-FFFF00000000}"/>
  </bookViews>
  <sheets>
    <sheet name="Species_List" sheetId="1" r:id="rId1"/>
    <sheet name="Lit Review" sheetId="3" r:id="rId2"/>
    <sheet name="Species Names" sheetId="4" r:id="rId3"/>
  </sheets>
  <calcPr calcId="181029"/>
</workbook>
</file>

<file path=xl/calcChain.xml><?xml version="1.0" encoding="utf-8"?>
<calcChain xmlns="http://schemas.openxmlformats.org/spreadsheetml/2006/main">
  <c r="D2" i="4" l="1"/>
  <c r="D30" i="4"/>
  <c r="D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O11" i="3" l="1"/>
  <c r="J11" i="3"/>
  <c r="M11" i="3" l="1"/>
  <c r="U10" i="3"/>
  <c r="M10" i="3"/>
  <c r="O10" i="3" s="1"/>
  <c r="M5" i="3"/>
  <c r="O5" i="3" s="1"/>
  <c r="U5" i="3"/>
  <c r="U4" i="3"/>
  <c r="M4" i="3"/>
  <c r="O4" i="3" s="1"/>
  <c r="M12" i="3"/>
  <c r="O12" i="3" s="1"/>
  <c r="G5" i="3"/>
  <c r="J5" i="3" s="1"/>
  <c r="G4" i="3"/>
  <c r="J4" i="3" s="1"/>
  <c r="G11" i="3"/>
  <c r="G10" i="3"/>
  <c r="J10" i="3" s="1"/>
  <c r="M7" i="3"/>
  <c r="G7" i="3"/>
  <c r="M6" i="3"/>
  <c r="G6" i="3"/>
  <c r="J2" i="3"/>
  <c r="AL3" i="1" l="1"/>
  <c r="AL5" i="1"/>
  <c r="AL6" i="1"/>
  <c r="AL8" i="1"/>
  <c r="AL10" i="1"/>
  <c r="AL14" i="1"/>
  <c r="AL16" i="1"/>
  <c r="AL17" i="1"/>
  <c r="AL18" i="1"/>
  <c r="AL19" i="1"/>
  <c r="AL20" i="1"/>
  <c r="AL21" i="1"/>
  <c r="AL22" i="1"/>
  <c r="AL24" i="1"/>
  <c r="AL26" i="1"/>
  <c r="AL27" i="1"/>
  <c r="AL28" i="1"/>
  <c r="AL2" i="1"/>
  <c r="AI4" i="1"/>
  <c r="AK4" i="1" s="1"/>
  <c r="AI5" i="1"/>
  <c r="AK5" i="1" s="1"/>
  <c r="AI6" i="1"/>
  <c r="AK6" i="1" s="1"/>
  <c r="AI7" i="1"/>
  <c r="AK7" i="1" s="1"/>
  <c r="AI8" i="1"/>
  <c r="AK8" i="1" s="1"/>
  <c r="AI9" i="1"/>
  <c r="AK9" i="1" s="1"/>
  <c r="AI10" i="1"/>
  <c r="AK10" i="1" s="1"/>
  <c r="AI11" i="1"/>
  <c r="AK11" i="1" s="1"/>
  <c r="AI12" i="1"/>
  <c r="AK12" i="1" s="1"/>
  <c r="AI13" i="1"/>
  <c r="AK13" i="1" s="1"/>
  <c r="AI14" i="1"/>
  <c r="AK14" i="1" s="1"/>
  <c r="AI15" i="1"/>
  <c r="AK15" i="1" s="1"/>
  <c r="AI16" i="1"/>
  <c r="AK16" i="1" s="1"/>
  <c r="AI17" i="1"/>
  <c r="AK17" i="1" s="1"/>
  <c r="AI18" i="1"/>
  <c r="AK18" i="1" s="1"/>
  <c r="AI19" i="1"/>
  <c r="AK19" i="1" s="1"/>
  <c r="AI20" i="1"/>
  <c r="AK20" i="1" s="1"/>
  <c r="AI21" i="1"/>
  <c r="AK21" i="1" s="1"/>
  <c r="AI22" i="1"/>
  <c r="AK22" i="1" s="1"/>
  <c r="AI23" i="1"/>
  <c r="AK23" i="1" s="1"/>
  <c r="AI24" i="1"/>
  <c r="AK24" i="1" s="1"/>
  <c r="AI25" i="1"/>
  <c r="AK25" i="1" s="1"/>
  <c r="AI26" i="1"/>
  <c r="AK26" i="1" s="1"/>
  <c r="AI27" i="1"/>
  <c r="AK27" i="1" s="1"/>
  <c r="AI28" i="1"/>
  <c r="AK28" i="1" s="1"/>
  <c r="AI29" i="1"/>
  <c r="AK29" i="1" s="1"/>
  <c r="AI30" i="1"/>
  <c r="AK30" i="1" s="1"/>
  <c r="AI3" i="1"/>
  <c r="AK3" i="1" s="1"/>
  <c r="AI2" i="1"/>
  <c r="AK2" i="1" s="1"/>
  <c r="AU28" i="1" l="1"/>
  <c r="AU27" i="1"/>
  <c r="AU26" i="1"/>
  <c r="AU24" i="1"/>
  <c r="AU22" i="1"/>
  <c r="AU21" i="1"/>
  <c r="AU20" i="1"/>
  <c r="AU19" i="1"/>
  <c r="AU18" i="1"/>
  <c r="AU17" i="1"/>
  <c r="AU16" i="1"/>
  <c r="AU14" i="1"/>
  <c r="AU10" i="1"/>
  <c r="AU8" i="1"/>
  <c r="AU6" i="1"/>
  <c r="AU5" i="1"/>
  <c r="AU3" i="1"/>
  <c r="AU2" i="1"/>
  <c r="AV23" i="1" l="1"/>
  <c r="AV4" i="1"/>
  <c r="AV11" i="1"/>
  <c r="AV7" i="1"/>
  <c r="AM27" i="1"/>
  <c r="AN27" i="1" s="1"/>
  <c r="AM26" i="1"/>
  <c r="AN26" i="1" s="1"/>
  <c r="AM24" i="1"/>
  <c r="AN24" i="1" s="1"/>
  <c r="AM23" i="1"/>
  <c r="AN23" i="1" s="1"/>
  <c r="AM16" i="1"/>
  <c r="AN16" i="1" s="1"/>
  <c r="AM15" i="1"/>
  <c r="AN15" i="1" s="1"/>
  <c r="AM7" i="1"/>
  <c r="AN7" i="1" s="1"/>
  <c r="AM8" i="1"/>
  <c r="AN8" i="1" s="1"/>
  <c r="AM9" i="1"/>
  <c r="AN9" i="1" s="1"/>
  <c r="AM6" i="1"/>
  <c r="AN6" i="1" s="1"/>
  <c r="AM30" i="1"/>
  <c r="AN30" i="1" s="1"/>
  <c r="AM22" i="1"/>
  <c r="AN22" i="1" s="1"/>
  <c r="AM20" i="1"/>
  <c r="AN20" i="1" s="1"/>
  <c r="L3" i="1"/>
  <c r="L4" i="1"/>
  <c r="L12" i="1"/>
  <c r="L19" i="1"/>
  <c r="L20" i="1"/>
  <c r="L21" i="1"/>
  <c r="L22" i="1"/>
  <c r="L30" i="1"/>
  <c r="L6" i="1"/>
  <c r="L7" i="1"/>
  <c r="L8" i="1"/>
  <c r="L9" i="1"/>
  <c r="L13" i="1"/>
  <c r="L25" i="1"/>
  <c r="L28" i="1"/>
  <c r="L18" i="1"/>
  <c r="L5" i="1"/>
  <c r="L14" i="1"/>
  <c r="L15" i="1"/>
  <c r="L16" i="1"/>
  <c r="L17" i="1"/>
  <c r="L23" i="1"/>
  <c r="L24" i="1"/>
  <c r="L11" i="1"/>
  <c r="L26" i="1"/>
  <c r="L27" i="1"/>
  <c r="L10" i="1"/>
  <c r="L29" i="1"/>
  <c r="L2" i="1"/>
  <c r="AG3" i="1"/>
  <c r="AM3" i="1" s="1"/>
  <c r="AN3" i="1" s="1"/>
  <c r="AG4" i="1"/>
  <c r="AM4" i="1" s="1"/>
  <c r="AN4" i="1" s="1"/>
  <c r="AG12" i="1"/>
  <c r="AH12" i="1" s="1"/>
  <c r="AG19" i="1"/>
  <c r="AG20" i="1"/>
  <c r="AH20" i="1" s="1"/>
  <c r="AG21" i="1"/>
  <c r="AM21" i="1" s="1"/>
  <c r="AN21" i="1" s="1"/>
  <c r="AG22" i="1"/>
  <c r="AH22" i="1" s="1"/>
  <c r="AG30" i="1"/>
  <c r="AH30" i="1" s="1"/>
  <c r="AG6" i="1"/>
  <c r="AH6" i="1" s="1"/>
  <c r="AG7" i="1"/>
  <c r="AH7" i="1" s="1"/>
  <c r="AG8" i="1"/>
  <c r="AH8" i="1" s="1"/>
  <c r="AG9" i="1"/>
  <c r="AH9" i="1" s="1"/>
  <c r="AG13" i="1"/>
  <c r="AM13" i="1" s="1"/>
  <c r="AN13" i="1" s="1"/>
  <c r="AG25" i="1"/>
  <c r="AM25" i="1" s="1"/>
  <c r="AN25" i="1" s="1"/>
  <c r="AG28" i="1"/>
  <c r="AM28" i="1" s="1"/>
  <c r="AN28" i="1" s="1"/>
  <c r="AG18" i="1"/>
  <c r="AM18" i="1" s="1"/>
  <c r="AN18" i="1" s="1"/>
  <c r="AG5" i="1"/>
  <c r="AM5" i="1" s="1"/>
  <c r="AN5" i="1" s="1"/>
  <c r="AG14" i="1"/>
  <c r="AM14" i="1" s="1"/>
  <c r="AN14" i="1" s="1"/>
  <c r="AG15" i="1"/>
  <c r="AH15" i="1" s="1"/>
  <c r="AG16" i="1"/>
  <c r="AH16" i="1" s="1"/>
  <c r="AG17" i="1"/>
  <c r="AM17" i="1" s="1"/>
  <c r="AN17" i="1" s="1"/>
  <c r="AG23" i="1"/>
  <c r="AH23" i="1" s="1"/>
  <c r="AG24" i="1"/>
  <c r="AH24" i="1" s="1"/>
  <c r="AG11" i="1"/>
  <c r="AM11" i="1" s="1"/>
  <c r="AN11" i="1" s="1"/>
  <c r="AG26" i="1"/>
  <c r="AH26" i="1" s="1"/>
  <c r="AG27" i="1"/>
  <c r="AH27" i="1" s="1"/>
  <c r="AG10" i="1"/>
  <c r="AH10" i="1" s="1"/>
  <c r="AG29" i="1"/>
  <c r="AM29" i="1" s="1"/>
  <c r="AN29" i="1" s="1"/>
  <c r="AG2" i="1"/>
  <c r="AH2" i="1" s="1"/>
  <c r="AF3" i="1"/>
  <c r="AF4" i="1"/>
  <c r="AF12" i="1"/>
  <c r="AF19" i="1"/>
  <c r="AF20" i="1"/>
  <c r="AF21" i="1"/>
  <c r="AF22" i="1"/>
  <c r="AF30" i="1"/>
  <c r="AF6" i="1"/>
  <c r="AF7" i="1"/>
  <c r="AF8" i="1"/>
  <c r="AF9" i="1"/>
  <c r="AF13" i="1"/>
  <c r="AF25" i="1"/>
  <c r="AF28" i="1"/>
  <c r="AF18" i="1"/>
  <c r="AF5" i="1"/>
  <c r="AF14" i="1"/>
  <c r="AF15" i="1"/>
  <c r="AF16" i="1"/>
  <c r="AF17" i="1"/>
  <c r="AF23" i="1"/>
  <c r="AF24" i="1"/>
  <c r="AF11" i="1"/>
  <c r="AF26" i="1"/>
  <c r="AF27" i="1"/>
  <c r="AF10" i="1"/>
  <c r="AF29" i="1"/>
  <c r="AF2" i="1"/>
  <c r="AN10" i="1"/>
  <c r="AH5" i="1" l="1"/>
  <c r="AH3" i="1"/>
  <c r="AH25" i="1"/>
  <c r="AH21" i="1"/>
  <c r="AH11" i="1"/>
  <c r="AH18" i="1"/>
  <c r="AH28" i="1"/>
  <c r="AH19" i="1"/>
  <c r="AN19" i="1" s="1"/>
  <c r="AM19" i="1"/>
  <c r="AH14" i="1"/>
  <c r="AH4" i="1"/>
  <c r="AM2" i="1"/>
  <c r="AN2" i="1" s="1"/>
  <c r="AM12" i="1"/>
  <c r="AN12" i="1" s="1"/>
  <c r="AH17" i="1"/>
  <c r="AH13" i="1"/>
  <c r="AH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10" authorId="0" shapeId="0" xr:uid="{C11FEBF6-B85E-F348-9468-471D8555A3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Access</t>
        </r>
      </text>
    </comment>
    <comment ref="R10" authorId="0" shapeId="0" xr:uid="{96BD27EA-4216-A44F-8D45-ADBEB06CEF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Access</t>
        </r>
      </text>
    </comment>
    <comment ref="J12" authorId="0" shapeId="0" xr:uid="{732161FF-7E2F-F143-B792-DB9E1DBDCAD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Access</t>
        </r>
      </text>
    </comment>
    <comment ref="K12" authorId="0" shapeId="0" xr:uid="{74260AD9-B926-234F-B101-616A61596D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Access</t>
        </r>
      </text>
    </comment>
    <comment ref="L12" authorId="0" shapeId="0" xr:uid="{B022F5B4-AD1B-B741-8989-5F02E5B2EF4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Access</t>
        </r>
      </text>
    </comment>
    <comment ref="Q12" authorId="0" shapeId="0" xr:uid="{E407F040-467D-274F-9AC2-4FB67618E07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Access</t>
        </r>
      </text>
    </comment>
    <comment ref="R12" authorId="0" shapeId="0" xr:uid="{BB984CB6-5A5A-ED48-BF8E-816CE99B3C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Access</t>
        </r>
      </text>
    </comment>
  </commentList>
</comments>
</file>

<file path=xl/sharedStrings.xml><?xml version="1.0" encoding="utf-8"?>
<sst xmlns="http://schemas.openxmlformats.org/spreadsheetml/2006/main" count="416" uniqueCount="272">
  <si>
    <t>Family</t>
  </si>
  <si>
    <t>Species</t>
  </si>
  <si>
    <t>LINF_FL</t>
  </si>
  <si>
    <t>LINF_SL</t>
  </si>
  <si>
    <t>K</t>
  </si>
  <si>
    <t>LMAT_FL</t>
  </si>
  <si>
    <t>LMAT_SL</t>
  </si>
  <si>
    <t>LMAT_TL</t>
  </si>
  <si>
    <t>Acanthuridae</t>
  </si>
  <si>
    <t>Acanthurus blochii</t>
  </si>
  <si>
    <t>Aquarium?</t>
  </si>
  <si>
    <t>Acanthurus dussumieri</t>
  </si>
  <si>
    <t>Acanthurus xanthopterus</t>
  </si>
  <si>
    <t>Ctenochaetus strigosus</t>
  </si>
  <si>
    <t>Aquarium-regulated</t>
  </si>
  <si>
    <t>Kole</t>
  </si>
  <si>
    <t>Naso brevirostris</t>
  </si>
  <si>
    <t>Kala</t>
  </si>
  <si>
    <t>Open</t>
  </si>
  <si>
    <t>14in</t>
  </si>
  <si>
    <t>None</t>
  </si>
  <si>
    <t>Naso hexacanthus</t>
  </si>
  <si>
    <t>16in</t>
  </si>
  <si>
    <t>Naso lituratus</t>
  </si>
  <si>
    <t>Naso tang</t>
  </si>
  <si>
    <t>Naso unicornis</t>
  </si>
  <si>
    <t>Zebrasoma flavescens</t>
  </si>
  <si>
    <t>Yellow tang</t>
  </si>
  <si>
    <t>To possess more than five yellow tang larger than 4.5 inches total length, or more than five yellow tang smaller than 2 inches total length</t>
  </si>
  <si>
    <t>Carangidae</t>
  </si>
  <si>
    <t>Caranx ignobilis</t>
  </si>
  <si>
    <t>Ulua and p_pio</t>
  </si>
  <si>
    <t>10in; 16in (sale)</t>
  </si>
  <si>
    <t>20 (total all species, non-commercial only)</t>
  </si>
  <si>
    <t>Caranx lugubris</t>
  </si>
  <si>
    <t>Caranx melampygus</t>
  </si>
  <si>
    <t>Caranx sexfasciatus</t>
  </si>
  <si>
    <t>Elagatis bipinnulata</t>
  </si>
  <si>
    <t>Pseudocaranx dentex</t>
  </si>
  <si>
    <t>Seriola dumerili</t>
  </si>
  <si>
    <t>Holocentridae</t>
  </si>
  <si>
    <t>Myripristis berndti</t>
  </si>
  <si>
    <t>Lutjanidae</t>
  </si>
  <si>
    <t>Aprion virescens</t>
  </si>
  <si>
    <t>Lutjanus kasmira</t>
  </si>
  <si>
    <t>Mugilidae</t>
  </si>
  <si>
    <t>Mugil cephalus</t>
  </si>
  <si>
    <t>‘Ama‘ama, pua (striped mullet)</t>
  </si>
  <si>
    <t>Closed December-March</t>
  </si>
  <si>
    <t>11in</t>
  </si>
  <si>
    <t>Mullidae</t>
  </si>
  <si>
    <t>Mulloidichthys flavolineatus</t>
  </si>
  <si>
    <t>Weke (‘_) and ‘oama (‘oama are weke under 7”)</t>
  </si>
  <si>
    <t>7in (sale)</t>
  </si>
  <si>
    <t>50 ‘oama</t>
  </si>
  <si>
    <t>Mulloidichthys vanicolensis</t>
  </si>
  <si>
    <t>Parupeneus multifasciatus</t>
  </si>
  <si>
    <t>Moano</t>
  </si>
  <si>
    <t>7in</t>
  </si>
  <si>
    <t>Parupeneus porphyreus</t>
  </si>
  <si>
    <t>K_m_</t>
  </si>
  <si>
    <t>10in</t>
  </si>
  <si>
    <t>Scaridae</t>
  </si>
  <si>
    <t>Chlorurus sordidus</t>
  </si>
  <si>
    <t>Scarus psittacus</t>
  </si>
  <si>
    <t>Uhu</t>
  </si>
  <si>
    <t>12in</t>
  </si>
  <si>
    <t>Scarus rubroviolaceus</t>
  </si>
  <si>
    <t>Serranidae</t>
  </si>
  <si>
    <t>Cephalopholis argus</t>
  </si>
  <si>
    <t>Invasive?</t>
  </si>
  <si>
    <t>Sphyraenidae</t>
  </si>
  <si>
    <t>Sphyraena barracuda</t>
  </si>
  <si>
    <t>Linf</t>
  </si>
  <si>
    <t>L50</t>
  </si>
  <si>
    <t>L95</t>
  </si>
  <si>
    <t>SL50</t>
  </si>
  <si>
    <t>SL95</t>
  </si>
  <si>
    <t>SPR</t>
  </si>
  <si>
    <t>BinWidth</t>
  </si>
  <si>
    <t>kala lolo</t>
  </si>
  <si>
    <t>Opelu kala</t>
  </si>
  <si>
    <t>Use</t>
  </si>
  <si>
    <t>CurrentLc</t>
  </si>
  <si>
    <t>Nadon_F</t>
  </si>
  <si>
    <t>Nadon_F/M</t>
  </si>
  <si>
    <t>Avg_F/M</t>
  </si>
  <si>
    <t>Surgeonfish</t>
  </si>
  <si>
    <t>Jack</t>
  </si>
  <si>
    <t>Parrotfish</t>
  </si>
  <si>
    <t>Goatfish</t>
  </si>
  <si>
    <t>TL_TO_FL-Access</t>
  </si>
  <si>
    <t>LINF_FL-Access</t>
  </si>
  <si>
    <t>TL_TO_SL-Access</t>
  </si>
  <si>
    <t>LINF_SL-Access</t>
  </si>
  <si>
    <t>LINF_TL (mm)-Access</t>
  </si>
  <si>
    <t>LINF_TL (in)-Access</t>
  </si>
  <si>
    <t>K-Access</t>
  </si>
  <si>
    <t>T0-Access</t>
  </si>
  <si>
    <t>LMAT_FL-Access</t>
  </si>
  <si>
    <t>LMAT_SL-Access</t>
  </si>
  <si>
    <t>LMAT_TL-Access</t>
  </si>
  <si>
    <t>LONG-Access</t>
  </si>
  <si>
    <t>LW_A-Access</t>
  </si>
  <si>
    <t>LW_B-Access</t>
  </si>
  <si>
    <t>Chlorurus spilurus</t>
  </si>
  <si>
    <t>Linf-Nadon</t>
  </si>
  <si>
    <t>K-Nadon</t>
  </si>
  <si>
    <t>Type-HIReg</t>
  </si>
  <si>
    <t>Common Name-HIReg</t>
  </si>
  <si>
    <t>Season-HIReg</t>
  </si>
  <si>
    <t>Minimum Size-HIReg</t>
  </si>
  <si>
    <t>Bag Limit-HIReg</t>
  </si>
  <si>
    <t>MK-Access</t>
  </si>
  <si>
    <t>a0-Nadon</t>
  </si>
  <si>
    <t>Lm- Nadon</t>
  </si>
  <si>
    <t>ay-Nadon</t>
  </si>
  <si>
    <t>a-Nadon</t>
  </si>
  <si>
    <t>B-Nadon</t>
  </si>
  <si>
    <t>M-Access</t>
  </si>
  <si>
    <t>M-Nadon</t>
  </si>
  <si>
    <t>MK-Nadon</t>
  </si>
  <si>
    <t>SPR-Nadon</t>
  </si>
  <si>
    <t>Parrotfishes</t>
  </si>
  <si>
    <t>Surgeonfishes</t>
  </si>
  <si>
    <t>Goatfishes</t>
  </si>
  <si>
    <t>Snappers</t>
  </si>
  <si>
    <t>Jacks</t>
  </si>
  <si>
    <t>Common_Name</t>
  </si>
  <si>
    <t>HI_Name</t>
  </si>
  <si>
    <t>Common_Family</t>
  </si>
  <si>
    <t>Ringtail Surgeonfish</t>
  </si>
  <si>
    <t>Pualu</t>
  </si>
  <si>
    <t>Eyestriped Surgeonfish</t>
  </si>
  <si>
    <t>Palani</t>
  </si>
  <si>
    <t>Yellowfin Surgeonfish</t>
  </si>
  <si>
    <t>Green Jobfish</t>
  </si>
  <si>
    <t>Uku</t>
  </si>
  <si>
    <t>Giant Trevally</t>
  </si>
  <si>
    <t>Ulua au Kea</t>
  </si>
  <si>
    <t>black trevally</t>
  </si>
  <si>
    <t>lauli</t>
  </si>
  <si>
    <t>bluefin trevally</t>
  </si>
  <si>
    <t>omilu</t>
  </si>
  <si>
    <t>bigeye trevally</t>
  </si>
  <si>
    <t>menpachi ulua, pake ulua</t>
  </si>
  <si>
    <t>peacock grouper</t>
  </si>
  <si>
    <t>roi</t>
  </si>
  <si>
    <t>goldring surgeonfish</t>
  </si>
  <si>
    <t>yelloweye kole</t>
  </si>
  <si>
    <t>rainbow runner</t>
  </si>
  <si>
    <t>kamanu</t>
  </si>
  <si>
    <t>bluestipe snapper</t>
  </si>
  <si>
    <t>taape</t>
  </si>
  <si>
    <t>striped mullet</t>
  </si>
  <si>
    <t>'ama'ama</t>
  </si>
  <si>
    <t>yellowstripe goatfish</t>
  </si>
  <si>
    <t>weke a'a</t>
  </si>
  <si>
    <t>yellowfin goatfish</t>
  </si>
  <si>
    <t>weke ula</t>
  </si>
  <si>
    <t>bigscale soldierfish</t>
  </si>
  <si>
    <t>'u'u</t>
  </si>
  <si>
    <t>paletail unicornfish</t>
  </si>
  <si>
    <t>sleek unicornfish</t>
  </si>
  <si>
    <t>opelu kala</t>
  </si>
  <si>
    <t>orangespine unicornfish</t>
  </si>
  <si>
    <t>umaumalei</t>
  </si>
  <si>
    <t>blue spine unicornfish</t>
  </si>
  <si>
    <t>kala</t>
  </si>
  <si>
    <t>manybar goatfish</t>
  </si>
  <si>
    <t>moano</t>
  </si>
  <si>
    <t>whitesaddle goatfish</t>
  </si>
  <si>
    <t>kumu</t>
  </si>
  <si>
    <t>thick lipped jack</t>
  </si>
  <si>
    <t>butaguchi</t>
  </si>
  <si>
    <t>palenose parrotfish</t>
  </si>
  <si>
    <t>uhu</t>
  </si>
  <si>
    <t>redlip parrotfish</t>
  </si>
  <si>
    <t>uhu palukaluka</t>
  </si>
  <si>
    <t>greater amberjack</t>
  </si>
  <si>
    <t>kahala</t>
  </si>
  <si>
    <t>great barracuda</t>
  </si>
  <si>
    <t>kaku</t>
  </si>
  <si>
    <t>yellow tang</t>
  </si>
  <si>
    <t>lau'ipala</t>
  </si>
  <si>
    <t>Sea basses</t>
  </si>
  <si>
    <t>Squirrelfishes</t>
  </si>
  <si>
    <t>Albula glossodonta</t>
  </si>
  <si>
    <t>Albula virgata</t>
  </si>
  <si>
    <t>Donovan et al 2015</t>
  </si>
  <si>
    <t>Ecology and niche specialization of two bonefish species in Hawai'i</t>
  </si>
  <si>
    <t>Chromis verater</t>
  </si>
  <si>
    <t>Dascyllus albisella</t>
  </si>
  <si>
    <t>Winston et al 2017</t>
  </si>
  <si>
    <t>Intraspecific variability in the life histories of endemic coral-reef fishes between photic and mesophotic depths across the Central Pacific Ocean</t>
  </si>
  <si>
    <t>Chlorurus perspicillatus</t>
  </si>
  <si>
    <t>Author/Year</t>
  </si>
  <si>
    <t>Title</t>
  </si>
  <si>
    <t>Donovan et al 2013</t>
  </si>
  <si>
    <t xml:space="preserve">Demartini et al 2018 </t>
  </si>
  <si>
    <t>LINF_TL</t>
  </si>
  <si>
    <t>t0</t>
  </si>
  <si>
    <t>a</t>
  </si>
  <si>
    <t>b</t>
  </si>
  <si>
    <t>M</t>
  </si>
  <si>
    <t>Demographic patterns in the peacock grouper (Cephalopholis argus), an introduced Hawaiian reef fish</t>
  </si>
  <si>
    <t>Max_Age</t>
  </si>
  <si>
    <t>Comparative growth, age at maturity and sex change, and longevity of Hawaiian parrotfishes, with bomb radiocarbon validation</t>
  </si>
  <si>
    <t>Acanthurus triostegus sandvicensis</t>
  </si>
  <si>
    <t>Participatory fishery monitoring is successful for understanding the reproductive biology needed for local fisheries management</t>
  </si>
  <si>
    <t>Schemmel &amp; Friedlander 2016</t>
  </si>
  <si>
    <t>Secondary Author/Year</t>
  </si>
  <si>
    <t>Secondary Title</t>
  </si>
  <si>
    <t>Demartini &amp; Howard 2016</t>
  </si>
  <si>
    <t>Comparisons of body sizes at sexual maturity and at sex change in the parrotfishes of Hawaii: input needed for management regulations and stock assessments</t>
  </si>
  <si>
    <t>Length at maturity (female; before becoming male)</t>
  </si>
  <si>
    <t>172 FL</t>
  </si>
  <si>
    <t>We don't have length at maturity information</t>
  </si>
  <si>
    <t>Data Location</t>
  </si>
  <si>
    <t>North Kona</t>
  </si>
  <si>
    <t>Main Hawaiian Islands - Shallow</t>
  </si>
  <si>
    <t>Oahu</t>
  </si>
  <si>
    <t xml:space="preserve">Hawaii </t>
  </si>
  <si>
    <t>Common Name</t>
  </si>
  <si>
    <t>Ulua au kea</t>
  </si>
  <si>
    <t>Lauli</t>
  </si>
  <si>
    <t>Omilu</t>
  </si>
  <si>
    <t>Menpachi Ulua</t>
  </si>
  <si>
    <t>Roi</t>
  </si>
  <si>
    <t>Yelloweye Kole</t>
  </si>
  <si>
    <t>Kamanu</t>
  </si>
  <si>
    <t>Taape</t>
  </si>
  <si>
    <t>Ama'ama</t>
  </si>
  <si>
    <t>Weke a'a</t>
  </si>
  <si>
    <t>Weke Ula</t>
  </si>
  <si>
    <t>U'u</t>
  </si>
  <si>
    <t>Kala Lolo</t>
  </si>
  <si>
    <t>Opelu Kala</t>
  </si>
  <si>
    <t>Umaumalei</t>
  </si>
  <si>
    <t>Kumu</t>
  </si>
  <si>
    <t>Butaguchi</t>
  </si>
  <si>
    <t>Uhu palukaluka</t>
  </si>
  <si>
    <t>Kahala</t>
  </si>
  <si>
    <t>Kaku</t>
  </si>
  <si>
    <t>Lau'ipala</t>
  </si>
  <si>
    <t>Bullethead Parrotfish</t>
  </si>
  <si>
    <t>Black Trevally</t>
  </si>
  <si>
    <t>Bluefin Trevally</t>
  </si>
  <si>
    <t>Bigeye Trevally</t>
  </si>
  <si>
    <t>Peacock Grouper</t>
  </si>
  <si>
    <t>Goldring Surgeonfish</t>
  </si>
  <si>
    <t>Rainbow Runner</t>
  </si>
  <si>
    <t>Bluestipe Snapper</t>
  </si>
  <si>
    <t>Striped Mullet</t>
  </si>
  <si>
    <t>Yellowstripe Goatfish</t>
  </si>
  <si>
    <t>Yellowfin Goatfish</t>
  </si>
  <si>
    <t>Bigscale Soldierfish</t>
  </si>
  <si>
    <t>Paletail Unicornfish</t>
  </si>
  <si>
    <t>Sleek Unicornfish</t>
  </si>
  <si>
    <t>Orangespine Unicornfish</t>
  </si>
  <si>
    <t>Blue Spine Unicornfish</t>
  </si>
  <si>
    <t>Manybar Goatfish</t>
  </si>
  <si>
    <t>Whitesaddle Goatfish</t>
  </si>
  <si>
    <t>Thick Lipped Jack</t>
  </si>
  <si>
    <t>Palenose Parrotfish</t>
  </si>
  <si>
    <t>Redlip Parrotfish</t>
  </si>
  <si>
    <t>Greater Amberjack</t>
  </si>
  <si>
    <t>Great Barracuda</t>
  </si>
  <si>
    <t>Yellow Tang</t>
  </si>
  <si>
    <t>Sea Bass</t>
  </si>
  <si>
    <t>Barracudas</t>
  </si>
  <si>
    <t>Mullets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</si>
</sst>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 applyFill="1"/>
    <xf numFmtId="2" fontId="0" fillId="0" borderId="0" xfId="0" applyNumberFormat="1" applyFill="1"/>
    <xf numFmtId="164" fontId="0" fillId="35" borderId="0" xfId="0" applyNumberFormat="1" applyFill="1"/>
    <xf numFmtId="165" fontId="0" fillId="0" borderId="0" xfId="0" applyNumberFormat="1" applyFill="1"/>
    <xf numFmtId="165" fontId="0" fillId="35" borderId="0" xfId="0" applyNumberFormat="1" applyFill="1"/>
    <xf numFmtId="166" fontId="0" fillId="0" borderId="0" xfId="0" applyNumberFormat="1" applyFill="1"/>
    <xf numFmtId="0" fontId="18" fillId="0" borderId="0" xfId="0" applyFont="1"/>
    <xf numFmtId="0" fontId="0" fillId="36" borderId="0" xfId="0" applyFill="1"/>
    <xf numFmtId="0" fontId="0" fillId="37" borderId="0" xfId="0" applyFill="1"/>
    <xf numFmtId="166" fontId="0" fillId="37" borderId="0" xfId="0" applyNumberFormat="1" applyFill="1"/>
    <xf numFmtId="0" fontId="16" fillId="0" borderId="0" xfId="0" applyFont="1" applyFill="1"/>
    <xf numFmtId="0" fontId="19" fillId="0" borderId="0" xfId="0" applyFon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0" borderId="0" xfId="0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"/>
  <sheetViews>
    <sheetView workbookViewId="0">
      <selection activeCell="B11" sqref="B11:C11"/>
    </sheetView>
  </sheetViews>
  <sheetFormatPr baseColWidth="10" defaultColWidth="14.1640625" defaultRowHeight="16"/>
  <cols>
    <col min="1" max="5" width="14.1640625" style="1"/>
    <col min="6" max="9" width="14.1640625" style="1" customWidth="1"/>
    <col min="10" max="10" width="14.1640625" style="1"/>
    <col min="11" max="13" width="14.33203125" style="1" customWidth="1"/>
    <col min="14" max="16" width="14.1640625" style="1"/>
    <col min="17" max="18" width="14.1640625" style="1" customWidth="1"/>
    <col min="19" max="26" width="14.1640625" style="1"/>
    <col min="27" max="34" width="14.1640625" style="1" customWidth="1"/>
    <col min="35" max="38" width="14.1640625" style="1"/>
    <col min="39" max="40" width="14.1640625" style="1" customWidth="1"/>
    <col min="41" max="16384" width="14.1640625" style="1"/>
  </cols>
  <sheetData>
    <row r="1" spans="1:49">
      <c r="A1" s="1" t="s">
        <v>130</v>
      </c>
      <c r="B1" s="1" t="s">
        <v>128</v>
      </c>
      <c r="C1" s="1" t="s">
        <v>129</v>
      </c>
      <c r="D1" s="1" t="s">
        <v>0</v>
      </c>
      <c r="E1" s="1" t="s">
        <v>1</v>
      </c>
      <c r="F1" s="1" t="s">
        <v>91</v>
      </c>
      <c r="G1" s="1" t="s">
        <v>92</v>
      </c>
      <c r="H1" s="1" t="s">
        <v>93</v>
      </c>
      <c r="I1" s="1" t="s">
        <v>94</v>
      </c>
      <c r="J1" s="3" t="s">
        <v>95</v>
      </c>
      <c r="K1" s="2" t="s">
        <v>106</v>
      </c>
      <c r="L1" s="1" t="s">
        <v>96</v>
      </c>
      <c r="M1" s="3" t="s">
        <v>97</v>
      </c>
      <c r="N1" s="2" t="s">
        <v>107</v>
      </c>
      <c r="O1" s="1" t="s">
        <v>98</v>
      </c>
      <c r="P1" s="2" t="s">
        <v>114</v>
      </c>
      <c r="Q1" s="1" t="s">
        <v>99</v>
      </c>
      <c r="R1" s="1" t="s">
        <v>100</v>
      </c>
      <c r="S1" s="3" t="s">
        <v>101</v>
      </c>
      <c r="T1" s="2" t="s">
        <v>115</v>
      </c>
      <c r="U1" s="3" t="s">
        <v>102</v>
      </c>
      <c r="V1" s="2" t="s">
        <v>116</v>
      </c>
      <c r="W1" s="3" t="s">
        <v>103</v>
      </c>
      <c r="X1" s="2" t="s">
        <v>117</v>
      </c>
      <c r="Y1" s="3" t="s">
        <v>104</v>
      </c>
      <c r="Z1" s="2" t="s">
        <v>118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  <c r="AF1" s="1" t="s">
        <v>73</v>
      </c>
      <c r="AG1" s="1" t="s">
        <v>74</v>
      </c>
      <c r="AH1" s="1" t="s">
        <v>75</v>
      </c>
      <c r="AI1" s="3" t="s">
        <v>119</v>
      </c>
      <c r="AJ1" s="2" t="s">
        <v>120</v>
      </c>
      <c r="AK1" s="3" t="s">
        <v>113</v>
      </c>
      <c r="AL1" s="2" t="s">
        <v>121</v>
      </c>
      <c r="AM1" s="1" t="s">
        <v>76</v>
      </c>
      <c r="AN1" s="1" t="s">
        <v>77</v>
      </c>
      <c r="AO1" s="3" t="s">
        <v>78</v>
      </c>
      <c r="AP1" s="2" t="s">
        <v>122</v>
      </c>
      <c r="AQ1" s="1" t="s">
        <v>79</v>
      </c>
      <c r="AR1" t="s">
        <v>82</v>
      </c>
      <c r="AS1" s="1" t="s">
        <v>83</v>
      </c>
      <c r="AT1" t="s">
        <v>84</v>
      </c>
      <c r="AU1" t="s">
        <v>85</v>
      </c>
      <c r="AV1" t="s">
        <v>86</v>
      </c>
      <c r="AW1"/>
    </row>
    <row r="2" spans="1:49">
      <c r="A2" s="1" t="s">
        <v>124</v>
      </c>
      <c r="B2" s="11" t="s">
        <v>131</v>
      </c>
      <c r="C2" s="1" t="s">
        <v>132</v>
      </c>
      <c r="D2" s="1" t="s">
        <v>8</v>
      </c>
      <c r="E2" s="1" t="s">
        <v>9</v>
      </c>
      <c r="H2" s="1">
        <v>0.76</v>
      </c>
      <c r="I2" s="1">
        <v>276</v>
      </c>
      <c r="J2" s="1">
        <v>363</v>
      </c>
      <c r="K2" s="1">
        <v>363</v>
      </c>
      <c r="L2" s="1">
        <f t="shared" ref="L2:L30" si="0">J2/25.4</f>
        <v>14.291338582677167</v>
      </c>
      <c r="M2" s="5">
        <v>0.25</v>
      </c>
      <c r="N2" s="1">
        <v>0.25</v>
      </c>
      <c r="O2" s="5">
        <v>-0.38</v>
      </c>
      <c r="P2" s="1">
        <v>-0.38</v>
      </c>
      <c r="R2" s="1">
        <v>210</v>
      </c>
      <c r="S2" s="1">
        <v>276</v>
      </c>
      <c r="T2" s="1">
        <v>276</v>
      </c>
      <c r="U2" s="1">
        <v>35</v>
      </c>
      <c r="V2" s="1">
        <v>35</v>
      </c>
      <c r="W2" s="8">
        <v>2.5059999999999999E-2</v>
      </c>
      <c r="X2" s="1">
        <v>2.5000000000000001E-2</v>
      </c>
      <c r="Y2" s="8">
        <v>3.03193</v>
      </c>
      <c r="Z2" s="1">
        <v>3.03</v>
      </c>
      <c r="AA2" s="1" t="s">
        <v>10</v>
      </c>
      <c r="AF2" s="1">
        <f t="shared" ref="AF2:AF30" si="1">J2</f>
        <v>363</v>
      </c>
      <c r="AG2" s="1">
        <f t="shared" ref="AG2:AG30" si="2">S2</f>
        <v>276</v>
      </c>
      <c r="AH2" s="1">
        <f t="shared" ref="AH2:AH30" si="3">AG2+1</f>
        <v>277</v>
      </c>
      <c r="AI2" s="10">
        <f t="shared" ref="AI2:AI30" si="4">(4.899*(U2)^-0.916)</f>
        <v>0.18868662257633637</v>
      </c>
      <c r="AJ2" s="1">
        <v>0.09</v>
      </c>
      <c r="AK2" s="1">
        <f>AI2/M2</f>
        <v>0.75474649030534546</v>
      </c>
      <c r="AL2" s="1">
        <f>AJ2/N2</f>
        <v>0.36</v>
      </c>
      <c r="AM2" s="1">
        <f>AG2</f>
        <v>276</v>
      </c>
      <c r="AN2" s="1">
        <f t="shared" ref="AN2:AN18" si="5">AM2+1</f>
        <v>277</v>
      </c>
      <c r="AO2" s="1">
        <v>0.4</v>
      </c>
      <c r="AP2" s="1">
        <v>0.16</v>
      </c>
      <c r="AQ2" s="1">
        <v>5</v>
      </c>
      <c r="AR2" t="b">
        <v>1</v>
      </c>
      <c r="AT2">
        <v>0.27</v>
      </c>
      <c r="AU2">
        <f>AT2/AJ2</f>
        <v>3.0000000000000004</v>
      </c>
      <c r="AV2"/>
      <c r="AW2"/>
    </row>
    <row r="3" spans="1:49">
      <c r="A3" s="1" t="s">
        <v>124</v>
      </c>
      <c r="B3" s="1" t="s">
        <v>133</v>
      </c>
      <c r="C3" s="1" t="s">
        <v>134</v>
      </c>
      <c r="D3" s="1" t="s">
        <v>8</v>
      </c>
      <c r="E3" s="1" t="s">
        <v>11</v>
      </c>
      <c r="H3" s="1">
        <v>0.83</v>
      </c>
      <c r="I3" s="1">
        <v>308</v>
      </c>
      <c r="J3" s="1">
        <v>371</v>
      </c>
      <c r="K3" s="1">
        <v>371</v>
      </c>
      <c r="L3" s="1">
        <f t="shared" si="0"/>
        <v>14.606299212598426</v>
      </c>
      <c r="M3" s="5">
        <v>0.29599999999999999</v>
      </c>
      <c r="N3" s="1">
        <v>0.3</v>
      </c>
      <c r="O3" s="5">
        <v>-0.28999999999999998</v>
      </c>
      <c r="P3" s="1">
        <v>-0.28999999999999998</v>
      </c>
      <c r="R3" s="1">
        <v>234</v>
      </c>
      <c r="S3" s="1">
        <v>282</v>
      </c>
      <c r="T3" s="1">
        <v>282</v>
      </c>
      <c r="U3" s="1">
        <v>28</v>
      </c>
      <c r="V3" s="1">
        <v>28</v>
      </c>
      <c r="W3" s="8">
        <v>2.5100000000000001E-2</v>
      </c>
      <c r="X3" s="1">
        <v>2.5000000000000001E-2</v>
      </c>
      <c r="Y3" s="8">
        <v>3.032</v>
      </c>
      <c r="Z3" s="1">
        <v>3.03</v>
      </c>
      <c r="AA3" s="1" t="s">
        <v>10</v>
      </c>
      <c r="AF3" s="1">
        <f t="shared" si="1"/>
        <v>371</v>
      </c>
      <c r="AG3" s="1">
        <f t="shared" si="2"/>
        <v>282</v>
      </c>
      <c r="AH3" s="1">
        <f t="shared" si="3"/>
        <v>283</v>
      </c>
      <c r="AI3" s="10">
        <f t="shared" si="4"/>
        <v>0.23147851242458983</v>
      </c>
      <c r="AJ3" s="1">
        <v>0.11</v>
      </c>
      <c r="AK3" s="1">
        <f>AI3/M3</f>
        <v>0.78202200143442513</v>
      </c>
      <c r="AL3" s="1">
        <f>AJ3/N3</f>
        <v>0.3666666666666667</v>
      </c>
      <c r="AM3" s="1">
        <f>AG3</f>
        <v>282</v>
      </c>
      <c r="AN3" s="1">
        <f t="shared" si="5"/>
        <v>283</v>
      </c>
      <c r="AO3" s="1">
        <v>0.4</v>
      </c>
      <c r="AP3" s="1">
        <v>0.32</v>
      </c>
      <c r="AQ3" s="1">
        <v>5</v>
      </c>
      <c r="AR3" t="b">
        <v>1</v>
      </c>
      <c r="AT3">
        <v>0.18</v>
      </c>
      <c r="AU3">
        <f>AT3/AJ3</f>
        <v>1.6363636363636362</v>
      </c>
      <c r="AV3"/>
      <c r="AW3"/>
    </row>
    <row r="4" spans="1:49">
      <c r="A4" s="1" t="s">
        <v>124</v>
      </c>
      <c r="B4" s="1" t="s">
        <v>135</v>
      </c>
      <c r="C4" s="1" t="s">
        <v>132</v>
      </c>
      <c r="D4" s="1" t="s">
        <v>8</v>
      </c>
      <c r="E4" s="1" t="s">
        <v>12</v>
      </c>
      <c r="H4" s="1">
        <v>0.74</v>
      </c>
      <c r="I4" s="1">
        <v>426</v>
      </c>
      <c r="J4" s="1">
        <v>576</v>
      </c>
      <c r="L4" s="1">
        <f t="shared" si="0"/>
        <v>22.677165354330711</v>
      </c>
      <c r="M4" s="5">
        <v>0.28699999999999998</v>
      </c>
      <c r="O4" s="5">
        <v>-0.21</v>
      </c>
      <c r="R4" s="1">
        <v>367</v>
      </c>
      <c r="S4" s="1">
        <v>496</v>
      </c>
      <c r="U4" s="1">
        <v>34</v>
      </c>
      <c r="W4" s="8">
        <v>2.673E-2</v>
      </c>
      <c r="Y4" s="8">
        <v>2.9844900000000001</v>
      </c>
      <c r="AA4" s="1" t="s">
        <v>10</v>
      </c>
      <c r="AF4" s="1">
        <f t="shared" si="1"/>
        <v>576</v>
      </c>
      <c r="AG4" s="1">
        <f t="shared" si="2"/>
        <v>496</v>
      </c>
      <c r="AH4" s="1">
        <f t="shared" si="3"/>
        <v>497</v>
      </c>
      <c r="AI4" s="10">
        <f t="shared" si="4"/>
        <v>0.19376384836087343</v>
      </c>
      <c r="AK4" s="1">
        <f t="shared" ref="AK4:AK30" si="6">AI4/M4</f>
        <v>0.67513536014241615</v>
      </c>
      <c r="AM4" s="1">
        <f>AG4</f>
        <v>496</v>
      </c>
      <c r="AN4" s="1">
        <f t="shared" si="5"/>
        <v>497</v>
      </c>
      <c r="AO4" s="1">
        <v>0.4</v>
      </c>
      <c r="AQ4" s="1">
        <v>5</v>
      </c>
      <c r="AR4" t="b">
        <v>1</v>
      </c>
      <c r="AT4"/>
      <c r="AU4"/>
      <c r="AV4">
        <f>(AU2+AU3+AU19+AU21+AU20+AU22)/6</f>
        <v>2.2211399711399711</v>
      </c>
      <c r="AW4" t="s">
        <v>87</v>
      </c>
    </row>
    <row r="5" spans="1:49">
      <c r="A5" s="1" t="s">
        <v>126</v>
      </c>
      <c r="B5" s="1" t="s">
        <v>136</v>
      </c>
      <c r="C5" s="1" t="s">
        <v>137</v>
      </c>
      <c r="D5" s="1" t="s">
        <v>42</v>
      </c>
      <c r="E5" s="1" t="s">
        <v>43</v>
      </c>
      <c r="F5" s="1">
        <v>0.92</v>
      </c>
      <c r="G5" s="1">
        <v>709</v>
      </c>
      <c r="J5" s="4">
        <v>771</v>
      </c>
      <c r="K5" s="4">
        <v>810</v>
      </c>
      <c r="L5" s="1">
        <f t="shared" si="0"/>
        <v>30.354330708661418</v>
      </c>
      <c r="M5" s="7">
        <v>0.372</v>
      </c>
      <c r="N5" s="4">
        <v>0.31</v>
      </c>
      <c r="O5" s="7">
        <v>-0.51</v>
      </c>
      <c r="P5" s="4">
        <v>0</v>
      </c>
      <c r="Q5" s="1">
        <v>450</v>
      </c>
      <c r="S5" s="4">
        <v>489</v>
      </c>
      <c r="T5" s="4">
        <v>500</v>
      </c>
      <c r="U5" s="4">
        <v>31</v>
      </c>
      <c r="V5" s="4">
        <v>26</v>
      </c>
      <c r="W5" s="9">
        <v>0.19439999999999999</v>
      </c>
      <c r="X5" s="4">
        <v>2.1999999999999999E-2</v>
      </c>
      <c r="Y5" s="9">
        <v>2.4041199999999998</v>
      </c>
      <c r="Z5" s="4">
        <v>2.89</v>
      </c>
      <c r="AF5" s="1">
        <f t="shared" si="1"/>
        <v>771</v>
      </c>
      <c r="AG5" s="1">
        <f t="shared" si="2"/>
        <v>489</v>
      </c>
      <c r="AH5" s="1">
        <f t="shared" si="3"/>
        <v>490</v>
      </c>
      <c r="AI5" s="10">
        <f t="shared" si="4"/>
        <v>0.21087258791252661</v>
      </c>
      <c r="AJ5" s="1">
        <v>0.12</v>
      </c>
      <c r="AK5" s="1">
        <f t="shared" si="6"/>
        <v>0.56686179546378124</v>
      </c>
      <c r="AL5" s="1">
        <f>AJ5/N5</f>
        <v>0.38709677419354838</v>
      </c>
      <c r="AM5" s="1">
        <f>AG5</f>
        <v>489</v>
      </c>
      <c r="AN5" s="1">
        <f t="shared" si="5"/>
        <v>490</v>
      </c>
      <c r="AO5" s="1">
        <v>0.4</v>
      </c>
      <c r="AP5" s="1">
        <v>0.23</v>
      </c>
      <c r="AQ5" s="1">
        <v>5</v>
      </c>
      <c r="AR5" t="b">
        <v>1</v>
      </c>
      <c r="AT5">
        <v>0.23</v>
      </c>
      <c r="AU5">
        <f>AT5/AJ5</f>
        <v>1.9166666666666667</v>
      </c>
      <c r="AV5"/>
      <c r="AW5"/>
    </row>
    <row r="6" spans="1:49">
      <c r="A6" s="1" t="s">
        <v>127</v>
      </c>
      <c r="B6" t="s">
        <v>138</v>
      </c>
      <c r="C6" t="s">
        <v>139</v>
      </c>
      <c r="D6" s="1" t="s">
        <v>29</v>
      </c>
      <c r="E6" s="1" t="s">
        <v>30</v>
      </c>
      <c r="H6" s="1">
        <v>0.87</v>
      </c>
      <c r="I6" s="1">
        <v>1838</v>
      </c>
      <c r="J6" s="4">
        <v>2113</v>
      </c>
      <c r="K6" s="4">
        <v>2170</v>
      </c>
      <c r="L6" s="1">
        <f t="shared" si="0"/>
        <v>83.188976377952756</v>
      </c>
      <c r="M6" s="5">
        <v>0.111</v>
      </c>
      <c r="N6" s="1">
        <v>0.11</v>
      </c>
      <c r="O6" s="5">
        <v>9.7000000000000003E-2</v>
      </c>
      <c r="P6" s="1">
        <v>0.1</v>
      </c>
      <c r="R6" s="1">
        <v>700</v>
      </c>
      <c r="S6" s="4">
        <v>805</v>
      </c>
      <c r="T6" s="4">
        <v>839</v>
      </c>
      <c r="U6" s="1">
        <v>11</v>
      </c>
      <c r="V6" s="1">
        <v>11</v>
      </c>
      <c r="W6" s="9">
        <v>2.7300000000000001E-2</v>
      </c>
      <c r="X6" s="4">
        <v>1.4999999999999999E-2</v>
      </c>
      <c r="Y6" s="9">
        <v>2.9129999999999998</v>
      </c>
      <c r="Z6" s="4">
        <v>3.09</v>
      </c>
      <c r="AB6" s="1" t="s">
        <v>31</v>
      </c>
      <c r="AC6" s="1" t="s">
        <v>18</v>
      </c>
      <c r="AD6" s="1" t="s">
        <v>32</v>
      </c>
      <c r="AE6" s="1" t="s">
        <v>33</v>
      </c>
      <c r="AF6" s="1">
        <f t="shared" si="1"/>
        <v>2113</v>
      </c>
      <c r="AG6" s="1">
        <f t="shared" si="2"/>
        <v>805</v>
      </c>
      <c r="AH6" s="1">
        <f t="shared" si="3"/>
        <v>806</v>
      </c>
      <c r="AI6" s="10">
        <f t="shared" si="4"/>
        <v>0.54474310238132972</v>
      </c>
      <c r="AJ6" s="1">
        <v>0.27</v>
      </c>
      <c r="AK6" s="1">
        <f t="shared" si="6"/>
        <v>4.9075955169489163</v>
      </c>
      <c r="AL6" s="1">
        <f>AJ6/N6</f>
        <v>2.4545454545454546</v>
      </c>
      <c r="AM6" s="1">
        <f>10*25.4</f>
        <v>254</v>
      </c>
      <c r="AN6" s="1">
        <f t="shared" si="5"/>
        <v>255</v>
      </c>
      <c r="AO6" s="1">
        <v>0.4</v>
      </c>
      <c r="AP6" s="1">
        <v>0.21</v>
      </c>
      <c r="AQ6" s="1">
        <v>5</v>
      </c>
      <c r="AR6" t="b">
        <v>1</v>
      </c>
      <c r="AS6" s="1">
        <v>254</v>
      </c>
      <c r="AT6">
        <v>0.3</v>
      </c>
      <c r="AU6">
        <f>AT6/AJ6</f>
        <v>1.1111111111111109</v>
      </c>
      <c r="AV6"/>
      <c r="AW6"/>
    </row>
    <row r="7" spans="1:49">
      <c r="B7" t="s">
        <v>140</v>
      </c>
      <c r="C7" t="s">
        <v>141</v>
      </c>
      <c r="D7" s="1" t="s">
        <v>29</v>
      </c>
      <c r="E7" s="1" t="s">
        <v>34</v>
      </c>
      <c r="F7" s="1">
        <v>0.94</v>
      </c>
      <c r="G7" s="1">
        <v>822</v>
      </c>
      <c r="J7" s="1">
        <v>874</v>
      </c>
      <c r="L7" s="1">
        <f t="shared" si="0"/>
        <v>34.409448818897637</v>
      </c>
      <c r="M7" s="5">
        <v>0.12</v>
      </c>
      <c r="O7" s="5">
        <v>0</v>
      </c>
      <c r="Q7" s="1">
        <v>370</v>
      </c>
      <c r="S7" s="1">
        <v>394</v>
      </c>
      <c r="U7" s="1">
        <v>12</v>
      </c>
      <c r="W7" s="8">
        <v>1.9800000000000002E-2</v>
      </c>
      <c r="Y7" s="8">
        <v>3.0009999999999999</v>
      </c>
      <c r="AB7" s="1" t="s">
        <v>31</v>
      </c>
      <c r="AC7" s="1" t="s">
        <v>18</v>
      </c>
      <c r="AD7" s="1" t="s">
        <v>32</v>
      </c>
      <c r="AE7" s="1" t="s">
        <v>33</v>
      </c>
      <c r="AF7" s="1">
        <f t="shared" si="1"/>
        <v>874</v>
      </c>
      <c r="AG7" s="1">
        <f t="shared" si="2"/>
        <v>394</v>
      </c>
      <c r="AH7" s="1">
        <f t="shared" si="3"/>
        <v>395</v>
      </c>
      <c r="AI7" s="10">
        <f t="shared" si="4"/>
        <v>0.50301092544616444</v>
      </c>
      <c r="AK7" s="1">
        <f t="shared" si="6"/>
        <v>4.1917577120513707</v>
      </c>
      <c r="AM7" s="1">
        <f>10*25.4</f>
        <v>254</v>
      </c>
      <c r="AN7" s="1">
        <f t="shared" si="5"/>
        <v>255</v>
      </c>
      <c r="AO7" s="1">
        <v>0.4</v>
      </c>
      <c r="AQ7" s="1">
        <v>5</v>
      </c>
      <c r="AR7" t="b">
        <v>1</v>
      </c>
      <c r="AS7" s="1">
        <v>254</v>
      </c>
      <c r="AT7"/>
      <c r="AU7"/>
      <c r="AV7">
        <f>(AU6+AU8+AU28)/3</f>
        <v>0.72773471145564173</v>
      </c>
      <c r="AW7" t="s">
        <v>88</v>
      </c>
    </row>
    <row r="8" spans="1:49">
      <c r="A8" s="1" t="s">
        <v>127</v>
      </c>
      <c r="B8" t="s">
        <v>142</v>
      </c>
      <c r="C8" t="s">
        <v>143</v>
      </c>
      <c r="D8" s="1" t="s">
        <v>29</v>
      </c>
      <c r="E8" s="1" t="s">
        <v>35</v>
      </c>
      <c r="H8" s="1">
        <v>0.84</v>
      </c>
      <c r="I8" s="1">
        <v>897</v>
      </c>
      <c r="J8" s="4">
        <v>1068</v>
      </c>
      <c r="K8" s="4">
        <v>1041</v>
      </c>
      <c r="L8" s="1">
        <f t="shared" si="0"/>
        <v>42.047244094488192</v>
      </c>
      <c r="M8" s="5">
        <v>0.23300000000000001</v>
      </c>
      <c r="N8" s="1">
        <v>0.23</v>
      </c>
      <c r="O8" s="5">
        <v>-4.3999999999999997E-2</v>
      </c>
      <c r="P8" s="1">
        <v>-0.04</v>
      </c>
      <c r="R8" s="1">
        <v>400</v>
      </c>
      <c r="S8" s="1">
        <v>476</v>
      </c>
      <c r="T8" s="1">
        <v>475</v>
      </c>
      <c r="U8" s="1">
        <v>7</v>
      </c>
      <c r="V8" s="1">
        <v>7</v>
      </c>
      <c r="W8" s="8">
        <v>2.4199999999999999E-2</v>
      </c>
      <c r="X8" s="1">
        <v>2.4E-2</v>
      </c>
      <c r="Y8" s="8">
        <v>2.9409999999999998</v>
      </c>
      <c r="Z8" s="1">
        <v>2.94</v>
      </c>
      <c r="AB8" s="1" t="s">
        <v>31</v>
      </c>
      <c r="AC8" s="1" t="s">
        <v>18</v>
      </c>
      <c r="AD8" s="1" t="s">
        <v>32</v>
      </c>
      <c r="AE8" s="1" t="s">
        <v>33</v>
      </c>
      <c r="AF8" s="1">
        <f t="shared" si="1"/>
        <v>1068</v>
      </c>
      <c r="AG8" s="1">
        <f t="shared" si="2"/>
        <v>476</v>
      </c>
      <c r="AH8" s="1">
        <f t="shared" si="3"/>
        <v>477</v>
      </c>
      <c r="AI8" s="10">
        <f t="shared" si="4"/>
        <v>0.82413362671405554</v>
      </c>
      <c r="AJ8" s="1">
        <v>0.43</v>
      </c>
      <c r="AK8" s="1">
        <f t="shared" si="6"/>
        <v>3.5370541919058174</v>
      </c>
      <c r="AL8" s="1">
        <f>AJ8/N8</f>
        <v>1.8695652173913042</v>
      </c>
      <c r="AM8" s="1">
        <f>10*25.4</f>
        <v>254</v>
      </c>
      <c r="AN8" s="1">
        <f t="shared" si="5"/>
        <v>255</v>
      </c>
      <c r="AO8" s="1">
        <v>0.4</v>
      </c>
      <c r="AP8" s="1">
        <v>0.65</v>
      </c>
      <c r="AQ8" s="1">
        <v>5</v>
      </c>
      <c r="AR8" t="b">
        <v>1</v>
      </c>
      <c r="AS8" s="1">
        <v>254</v>
      </c>
      <c r="AT8">
        <v>0.16</v>
      </c>
      <c r="AU8">
        <f>AT8/AJ8</f>
        <v>0.37209302325581395</v>
      </c>
      <c r="AV8"/>
      <c r="AW8"/>
    </row>
    <row r="9" spans="1:49">
      <c r="B9" t="s">
        <v>144</v>
      </c>
      <c r="C9" t="s">
        <v>145</v>
      </c>
      <c r="D9" s="1" t="s">
        <v>29</v>
      </c>
      <c r="E9" s="1" t="s">
        <v>36</v>
      </c>
      <c r="F9" s="1">
        <v>0.9</v>
      </c>
      <c r="G9" s="1">
        <v>800</v>
      </c>
      <c r="H9" s="1">
        <v>0.83</v>
      </c>
      <c r="J9" s="1">
        <v>889</v>
      </c>
      <c r="L9" s="1">
        <f t="shared" si="0"/>
        <v>35</v>
      </c>
      <c r="M9" s="5">
        <v>0.24</v>
      </c>
      <c r="O9" s="5">
        <v>0</v>
      </c>
      <c r="R9" s="1">
        <v>420</v>
      </c>
      <c r="S9" s="1">
        <v>506</v>
      </c>
      <c r="U9" s="1">
        <v>11</v>
      </c>
      <c r="W9" s="8">
        <v>1.9800000000000002E-2</v>
      </c>
      <c r="Y9" s="8">
        <v>2.9860000000000002</v>
      </c>
      <c r="AB9" s="1" t="s">
        <v>31</v>
      </c>
      <c r="AC9" s="1" t="s">
        <v>18</v>
      </c>
      <c r="AD9" s="1" t="s">
        <v>32</v>
      </c>
      <c r="AE9" s="1" t="s">
        <v>33</v>
      </c>
      <c r="AF9" s="1">
        <f t="shared" si="1"/>
        <v>889</v>
      </c>
      <c r="AG9" s="1">
        <f t="shared" si="2"/>
        <v>506</v>
      </c>
      <c r="AH9" s="1">
        <f t="shared" si="3"/>
        <v>507</v>
      </c>
      <c r="AI9" s="10">
        <f t="shared" si="4"/>
        <v>0.54474310238132972</v>
      </c>
      <c r="AK9" s="1">
        <f t="shared" si="6"/>
        <v>2.2697629265888741</v>
      </c>
      <c r="AM9" s="1">
        <f>10*25.4</f>
        <v>254</v>
      </c>
      <c r="AN9" s="1">
        <f t="shared" si="5"/>
        <v>255</v>
      </c>
      <c r="AO9" s="1">
        <v>0.4</v>
      </c>
      <c r="AQ9" s="1">
        <v>5</v>
      </c>
      <c r="AR9" t="b">
        <v>1</v>
      </c>
      <c r="AS9" s="1">
        <v>254</v>
      </c>
      <c r="AT9"/>
      <c r="AU9"/>
      <c r="AV9">
        <v>0.72773471145564173</v>
      </c>
      <c r="AW9"/>
    </row>
    <row r="10" spans="1:49">
      <c r="A10" s="1" t="s">
        <v>185</v>
      </c>
      <c r="B10" t="s">
        <v>146</v>
      </c>
      <c r="C10" t="s">
        <v>147</v>
      </c>
      <c r="D10" s="1" t="s">
        <v>68</v>
      </c>
      <c r="E10" s="1" t="s">
        <v>69</v>
      </c>
      <c r="H10" s="1">
        <v>0.82</v>
      </c>
      <c r="J10" s="1">
        <v>506</v>
      </c>
      <c r="K10" s="1">
        <v>506</v>
      </c>
      <c r="L10" s="1">
        <f t="shared" si="0"/>
        <v>19.921259842519685</v>
      </c>
      <c r="M10" s="5">
        <v>7.4999999999999997E-2</v>
      </c>
      <c r="N10" s="1">
        <v>0.08</v>
      </c>
      <c r="O10" s="5">
        <v>-6.5</v>
      </c>
      <c r="P10" s="1">
        <v>-6.5</v>
      </c>
      <c r="R10" s="1">
        <v>220</v>
      </c>
      <c r="S10" s="1">
        <v>268</v>
      </c>
      <c r="T10" s="1">
        <v>268</v>
      </c>
      <c r="U10" s="1">
        <v>25</v>
      </c>
      <c r="V10" s="1">
        <v>25</v>
      </c>
      <c r="W10" s="8">
        <v>0.02</v>
      </c>
      <c r="X10" s="1">
        <v>0.02</v>
      </c>
      <c r="Y10" s="8">
        <v>2.99</v>
      </c>
      <c r="Z10" s="1">
        <v>2.99</v>
      </c>
      <c r="AA10" s="1" t="s">
        <v>70</v>
      </c>
      <c r="AF10" s="1">
        <f t="shared" si="1"/>
        <v>506</v>
      </c>
      <c r="AG10" s="1">
        <f t="shared" si="2"/>
        <v>268</v>
      </c>
      <c r="AH10" s="1">
        <f t="shared" si="3"/>
        <v>269</v>
      </c>
      <c r="AI10" s="10">
        <f t="shared" si="4"/>
        <v>0.25679962872999834</v>
      </c>
      <c r="AJ10" s="1">
        <v>0.12</v>
      </c>
      <c r="AK10" s="1">
        <f t="shared" si="6"/>
        <v>3.4239950497333114</v>
      </c>
      <c r="AL10" s="1">
        <f>AJ10/N10</f>
        <v>1.5</v>
      </c>
      <c r="AN10" s="1">
        <f t="shared" si="5"/>
        <v>1</v>
      </c>
      <c r="AO10" s="1">
        <v>0.4</v>
      </c>
      <c r="AP10" s="1">
        <v>0.99</v>
      </c>
      <c r="AQ10" s="1">
        <v>5</v>
      </c>
      <c r="AR10" t="b">
        <v>1</v>
      </c>
      <c r="AT10">
        <v>0.01</v>
      </c>
      <c r="AU10">
        <f>AT10/AJ10</f>
        <v>8.3333333333333343E-2</v>
      </c>
      <c r="AV10"/>
      <c r="AW10"/>
    </row>
    <row r="11" spans="1:49">
      <c r="B11" s="1" t="s">
        <v>245</v>
      </c>
      <c r="C11" s="1" t="s">
        <v>65</v>
      </c>
      <c r="D11" s="1" t="s">
        <v>62</v>
      </c>
      <c r="E11" s="1" t="s">
        <v>63</v>
      </c>
      <c r="F11" s="1">
        <v>1</v>
      </c>
      <c r="H11" s="1">
        <v>0.87</v>
      </c>
      <c r="I11" s="1">
        <v>251</v>
      </c>
      <c r="J11" s="1">
        <v>289</v>
      </c>
      <c r="L11" s="1">
        <f t="shared" si="0"/>
        <v>11.377952755905513</v>
      </c>
      <c r="M11" s="5">
        <v>0.442</v>
      </c>
      <c r="O11" s="5">
        <v>-0.75600000000000001</v>
      </c>
      <c r="Q11" s="1">
        <v>170</v>
      </c>
      <c r="S11" s="1">
        <v>170</v>
      </c>
      <c r="U11" s="1">
        <v>10</v>
      </c>
      <c r="W11" s="8">
        <v>2.4309999999999998E-2</v>
      </c>
      <c r="Y11" s="8">
        <v>2.9693100000000001</v>
      </c>
      <c r="AF11" s="1">
        <f t="shared" si="1"/>
        <v>289</v>
      </c>
      <c r="AG11" s="1">
        <f t="shared" si="2"/>
        <v>170</v>
      </c>
      <c r="AH11" s="1">
        <f t="shared" si="3"/>
        <v>171</v>
      </c>
      <c r="AI11" s="10">
        <f t="shared" si="4"/>
        <v>0.59443919784279209</v>
      </c>
      <c r="AK11" s="1">
        <f t="shared" si="6"/>
        <v>1.3448850629927422</v>
      </c>
      <c r="AM11" s="1">
        <f>AG11</f>
        <v>170</v>
      </c>
      <c r="AN11" s="1">
        <f t="shared" si="5"/>
        <v>171</v>
      </c>
      <c r="AO11" s="1">
        <v>0.4</v>
      </c>
      <c r="AQ11" s="1">
        <v>5</v>
      </c>
      <c r="AR11" t="b">
        <v>1</v>
      </c>
      <c r="AT11"/>
      <c r="AU11"/>
      <c r="AV11">
        <f>(AU26+AU27)/2</f>
        <v>0.87428571428571433</v>
      </c>
      <c r="AW11" t="s">
        <v>89</v>
      </c>
    </row>
    <row r="12" spans="1:49">
      <c r="A12" s="1" t="s">
        <v>124</v>
      </c>
      <c r="B12" t="s">
        <v>148</v>
      </c>
      <c r="C12" t="s">
        <v>149</v>
      </c>
      <c r="D12" s="1" t="s">
        <v>8</v>
      </c>
      <c r="E12" s="1" t="s">
        <v>13</v>
      </c>
      <c r="F12" s="1">
        <v>0.94</v>
      </c>
      <c r="G12" s="1">
        <v>133</v>
      </c>
      <c r="J12" s="1">
        <v>141</v>
      </c>
      <c r="L12" s="1">
        <f t="shared" si="0"/>
        <v>5.5511811023622046</v>
      </c>
      <c r="M12" s="5">
        <v>0.58260000000000001</v>
      </c>
      <c r="O12" s="5">
        <v>-1.1000000000000001</v>
      </c>
      <c r="Q12" s="1">
        <v>92</v>
      </c>
      <c r="S12" s="1">
        <v>98</v>
      </c>
      <c r="U12" s="1">
        <v>18</v>
      </c>
      <c r="W12" s="8">
        <v>2.2000000000000001E-3</v>
      </c>
      <c r="Y12" s="8">
        <v>3</v>
      </c>
      <c r="AA12" s="1" t="s">
        <v>14</v>
      </c>
      <c r="AB12" s="1" t="s">
        <v>15</v>
      </c>
      <c r="AF12" s="1">
        <f t="shared" si="1"/>
        <v>141</v>
      </c>
      <c r="AG12" s="1">
        <f t="shared" si="2"/>
        <v>98</v>
      </c>
      <c r="AH12" s="1">
        <f t="shared" si="3"/>
        <v>99</v>
      </c>
      <c r="AI12" s="10">
        <f t="shared" si="4"/>
        <v>0.34695873425009988</v>
      </c>
      <c r="AK12" s="1">
        <f t="shared" si="6"/>
        <v>0.5955350742363541</v>
      </c>
      <c r="AM12" s="1">
        <f>AG12</f>
        <v>98</v>
      </c>
      <c r="AN12" s="1">
        <f t="shared" si="5"/>
        <v>99</v>
      </c>
      <c r="AO12" s="1">
        <v>0.4</v>
      </c>
      <c r="AQ12" s="1">
        <v>5</v>
      </c>
      <c r="AR12" t="b">
        <v>1</v>
      </c>
      <c r="AT12"/>
      <c r="AU12"/>
      <c r="AV12">
        <v>2.2211399711399711</v>
      </c>
      <c r="AW12"/>
    </row>
    <row r="13" spans="1:49">
      <c r="B13" t="s">
        <v>150</v>
      </c>
      <c r="C13" t="s">
        <v>151</v>
      </c>
      <c r="D13" s="1" t="s">
        <v>29</v>
      </c>
      <c r="E13" s="1" t="s">
        <v>37</v>
      </c>
      <c r="F13" s="1">
        <v>0.84</v>
      </c>
      <c r="G13" s="1">
        <v>975</v>
      </c>
      <c r="J13" s="1">
        <v>1161</v>
      </c>
      <c r="L13" s="1">
        <f t="shared" si="0"/>
        <v>45.708661417322837</v>
      </c>
      <c r="M13" s="5">
        <v>0.6</v>
      </c>
      <c r="O13" s="5">
        <v>0</v>
      </c>
      <c r="Q13" s="1">
        <v>640</v>
      </c>
      <c r="S13" s="1">
        <v>762</v>
      </c>
      <c r="U13" s="1">
        <v>13</v>
      </c>
      <c r="W13" s="8">
        <v>1.35E-2</v>
      </c>
      <c r="Y13" s="8">
        <v>2.92</v>
      </c>
      <c r="AF13" s="1">
        <f t="shared" si="1"/>
        <v>1161</v>
      </c>
      <c r="AG13" s="1">
        <f t="shared" si="2"/>
        <v>762</v>
      </c>
      <c r="AH13" s="1">
        <f t="shared" si="3"/>
        <v>763</v>
      </c>
      <c r="AI13" s="10">
        <f t="shared" si="4"/>
        <v>0.46745017719466087</v>
      </c>
      <c r="AK13" s="1">
        <f t="shared" si="6"/>
        <v>0.77908362865776815</v>
      </c>
      <c r="AM13" s="1">
        <f>AG13</f>
        <v>762</v>
      </c>
      <c r="AN13" s="1">
        <f t="shared" si="5"/>
        <v>763</v>
      </c>
      <c r="AO13" s="1">
        <v>0.4</v>
      </c>
      <c r="AQ13" s="1">
        <v>5</v>
      </c>
      <c r="AR13" t="b">
        <v>1</v>
      </c>
      <c r="AT13"/>
      <c r="AU13"/>
      <c r="AV13">
        <v>0.72773471145564173</v>
      </c>
      <c r="AW13"/>
    </row>
    <row r="14" spans="1:49">
      <c r="A14" s="1" t="s">
        <v>126</v>
      </c>
      <c r="B14" t="s">
        <v>152</v>
      </c>
      <c r="C14" t="s">
        <v>153</v>
      </c>
      <c r="D14" s="1" t="s">
        <v>42</v>
      </c>
      <c r="E14" s="1" t="s">
        <v>44</v>
      </c>
      <c r="J14" s="1">
        <v>340</v>
      </c>
      <c r="K14" s="1">
        <v>340</v>
      </c>
      <c r="L14" s="1">
        <f t="shared" si="0"/>
        <v>13.385826771653544</v>
      </c>
      <c r="M14" s="5">
        <v>0.28999999999999998</v>
      </c>
      <c r="N14" s="1">
        <v>0.28999999999999998</v>
      </c>
      <c r="O14" s="5">
        <v>-1.37</v>
      </c>
      <c r="P14" s="1">
        <v>-1.37</v>
      </c>
      <c r="S14" s="1">
        <v>200</v>
      </c>
      <c r="T14" s="1">
        <v>200</v>
      </c>
      <c r="U14" s="1">
        <v>8</v>
      </c>
      <c r="V14" s="1">
        <v>8</v>
      </c>
      <c r="W14" s="8">
        <v>8.4200000000000004E-3</v>
      </c>
      <c r="X14" s="1">
        <v>8.0000000000000002E-3</v>
      </c>
      <c r="Y14" s="8">
        <v>3.2469600000000001</v>
      </c>
      <c r="Z14" s="1">
        <v>3.25</v>
      </c>
      <c r="AF14" s="1">
        <f t="shared" si="1"/>
        <v>340</v>
      </c>
      <c r="AG14" s="1">
        <f t="shared" si="2"/>
        <v>200</v>
      </c>
      <c r="AH14" s="1">
        <f t="shared" si="3"/>
        <v>201</v>
      </c>
      <c r="AI14" s="10">
        <f t="shared" si="4"/>
        <v>0.72925096312987259</v>
      </c>
      <c r="AJ14" s="1">
        <v>0.37</v>
      </c>
      <c r="AK14" s="1">
        <f t="shared" si="6"/>
        <v>2.514658493551285</v>
      </c>
      <c r="AL14" s="1">
        <f>AJ14/N14</f>
        <v>1.2758620689655173</v>
      </c>
      <c r="AM14" s="1">
        <f>AG14</f>
        <v>200</v>
      </c>
      <c r="AN14" s="1">
        <f t="shared" si="5"/>
        <v>201</v>
      </c>
      <c r="AO14" s="1">
        <v>0.4</v>
      </c>
      <c r="AP14" s="1">
        <v>0.63</v>
      </c>
      <c r="AQ14" s="1">
        <v>5</v>
      </c>
      <c r="AR14" t="b">
        <v>1</v>
      </c>
      <c r="AT14">
        <v>0.36</v>
      </c>
      <c r="AU14">
        <f>AT14/AJ14</f>
        <v>0.97297297297297292</v>
      </c>
      <c r="AV14"/>
      <c r="AW14"/>
    </row>
    <row r="15" spans="1:49">
      <c r="B15" t="s">
        <v>154</v>
      </c>
      <c r="C15" t="s">
        <v>155</v>
      </c>
      <c r="D15" s="1" t="s">
        <v>45</v>
      </c>
      <c r="E15" s="1" t="s">
        <v>46</v>
      </c>
      <c r="J15" s="1">
        <v>609</v>
      </c>
      <c r="L15" s="1">
        <f t="shared" si="0"/>
        <v>23.976377952755907</v>
      </c>
      <c r="M15" s="5">
        <v>0.3</v>
      </c>
      <c r="O15" s="5">
        <v>-0.14000000000000001</v>
      </c>
      <c r="S15" s="1">
        <v>325</v>
      </c>
      <c r="U15" s="1">
        <v>13</v>
      </c>
      <c r="W15" s="8">
        <v>1.085E-2</v>
      </c>
      <c r="Y15" s="8">
        <v>3.089</v>
      </c>
      <c r="AB15" s="1" t="s">
        <v>47</v>
      </c>
      <c r="AC15" s="1" t="s">
        <v>48</v>
      </c>
      <c r="AD15" s="1" t="s">
        <v>49</v>
      </c>
      <c r="AE15" s="1" t="s">
        <v>20</v>
      </c>
      <c r="AF15" s="1">
        <f t="shared" si="1"/>
        <v>609</v>
      </c>
      <c r="AG15" s="1">
        <f t="shared" si="2"/>
        <v>325</v>
      </c>
      <c r="AH15" s="1">
        <f t="shared" si="3"/>
        <v>326</v>
      </c>
      <c r="AI15" s="10">
        <f t="shared" si="4"/>
        <v>0.46745017719466087</v>
      </c>
      <c r="AK15" s="1">
        <f t="shared" si="6"/>
        <v>1.5581672573155363</v>
      </c>
      <c r="AM15" s="1">
        <f>11*25.4</f>
        <v>279.39999999999998</v>
      </c>
      <c r="AN15" s="1">
        <f t="shared" si="5"/>
        <v>280.39999999999998</v>
      </c>
      <c r="AO15" s="1">
        <v>0.4</v>
      </c>
      <c r="AQ15" s="1">
        <v>5</v>
      </c>
      <c r="AR15" t="b">
        <v>1</v>
      </c>
      <c r="AS15" s="1">
        <v>279</v>
      </c>
      <c r="AT15"/>
      <c r="AU15"/>
      <c r="AV15"/>
      <c r="AW15"/>
    </row>
    <row r="16" spans="1:49">
      <c r="A16" s="1" t="s">
        <v>125</v>
      </c>
      <c r="B16" t="s">
        <v>156</v>
      </c>
      <c r="C16" t="s">
        <v>157</v>
      </c>
      <c r="D16" s="1" t="s">
        <v>50</v>
      </c>
      <c r="E16" s="1" t="s">
        <v>51</v>
      </c>
      <c r="F16" s="1">
        <v>0.92</v>
      </c>
      <c r="G16" s="1">
        <v>342</v>
      </c>
      <c r="J16" s="1">
        <v>372</v>
      </c>
      <c r="K16" s="1">
        <v>371</v>
      </c>
      <c r="L16" s="1">
        <f t="shared" si="0"/>
        <v>14.645669291338583</v>
      </c>
      <c r="M16" s="5">
        <v>0.56399999999999995</v>
      </c>
      <c r="N16" s="1">
        <v>0.56000000000000005</v>
      </c>
      <c r="O16" s="5">
        <v>-0.36</v>
      </c>
      <c r="P16" s="1">
        <v>-0.36</v>
      </c>
      <c r="Q16" s="1">
        <v>183</v>
      </c>
      <c r="S16" s="1">
        <v>199</v>
      </c>
      <c r="T16" s="1">
        <v>199</v>
      </c>
      <c r="U16" s="1">
        <v>6</v>
      </c>
      <c r="V16" s="1">
        <v>6</v>
      </c>
      <c r="W16" s="8">
        <v>8.6999999999999994E-3</v>
      </c>
      <c r="X16" s="1">
        <v>8.9999999999999993E-3</v>
      </c>
      <c r="Y16" s="8">
        <v>3.21</v>
      </c>
      <c r="Z16" s="1">
        <v>3.21</v>
      </c>
      <c r="AB16" s="1" t="s">
        <v>52</v>
      </c>
      <c r="AC16" s="1" t="s">
        <v>18</v>
      </c>
      <c r="AD16" s="1" t="s">
        <v>53</v>
      </c>
      <c r="AE16" s="1" t="s">
        <v>54</v>
      </c>
      <c r="AF16" s="1">
        <f t="shared" si="1"/>
        <v>372</v>
      </c>
      <c r="AG16" s="1">
        <f t="shared" si="2"/>
        <v>199</v>
      </c>
      <c r="AH16" s="1">
        <f t="shared" si="3"/>
        <v>200</v>
      </c>
      <c r="AI16" s="10">
        <f t="shared" si="4"/>
        <v>0.94911949536837148</v>
      </c>
      <c r="AJ16" s="1">
        <v>0.5</v>
      </c>
      <c r="AK16" s="1">
        <f t="shared" si="6"/>
        <v>1.6828359846956942</v>
      </c>
      <c r="AL16" s="1">
        <f t="shared" ref="AL16:AL22" si="7">AJ16/N16</f>
        <v>0.89285714285714279</v>
      </c>
      <c r="AM16" s="1">
        <f>7*25.4</f>
        <v>177.79999999999998</v>
      </c>
      <c r="AN16" s="1">
        <f t="shared" si="5"/>
        <v>178.79999999999998</v>
      </c>
      <c r="AO16" s="1">
        <v>0.4</v>
      </c>
      <c r="AP16" s="1">
        <v>0.61</v>
      </c>
      <c r="AQ16" s="1">
        <v>5</v>
      </c>
      <c r="AR16" t="b">
        <v>1</v>
      </c>
      <c r="AT16">
        <v>0.42</v>
      </c>
      <c r="AU16">
        <f t="shared" ref="AU16:AU22" si="8">AT16/AJ16</f>
        <v>0.84</v>
      </c>
      <c r="AV16"/>
      <c r="AW16"/>
    </row>
    <row r="17" spans="1:49">
      <c r="A17" s="1" t="s">
        <v>125</v>
      </c>
      <c r="B17" t="s">
        <v>158</v>
      </c>
      <c r="C17" t="s">
        <v>159</v>
      </c>
      <c r="D17" s="1" t="s">
        <v>50</v>
      </c>
      <c r="E17" s="1" t="s">
        <v>55</v>
      </c>
      <c r="F17" s="1">
        <v>0.85</v>
      </c>
      <c r="G17" s="1">
        <v>227</v>
      </c>
      <c r="J17" s="1">
        <v>267</v>
      </c>
      <c r="K17" s="1">
        <v>267</v>
      </c>
      <c r="L17" s="1">
        <f t="shared" si="0"/>
        <v>10.511811023622048</v>
      </c>
      <c r="M17" s="5">
        <v>1.3</v>
      </c>
      <c r="N17" s="1">
        <v>1.3</v>
      </c>
      <c r="O17" s="5">
        <v>-1.1000000000000001</v>
      </c>
      <c r="P17" s="1">
        <v>-1.1000000000000001</v>
      </c>
      <c r="Q17" s="1">
        <v>175</v>
      </c>
      <c r="S17" s="1">
        <v>206</v>
      </c>
      <c r="T17" s="1">
        <v>206</v>
      </c>
      <c r="U17" s="1">
        <v>5</v>
      </c>
      <c r="V17" s="1">
        <v>5</v>
      </c>
      <c r="W17" s="8">
        <v>1.67E-2</v>
      </c>
      <c r="X17" s="1">
        <v>1.7000000000000001E-2</v>
      </c>
      <c r="Y17" s="8">
        <v>2.96</v>
      </c>
      <c r="Z17" s="1">
        <v>2.96</v>
      </c>
      <c r="AF17" s="1">
        <f t="shared" si="1"/>
        <v>267</v>
      </c>
      <c r="AG17" s="1">
        <f t="shared" si="2"/>
        <v>206</v>
      </c>
      <c r="AH17" s="1">
        <f t="shared" si="3"/>
        <v>207</v>
      </c>
      <c r="AI17" s="10">
        <f t="shared" si="4"/>
        <v>1.1216333541528896</v>
      </c>
      <c r="AJ17" s="1">
        <v>0.6</v>
      </c>
      <c r="AK17" s="1">
        <f t="shared" si="6"/>
        <v>0.86279488780991498</v>
      </c>
      <c r="AL17" s="1">
        <f t="shared" si="7"/>
        <v>0.46153846153846151</v>
      </c>
      <c r="AM17" s="1">
        <f>AG17</f>
        <v>206</v>
      </c>
      <c r="AN17" s="1">
        <f t="shared" si="5"/>
        <v>207</v>
      </c>
      <c r="AO17" s="1">
        <v>0.4</v>
      </c>
      <c r="AP17" s="1">
        <v>0.99</v>
      </c>
      <c r="AQ17" s="1">
        <v>5</v>
      </c>
      <c r="AR17" t="b">
        <v>1</v>
      </c>
      <c r="AT17">
        <v>0.01</v>
      </c>
      <c r="AU17">
        <f t="shared" si="8"/>
        <v>1.6666666666666666E-2</v>
      </c>
      <c r="AV17"/>
      <c r="AW17"/>
    </row>
    <row r="18" spans="1:49">
      <c r="A18" s="1" t="s">
        <v>186</v>
      </c>
      <c r="B18" t="s">
        <v>160</v>
      </c>
      <c r="C18" t="s">
        <v>161</v>
      </c>
      <c r="D18" s="1" t="s">
        <v>40</v>
      </c>
      <c r="E18" s="1" t="s">
        <v>41</v>
      </c>
      <c r="H18" s="1">
        <v>0.78</v>
      </c>
      <c r="I18" s="1">
        <v>211</v>
      </c>
      <c r="J18" s="1">
        <v>271</v>
      </c>
      <c r="K18" s="1">
        <v>271</v>
      </c>
      <c r="L18" s="1">
        <f t="shared" si="0"/>
        <v>10.669291338582678</v>
      </c>
      <c r="M18" s="5">
        <v>0.14749999999999999</v>
      </c>
      <c r="N18" s="1">
        <v>0.15</v>
      </c>
      <c r="O18" s="5">
        <v>-4.4786000000000001</v>
      </c>
      <c r="P18" s="1">
        <v>-4.4800000000000004</v>
      </c>
      <c r="S18" s="1">
        <v>175</v>
      </c>
      <c r="T18" s="1">
        <v>175</v>
      </c>
      <c r="U18" s="1">
        <v>27</v>
      </c>
      <c r="V18" s="1">
        <v>27</v>
      </c>
      <c r="W18" s="8">
        <v>2.7689999999999999E-2</v>
      </c>
      <c r="X18" s="1">
        <v>2.8000000000000001E-2</v>
      </c>
      <c r="Y18" s="8">
        <v>3.0033599999999998</v>
      </c>
      <c r="Z18" s="1">
        <v>3</v>
      </c>
      <c r="AF18" s="1">
        <f t="shared" si="1"/>
        <v>271</v>
      </c>
      <c r="AG18" s="1">
        <f t="shared" si="2"/>
        <v>175</v>
      </c>
      <c r="AH18" s="1">
        <f t="shared" si="3"/>
        <v>176</v>
      </c>
      <c r="AI18" s="10">
        <f t="shared" si="4"/>
        <v>0.23931957972017312</v>
      </c>
      <c r="AJ18" s="1">
        <v>0.11</v>
      </c>
      <c r="AK18" s="1">
        <f t="shared" si="6"/>
        <v>1.6225056252215129</v>
      </c>
      <c r="AL18" s="1">
        <f t="shared" si="7"/>
        <v>0.73333333333333339</v>
      </c>
      <c r="AM18" s="1">
        <f>AG18</f>
        <v>175</v>
      </c>
      <c r="AN18" s="1">
        <f t="shared" si="5"/>
        <v>176</v>
      </c>
      <c r="AO18" s="1">
        <v>0.4</v>
      </c>
      <c r="AP18" s="1">
        <v>0.69</v>
      </c>
      <c r="AQ18" s="1">
        <v>5</v>
      </c>
      <c r="AR18" t="b">
        <v>1</v>
      </c>
      <c r="AT18">
        <v>0.04</v>
      </c>
      <c r="AU18">
        <f t="shared" si="8"/>
        <v>0.36363636363636365</v>
      </c>
      <c r="AV18"/>
      <c r="AW18"/>
    </row>
    <row r="19" spans="1:49">
      <c r="A19" s="1" t="s">
        <v>124</v>
      </c>
      <c r="B19" t="s">
        <v>162</v>
      </c>
      <c r="C19" t="s">
        <v>80</v>
      </c>
      <c r="D19" s="1" t="s">
        <v>8</v>
      </c>
      <c r="E19" s="1" t="s">
        <v>16</v>
      </c>
      <c r="H19" s="1">
        <v>0.93</v>
      </c>
      <c r="I19" s="1">
        <v>304</v>
      </c>
      <c r="J19" s="1">
        <v>327</v>
      </c>
      <c r="K19" s="1">
        <v>327</v>
      </c>
      <c r="L19" s="1">
        <f t="shared" si="0"/>
        <v>12.874015748031496</v>
      </c>
      <c r="M19" s="5">
        <v>0.40200000000000002</v>
      </c>
      <c r="N19" s="1">
        <v>0.4</v>
      </c>
      <c r="O19" s="5">
        <v>-0.21</v>
      </c>
      <c r="P19" s="1">
        <v>-0.21</v>
      </c>
      <c r="R19" s="1">
        <v>250</v>
      </c>
      <c r="S19" s="1">
        <v>269</v>
      </c>
      <c r="T19" s="1">
        <v>269</v>
      </c>
      <c r="U19" s="1">
        <v>25</v>
      </c>
      <c r="V19" s="1">
        <v>25</v>
      </c>
      <c r="W19" s="8">
        <v>1.065E-2</v>
      </c>
      <c r="X19" s="1">
        <v>1.0999999999999999E-2</v>
      </c>
      <c r="Y19" s="8">
        <v>3.2429700000000001</v>
      </c>
      <c r="Z19" s="1">
        <v>3.24</v>
      </c>
      <c r="AB19" s="1" t="s">
        <v>80</v>
      </c>
      <c r="AC19" s="1" t="s">
        <v>18</v>
      </c>
      <c r="AE19" s="1" t="s">
        <v>20</v>
      </c>
      <c r="AF19" s="1">
        <f t="shared" si="1"/>
        <v>327</v>
      </c>
      <c r="AG19" s="1">
        <f t="shared" si="2"/>
        <v>269</v>
      </c>
      <c r="AH19" s="1">
        <f t="shared" si="3"/>
        <v>270</v>
      </c>
      <c r="AI19" s="10">
        <f t="shared" si="4"/>
        <v>0.25679962872999834</v>
      </c>
      <c r="AJ19" s="1">
        <v>0.12</v>
      </c>
      <c r="AK19" s="1">
        <f t="shared" si="6"/>
        <v>0.63880504659203563</v>
      </c>
      <c r="AL19" s="1">
        <f t="shared" si="7"/>
        <v>0.3</v>
      </c>
      <c r="AM19" s="1">
        <f>AG19</f>
        <v>269</v>
      </c>
      <c r="AN19" s="1">
        <f>AH19</f>
        <v>270</v>
      </c>
      <c r="AO19" s="1">
        <v>0.4</v>
      </c>
      <c r="AP19" s="1">
        <v>0.45</v>
      </c>
      <c r="AQ19" s="1">
        <v>5</v>
      </c>
      <c r="AR19" t="b">
        <v>1</v>
      </c>
      <c r="AT19">
        <v>0.11</v>
      </c>
      <c r="AU19">
        <f t="shared" si="8"/>
        <v>0.91666666666666674</v>
      </c>
      <c r="AV19"/>
      <c r="AW19"/>
    </row>
    <row r="20" spans="1:49">
      <c r="A20" s="1" t="s">
        <v>124</v>
      </c>
      <c r="B20" t="s">
        <v>163</v>
      </c>
      <c r="C20" t="s">
        <v>164</v>
      </c>
      <c r="D20" s="1" t="s">
        <v>8</v>
      </c>
      <c r="E20" s="1" t="s">
        <v>21</v>
      </c>
      <c r="H20" s="1">
        <v>0.88</v>
      </c>
      <c r="I20" s="1">
        <v>527</v>
      </c>
      <c r="J20" s="1">
        <v>599</v>
      </c>
      <c r="K20" s="1">
        <v>599</v>
      </c>
      <c r="L20" s="1">
        <f t="shared" si="0"/>
        <v>23.582677165354333</v>
      </c>
      <c r="M20" s="5">
        <v>0.221</v>
      </c>
      <c r="N20" s="1">
        <v>0.22</v>
      </c>
      <c r="O20" s="5">
        <v>-0.22</v>
      </c>
      <c r="P20" s="1">
        <v>-0.22</v>
      </c>
      <c r="R20" s="1">
        <v>450</v>
      </c>
      <c r="S20" s="1">
        <v>511</v>
      </c>
      <c r="T20" s="1">
        <v>511</v>
      </c>
      <c r="U20" s="1">
        <v>44</v>
      </c>
      <c r="V20" s="1">
        <v>44</v>
      </c>
      <c r="W20" s="8">
        <v>4.24E-2</v>
      </c>
      <c r="X20" s="1">
        <v>4.2000000000000003E-2</v>
      </c>
      <c r="Y20" s="8">
        <v>2.8540000000000001</v>
      </c>
      <c r="Z20" s="1">
        <v>2.85</v>
      </c>
      <c r="AB20" s="1" t="s">
        <v>81</v>
      </c>
      <c r="AC20" s="1" t="s">
        <v>18</v>
      </c>
      <c r="AD20" s="1" t="s">
        <v>22</v>
      </c>
      <c r="AE20" s="1" t="s">
        <v>20</v>
      </c>
      <c r="AF20" s="1">
        <f t="shared" si="1"/>
        <v>599</v>
      </c>
      <c r="AG20" s="1">
        <f t="shared" si="2"/>
        <v>511</v>
      </c>
      <c r="AH20" s="1">
        <f t="shared" si="3"/>
        <v>512</v>
      </c>
      <c r="AI20" s="10">
        <f t="shared" si="4"/>
        <v>0.15300470567564536</v>
      </c>
      <c r="AJ20" s="1">
        <v>7.0000000000000007E-2</v>
      </c>
      <c r="AK20" s="1">
        <f t="shared" si="6"/>
        <v>0.69232898495767137</v>
      </c>
      <c r="AL20" s="1">
        <f t="shared" si="7"/>
        <v>0.31818181818181823</v>
      </c>
      <c r="AM20" s="1">
        <f>16*25.4</f>
        <v>406.4</v>
      </c>
      <c r="AN20" s="1">
        <f t="shared" ref="AN20:AN30" si="9">AM20+1</f>
        <v>407.4</v>
      </c>
      <c r="AO20" s="1">
        <v>0.4</v>
      </c>
      <c r="AP20" s="1">
        <v>0.23</v>
      </c>
      <c r="AQ20" s="1">
        <v>5</v>
      </c>
      <c r="AR20" t="b">
        <v>1</v>
      </c>
      <c r="AS20" s="1">
        <v>406</v>
      </c>
      <c r="AT20">
        <v>0.13</v>
      </c>
      <c r="AU20">
        <f t="shared" si="8"/>
        <v>1.857142857142857</v>
      </c>
      <c r="AV20"/>
      <c r="AW20"/>
    </row>
    <row r="21" spans="1:49">
      <c r="A21" s="1" t="s">
        <v>124</v>
      </c>
      <c r="B21" t="s">
        <v>165</v>
      </c>
      <c r="C21" t="s">
        <v>166</v>
      </c>
      <c r="D21" s="1" t="s">
        <v>8</v>
      </c>
      <c r="E21" s="1" t="s">
        <v>23</v>
      </c>
      <c r="F21" s="1">
        <v>1</v>
      </c>
      <c r="G21" s="1">
        <v>256</v>
      </c>
      <c r="J21" s="4">
        <v>256</v>
      </c>
      <c r="K21" s="4">
        <v>322</v>
      </c>
      <c r="L21" s="1">
        <f t="shared" si="0"/>
        <v>10.078740157480315</v>
      </c>
      <c r="M21" s="5">
        <v>0.34079999999999999</v>
      </c>
      <c r="N21" s="1">
        <v>0.34</v>
      </c>
      <c r="O21" s="5">
        <v>-0.66</v>
      </c>
      <c r="P21" s="1">
        <v>-0.66</v>
      </c>
      <c r="Q21" s="1">
        <v>199</v>
      </c>
      <c r="S21" s="4">
        <v>199</v>
      </c>
      <c r="T21" s="4">
        <v>250</v>
      </c>
      <c r="U21" s="1">
        <v>25</v>
      </c>
      <c r="V21" s="1">
        <v>25</v>
      </c>
      <c r="W21" s="8">
        <v>4.9700000000000001E-2</v>
      </c>
      <c r="X21" s="1">
        <v>0.05</v>
      </c>
      <c r="Y21" s="8">
        <v>2.839</v>
      </c>
      <c r="Z21" s="1">
        <v>2.84</v>
      </c>
      <c r="AA21" s="1" t="s">
        <v>14</v>
      </c>
      <c r="AB21" s="1" t="s">
        <v>24</v>
      </c>
      <c r="AF21" s="1">
        <f t="shared" si="1"/>
        <v>256</v>
      </c>
      <c r="AG21" s="1">
        <f t="shared" si="2"/>
        <v>199</v>
      </c>
      <c r="AH21" s="1">
        <f t="shared" si="3"/>
        <v>200</v>
      </c>
      <c r="AI21" s="10">
        <f t="shared" si="4"/>
        <v>0.25679962872999834</v>
      </c>
      <c r="AJ21" s="1">
        <v>0.12</v>
      </c>
      <c r="AK21" s="1">
        <f t="shared" si="6"/>
        <v>0.75352003735328155</v>
      </c>
      <c r="AL21" s="1">
        <f t="shared" si="7"/>
        <v>0.3529411764705882</v>
      </c>
      <c r="AM21" s="1">
        <f>AG21</f>
        <v>199</v>
      </c>
      <c r="AN21" s="1">
        <f t="shared" si="9"/>
        <v>200</v>
      </c>
      <c r="AO21" s="1">
        <v>0.4</v>
      </c>
      <c r="AP21" s="1">
        <v>0.3</v>
      </c>
      <c r="AQ21" s="1">
        <v>5</v>
      </c>
      <c r="AR21" t="b">
        <v>1</v>
      </c>
      <c r="AT21">
        <v>0.21</v>
      </c>
      <c r="AU21">
        <f t="shared" si="8"/>
        <v>1.75</v>
      </c>
      <c r="AV21"/>
      <c r="AW21"/>
    </row>
    <row r="22" spans="1:49">
      <c r="A22" s="1" t="s">
        <v>124</v>
      </c>
      <c r="B22" t="s">
        <v>167</v>
      </c>
      <c r="C22" t="s">
        <v>168</v>
      </c>
      <c r="D22" s="1" t="s">
        <v>8</v>
      </c>
      <c r="E22" s="1" t="s">
        <v>25</v>
      </c>
      <c r="F22" s="1">
        <v>1</v>
      </c>
      <c r="G22" s="1">
        <v>480</v>
      </c>
      <c r="J22" s="4">
        <v>480</v>
      </c>
      <c r="K22" s="4">
        <v>512</v>
      </c>
      <c r="L22" s="1">
        <f t="shared" si="0"/>
        <v>18.897637795275593</v>
      </c>
      <c r="M22" s="7">
        <v>0.44</v>
      </c>
      <c r="N22" s="4">
        <v>0.17</v>
      </c>
      <c r="O22" s="7">
        <v>-0.12</v>
      </c>
      <c r="P22" s="4">
        <v>-0.5</v>
      </c>
      <c r="Q22" s="1">
        <v>355</v>
      </c>
      <c r="S22" s="4">
        <v>355</v>
      </c>
      <c r="T22" s="4">
        <v>330</v>
      </c>
      <c r="U22" s="4">
        <v>50</v>
      </c>
      <c r="V22" s="4">
        <v>53</v>
      </c>
      <c r="W22" s="8">
        <v>1.788E-2</v>
      </c>
      <c r="X22" s="1">
        <v>1.7999999999999999E-2</v>
      </c>
      <c r="Y22" s="8">
        <v>3.03545</v>
      </c>
      <c r="Z22" s="1">
        <v>3.04</v>
      </c>
      <c r="AB22" s="1" t="s">
        <v>17</v>
      </c>
      <c r="AC22" s="1" t="s">
        <v>18</v>
      </c>
      <c r="AD22" s="1" t="s">
        <v>19</v>
      </c>
      <c r="AE22" s="1" t="s">
        <v>20</v>
      </c>
      <c r="AF22" s="1">
        <f t="shared" si="1"/>
        <v>480</v>
      </c>
      <c r="AG22" s="1">
        <f t="shared" si="2"/>
        <v>355</v>
      </c>
      <c r="AH22" s="1">
        <f t="shared" si="3"/>
        <v>356</v>
      </c>
      <c r="AI22" s="10">
        <f t="shared" si="4"/>
        <v>0.13609774062387517</v>
      </c>
      <c r="AJ22" s="1">
        <v>0.06</v>
      </c>
      <c r="AK22" s="1">
        <f t="shared" si="6"/>
        <v>0.30931304687244354</v>
      </c>
      <c r="AL22" s="1">
        <f t="shared" si="7"/>
        <v>0.3529411764705882</v>
      </c>
      <c r="AM22" s="1">
        <f>14*25.4</f>
        <v>355.59999999999997</v>
      </c>
      <c r="AN22" s="1">
        <f t="shared" si="9"/>
        <v>356.59999999999997</v>
      </c>
      <c r="AO22" s="1">
        <v>0.4</v>
      </c>
      <c r="AP22" s="1">
        <v>0.08</v>
      </c>
      <c r="AQ22" s="1">
        <v>5</v>
      </c>
      <c r="AR22" t="b">
        <v>1</v>
      </c>
      <c r="AS22" s="1">
        <v>356</v>
      </c>
      <c r="AT22">
        <v>0.25</v>
      </c>
      <c r="AU22">
        <f t="shared" si="8"/>
        <v>4.166666666666667</v>
      </c>
      <c r="AV22"/>
      <c r="AW22"/>
    </row>
    <row r="23" spans="1:49">
      <c r="A23" s="1" t="s">
        <v>125</v>
      </c>
      <c r="B23" t="s">
        <v>169</v>
      </c>
      <c r="C23" t="s">
        <v>170</v>
      </c>
      <c r="D23" s="1" t="s">
        <v>50</v>
      </c>
      <c r="E23" s="1" t="s">
        <v>56</v>
      </c>
      <c r="F23" s="1">
        <v>0.9</v>
      </c>
      <c r="G23" s="1">
        <v>303</v>
      </c>
      <c r="J23" s="1">
        <v>337</v>
      </c>
      <c r="L23" s="1">
        <f t="shared" si="0"/>
        <v>13.267716535433072</v>
      </c>
      <c r="M23" s="5">
        <v>0.75555000000000005</v>
      </c>
      <c r="O23" s="5">
        <v>-0.13500000000000001</v>
      </c>
      <c r="Q23" s="1">
        <v>148</v>
      </c>
      <c r="S23" s="1">
        <v>164</v>
      </c>
      <c r="U23" s="1">
        <v>5</v>
      </c>
      <c r="W23" s="8">
        <v>1.136E-2</v>
      </c>
      <c r="Y23" s="8">
        <v>3.21082</v>
      </c>
      <c r="AB23" s="1" t="s">
        <v>57</v>
      </c>
      <c r="AC23" s="1" t="s">
        <v>18</v>
      </c>
      <c r="AD23" s="1" t="s">
        <v>58</v>
      </c>
      <c r="AE23" s="1" t="s">
        <v>20</v>
      </c>
      <c r="AF23" s="1">
        <f t="shared" si="1"/>
        <v>337</v>
      </c>
      <c r="AG23" s="1">
        <f t="shared" si="2"/>
        <v>164</v>
      </c>
      <c r="AH23" s="1">
        <f t="shared" si="3"/>
        <v>165</v>
      </c>
      <c r="AI23" s="10">
        <f t="shared" si="4"/>
        <v>1.1216333541528896</v>
      </c>
      <c r="AK23" s="1">
        <f t="shared" si="6"/>
        <v>1.4845256490674203</v>
      </c>
      <c r="AM23" s="1">
        <f>7*25.4</f>
        <v>177.79999999999998</v>
      </c>
      <c r="AN23" s="1">
        <f t="shared" si="9"/>
        <v>178.79999999999998</v>
      </c>
      <c r="AO23" s="1">
        <v>0.4</v>
      </c>
      <c r="AQ23" s="1">
        <v>5</v>
      </c>
      <c r="AR23" t="b">
        <v>1</v>
      </c>
      <c r="AS23" s="1">
        <v>179</v>
      </c>
      <c r="AT23"/>
      <c r="AU23"/>
      <c r="AV23">
        <f>(AU16+AU17+AU24)/3</f>
        <v>1.1655555555555557</v>
      </c>
      <c r="AW23" t="s">
        <v>90</v>
      </c>
    </row>
    <row r="24" spans="1:49">
      <c r="A24" s="1" t="s">
        <v>125</v>
      </c>
      <c r="B24" t="s">
        <v>171</v>
      </c>
      <c r="C24" t="s">
        <v>172</v>
      </c>
      <c r="D24" s="1" t="s">
        <v>50</v>
      </c>
      <c r="E24" s="1" t="s">
        <v>59</v>
      </c>
      <c r="F24" s="1">
        <v>0.9</v>
      </c>
      <c r="G24" s="1">
        <v>492</v>
      </c>
      <c r="J24" s="1">
        <v>547</v>
      </c>
      <c r="K24" s="1">
        <v>547</v>
      </c>
      <c r="L24" s="1">
        <f t="shared" si="0"/>
        <v>21.535433070866144</v>
      </c>
      <c r="M24" s="5">
        <v>0.53800000000000003</v>
      </c>
      <c r="N24" s="1">
        <v>0.54</v>
      </c>
      <c r="O24" s="5">
        <v>-0.44600000000000001</v>
      </c>
      <c r="P24" s="1">
        <v>-0.45</v>
      </c>
      <c r="Q24" s="1">
        <v>238</v>
      </c>
      <c r="S24" s="1">
        <v>264</v>
      </c>
      <c r="T24" s="1">
        <v>264</v>
      </c>
      <c r="U24" s="1">
        <v>6</v>
      </c>
      <c r="V24" s="1">
        <v>6</v>
      </c>
      <c r="W24" s="8">
        <v>1.136E-2</v>
      </c>
      <c r="X24" s="1">
        <v>1.0999999999999999E-2</v>
      </c>
      <c r="Y24" s="8">
        <v>3.21082</v>
      </c>
      <c r="Z24" s="1">
        <v>3.21</v>
      </c>
      <c r="AB24" s="1" t="s">
        <v>60</v>
      </c>
      <c r="AC24" s="1" t="s">
        <v>18</v>
      </c>
      <c r="AD24" s="1" t="s">
        <v>61</v>
      </c>
      <c r="AE24" s="1" t="s">
        <v>20</v>
      </c>
      <c r="AF24" s="1">
        <f t="shared" si="1"/>
        <v>547</v>
      </c>
      <c r="AG24" s="1">
        <f t="shared" si="2"/>
        <v>264</v>
      </c>
      <c r="AH24" s="1">
        <f t="shared" si="3"/>
        <v>265</v>
      </c>
      <c r="AI24" s="10">
        <f t="shared" si="4"/>
        <v>0.94911949536837148</v>
      </c>
      <c r="AJ24" s="1">
        <v>0.5</v>
      </c>
      <c r="AK24" s="1">
        <f t="shared" si="6"/>
        <v>1.7641626307962295</v>
      </c>
      <c r="AL24" s="1">
        <f>AJ24/N24</f>
        <v>0.92592592592592582</v>
      </c>
      <c r="AM24" s="1">
        <f>10*25.4</f>
        <v>254</v>
      </c>
      <c r="AN24" s="1">
        <f t="shared" si="9"/>
        <v>255</v>
      </c>
      <c r="AO24" s="1">
        <v>0.4</v>
      </c>
      <c r="AP24" s="1">
        <v>0.14000000000000001</v>
      </c>
      <c r="AQ24" s="1">
        <v>5</v>
      </c>
      <c r="AR24" t="b">
        <v>1</v>
      </c>
      <c r="AS24" s="1">
        <v>254</v>
      </c>
      <c r="AT24">
        <v>1.32</v>
      </c>
      <c r="AU24">
        <f>AT24/AJ24</f>
        <v>2.64</v>
      </c>
      <c r="AV24"/>
      <c r="AW24"/>
    </row>
    <row r="25" spans="1:49">
      <c r="B25" t="s">
        <v>173</v>
      </c>
      <c r="C25" t="s">
        <v>174</v>
      </c>
      <c r="D25" s="1" t="s">
        <v>29</v>
      </c>
      <c r="E25" s="1" t="s">
        <v>38</v>
      </c>
      <c r="F25" s="1">
        <v>0.9</v>
      </c>
      <c r="G25" s="1">
        <v>1232</v>
      </c>
      <c r="J25" s="1">
        <v>1369</v>
      </c>
      <c r="L25" s="1">
        <f t="shared" si="0"/>
        <v>53.897637795275593</v>
      </c>
      <c r="M25" s="5">
        <v>0.307</v>
      </c>
      <c r="O25" s="5">
        <v>-0.77</v>
      </c>
      <c r="S25" s="1">
        <v>289</v>
      </c>
      <c r="U25" s="1">
        <v>7</v>
      </c>
      <c r="W25" s="8">
        <v>2.7099999999999999E-2</v>
      </c>
      <c r="Y25" s="8">
        <v>2.88598</v>
      </c>
      <c r="AF25" s="1">
        <f t="shared" si="1"/>
        <v>1369</v>
      </c>
      <c r="AG25" s="1">
        <f t="shared" si="2"/>
        <v>289</v>
      </c>
      <c r="AH25" s="1">
        <f t="shared" si="3"/>
        <v>290</v>
      </c>
      <c r="AI25" s="10">
        <f t="shared" si="4"/>
        <v>0.82413362671405554</v>
      </c>
      <c r="AK25" s="1">
        <f t="shared" si="6"/>
        <v>2.6844743541174449</v>
      </c>
      <c r="AM25" s="1">
        <f>AG25</f>
        <v>289</v>
      </c>
      <c r="AN25" s="1">
        <f t="shared" si="9"/>
        <v>290</v>
      </c>
      <c r="AO25" s="1">
        <v>0.4</v>
      </c>
      <c r="AQ25" s="1">
        <v>5</v>
      </c>
      <c r="AR25" t="b">
        <v>1</v>
      </c>
      <c r="AT25"/>
      <c r="AU25"/>
      <c r="AV25">
        <v>0.72773471145564173</v>
      </c>
      <c r="AW25"/>
    </row>
    <row r="26" spans="1:49">
      <c r="A26" s="1" t="s">
        <v>123</v>
      </c>
      <c r="B26" t="s">
        <v>175</v>
      </c>
      <c r="C26" t="s">
        <v>176</v>
      </c>
      <c r="D26" s="1" t="s">
        <v>62</v>
      </c>
      <c r="E26" s="1" t="s">
        <v>64</v>
      </c>
      <c r="F26" s="1">
        <v>0.97</v>
      </c>
      <c r="H26" s="1">
        <v>0.78</v>
      </c>
      <c r="I26" s="1">
        <v>217</v>
      </c>
      <c r="J26" s="1">
        <v>278</v>
      </c>
      <c r="K26" s="1">
        <v>278</v>
      </c>
      <c r="L26" s="1">
        <f t="shared" si="0"/>
        <v>10.94488188976378</v>
      </c>
      <c r="M26" s="5">
        <v>1.653</v>
      </c>
      <c r="N26" s="1">
        <v>1.65</v>
      </c>
      <c r="O26" s="5">
        <v>-0.28999999999999998</v>
      </c>
      <c r="P26" s="1">
        <v>-0.28999999999999998</v>
      </c>
      <c r="Q26" s="1">
        <v>190</v>
      </c>
      <c r="S26" s="1">
        <v>196</v>
      </c>
      <c r="T26" s="1">
        <v>196</v>
      </c>
      <c r="U26" s="1">
        <v>6</v>
      </c>
      <c r="V26" s="1">
        <v>6</v>
      </c>
      <c r="W26" s="8">
        <v>1.0449999999999999E-2</v>
      </c>
      <c r="X26" s="1">
        <v>0.01</v>
      </c>
      <c r="Y26" s="8">
        <v>3.3187099999999998</v>
      </c>
      <c r="Z26" s="1">
        <v>3.32</v>
      </c>
      <c r="AB26" s="1" t="s">
        <v>65</v>
      </c>
      <c r="AC26" s="1" t="s">
        <v>18</v>
      </c>
      <c r="AD26" s="1" t="s">
        <v>66</v>
      </c>
      <c r="AE26" s="1" t="s">
        <v>20</v>
      </c>
      <c r="AF26" s="1">
        <f t="shared" si="1"/>
        <v>278</v>
      </c>
      <c r="AG26" s="1">
        <f t="shared" si="2"/>
        <v>196</v>
      </c>
      <c r="AH26" s="1">
        <f t="shared" si="3"/>
        <v>197</v>
      </c>
      <c r="AI26" s="10">
        <f t="shared" si="4"/>
        <v>0.94911949536837148</v>
      </c>
      <c r="AJ26" s="1">
        <v>0.5</v>
      </c>
      <c r="AK26" s="1">
        <f t="shared" si="6"/>
        <v>0.57417997299961976</v>
      </c>
      <c r="AL26" s="1">
        <f>AJ26/N26</f>
        <v>0.30303030303030304</v>
      </c>
      <c r="AM26" s="1">
        <f>12*25.4</f>
        <v>304.79999999999995</v>
      </c>
      <c r="AN26" s="1">
        <f t="shared" si="9"/>
        <v>305.79999999999995</v>
      </c>
      <c r="AO26" s="1">
        <v>0.4</v>
      </c>
      <c r="AP26" s="1">
        <v>0.77</v>
      </c>
      <c r="AQ26" s="1">
        <v>5</v>
      </c>
      <c r="AR26" s="1" t="b">
        <v>1</v>
      </c>
      <c r="AS26" s="1">
        <v>305</v>
      </c>
      <c r="AT26" s="1">
        <v>0.16</v>
      </c>
      <c r="AU26" s="1">
        <f>AT26/AJ26</f>
        <v>0.32</v>
      </c>
    </row>
    <row r="27" spans="1:49">
      <c r="A27" s="1" t="s">
        <v>123</v>
      </c>
      <c r="B27" t="s">
        <v>177</v>
      </c>
      <c r="C27" t="s">
        <v>178</v>
      </c>
      <c r="D27" s="1" t="s">
        <v>62</v>
      </c>
      <c r="E27" s="1" t="s">
        <v>67</v>
      </c>
      <c r="F27" s="1">
        <v>0.91</v>
      </c>
      <c r="G27" s="1">
        <v>512</v>
      </c>
      <c r="J27" s="1">
        <v>563</v>
      </c>
      <c r="K27" s="1">
        <v>563</v>
      </c>
      <c r="L27" s="1">
        <f t="shared" si="0"/>
        <v>22.165354330708663</v>
      </c>
      <c r="M27" s="5">
        <v>0.28799999999999998</v>
      </c>
      <c r="N27" s="1">
        <v>0.28999999999999998</v>
      </c>
      <c r="O27" s="5">
        <v>-0.80900000000000005</v>
      </c>
      <c r="P27" s="1">
        <v>-0.81</v>
      </c>
      <c r="Q27" s="1">
        <v>340</v>
      </c>
      <c r="S27" s="1">
        <v>374</v>
      </c>
      <c r="T27" s="1">
        <v>374</v>
      </c>
      <c r="U27" s="1">
        <v>22</v>
      </c>
      <c r="V27" s="1">
        <v>22</v>
      </c>
      <c r="W27" s="8">
        <v>1.3599999999999999E-2</v>
      </c>
      <c r="X27" s="1">
        <v>1.4E-2</v>
      </c>
      <c r="Y27" s="8">
        <v>3.109</v>
      </c>
      <c r="Z27" s="1">
        <v>3.11</v>
      </c>
      <c r="AB27" s="1" t="s">
        <v>65</v>
      </c>
      <c r="AC27" s="1" t="s">
        <v>18</v>
      </c>
      <c r="AD27" s="1" t="s">
        <v>66</v>
      </c>
      <c r="AE27" s="1" t="s">
        <v>20</v>
      </c>
      <c r="AF27" s="1">
        <f t="shared" si="1"/>
        <v>563</v>
      </c>
      <c r="AG27" s="1">
        <f t="shared" si="2"/>
        <v>374</v>
      </c>
      <c r="AH27" s="1">
        <f t="shared" si="3"/>
        <v>375</v>
      </c>
      <c r="AI27" s="10">
        <f t="shared" si="4"/>
        <v>0.28870098380278031</v>
      </c>
      <c r="AJ27" s="1">
        <v>0.14000000000000001</v>
      </c>
      <c r="AK27" s="1">
        <f t="shared" si="6"/>
        <v>1.0024339715374317</v>
      </c>
      <c r="AL27" s="1">
        <f>AJ27/N27</f>
        <v>0.48275862068965525</v>
      </c>
      <c r="AM27" s="1">
        <f>12*25.4</f>
        <v>304.79999999999995</v>
      </c>
      <c r="AN27" s="1">
        <f t="shared" si="9"/>
        <v>305.79999999999995</v>
      </c>
      <c r="AO27" s="1">
        <v>0.4</v>
      </c>
      <c r="AP27" s="1">
        <v>0.27</v>
      </c>
      <c r="AQ27" s="1">
        <v>5</v>
      </c>
      <c r="AR27" t="b">
        <v>1</v>
      </c>
      <c r="AS27" s="1">
        <v>305</v>
      </c>
      <c r="AT27">
        <v>0.2</v>
      </c>
      <c r="AU27">
        <f>AT27/AJ27</f>
        <v>1.4285714285714286</v>
      </c>
      <c r="AV27"/>
      <c r="AW27"/>
    </row>
    <row r="28" spans="1:49">
      <c r="A28" s="1" t="s">
        <v>127</v>
      </c>
      <c r="B28" t="s">
        <v>179</v>
      </c>
      <c r="C28" t="s">
        <v>180</v>
      </c>
      <c r="D28" s="1" t="s">
        <v>29</v>
      </c>
      <c r="E28" s="1" t="s">
        <v>39</v>
      </c>
      <c r="J28" s="1">
        <v>1272</v>
      </c>
      <c r="K28" s="1">
        <v>1272</v>
      </c>
      <c r="L28" s="1">
        <f t="shared" si="0"/>
        <v>50.078740157480318</v>
      </c>
      <c r="M28" s="5">
        <v>0.22720000000000001</v>
      </c>
      <c r="N28" s="1">
        <v>0.23</v>
      </c>
      <c r="O28" s="5">
        <v>-0.79310000000000003</v>
      </c>
      <c r="P28" s="1">
        <v>-0.79</v>
      </c>
      <c r="S28" s="1">
        <v>910</v>
      </c>
      <c r="T28" s="1">
        <v>910</v>
      </c>
      <c r="U28" s="1">
        <v>15</v>
      </c>
      <c r="V28" s="1">
        <v>15</v>
      </c>
      <c r="W28" s="8">
        <v>2.4E-2</v>
      </c>
      <c r="X28" s="1">
        <v>2.4E-2</v>
      </c>
      <c r="Y28" s="8">
        <v>2.86</v>
      </c>
      <c r="Z28" s="1">
        <v>2.86</v>
      </c>
      <c r="AF28" s="1">
        <f t="shared" si="1"/>
        <v>1272</v>
      </c>
      <c r="AG28" s="1">
        <f t="shared" si="2"/>
        <v>910</v>
      </c>
      <c r="AH28" s="1">
        <f t="shared" si="3"/>
        <v>911</v>
      </c>
      <c r="AI28" s="10">
        <f t="shared" si="4"/>
        <v>0.41002264809505357</v>
      </c>
      <c r="AJ28" s="1">
        <v>0.2</v>
      </c>
      <c r="AK28" s="1">
        <f t="shared" si="6"/>
        <v>1.8046771483056934</v>
      </c>
      <c r="AL28" s="1">
        <f>AJ28/N28</f>
        <v>0.86956521739130432</v>
      </c>
      <c r="AM28" s="1">
        <f>AG28</f>
        <v>910</v>
      </c>
      <c r="AN28" s="1">
        <f t="shared" si="9"/>
        <v>911</v>
      </c>
      <c r="AO28" s="1">
        <v>0.4</v>
      </c>
      <c r="AP28" s="1">
        <v>36</v>
      </c>
      <c r="AQ28" s="1">
        <v>5</v>
      </c>
      <c r="AR28" t="b">
        <v>1</v>
      </c>
      <c r="AT28">
        <v>0.14000000000000001</v>
      </c>
      <c r="AU28">
        <f>AT28/AJ28</f>
        <v>0.70000000000000007</v>
      </c>
      <c r="AV28"/>
      <c r="AW28"/>
    </row>
    <row r="29" spans="1:49">
      <c r="B29" t="s">
        <v>181</v>
      </c>
      <c r="C29" t="s">
        <v>182</v>
      </c>
      <c r="D29" s="1" t="s">
        <v>71</v>
      </c>
      <c r="E29" s="1" t="s">
        <v>72</v>
      </c>
      <c r="F29" s="1">
        <v>0.89</v>
      </c>
      <c r="G29" s="1">
        <v>1236</v>
      </c>
      <c r="J29" s="1">
        <v>1389</v>
      </c>
      <c r="L29" s="1">
        <f t="shared" si="0"/>
        <v>54.685039370078741</v>
      </c>
      <c r="M29" s="5">
        <v>0.26</v>
      </c>
      <c r="O29" s="5">
        <v>-0.71</v>
      </c>
      <c r="Q29" s="1">
        <v>780</v>
      </c>
      <c r="S29" s="1">
        <v>876</v>
      </c>
      <c r="U29" s="1">
        <v>19</v>
      </c>
      <c r="W29" s="8">
        <v>6.1700000000000001E-3</v>
      </c>
      <c r="Y29" s="8">
        <v>3.0109499999999998</v>
      </c>
      <c r="AF29" s="1">
        <f t="shared" si="1"/>
        <v>1389</v>
      </c>
      <c r="AG29" s="1">
        <f t="shared" si="2"/>
        <v>876</v>
      </c>
      <c r="AH29" s="1">
        <f t="shared" si="3"/>
        <v>877</v>
      </c>
      <c r="AI29" s="10">
        <f t="shared" si="4"/>
        <v>0.33019397233197323</v>
      </c>
      <c r="AK29" s="1">
        <f t="shared" si="6"/>
        <v>1.2699768166614354</v>
      </c>
      <c r="AM29" s="1">
        <f>AG29</f>
        <v>876</v>
      </c>
      <c r="AN29" s="1">
        <f t="shared" si="9"/>
        <v>877</v>
      </c>
      <c r="AO29" s="1">
        <v>0.4</v>
      </c>
      <c r="AQ29" s="1">
        <v>5</v>
      </c>
      <c r="AR29" t="b">
        <v>1</v>
      </c>
      <c r="AT29"/>
      <c r="AU29"/>
      <c r="AV29"/>
      <c r="AW29"/>
    </row>
    <row r="30" spans="1:49">
      <c r="B30" t="s">
        <v>183</v>
      </c>
      <c r="C30" t="s">
        <v>184</v>
      </c>
      <c r="D30" s="1" t="s">
        <v>8</v>
      </c>
      <c r="E30" s="1" t="s">
        <v>26</v>
      </c>
      <c r="J30" s="1">
        <v>180</v>
      </c>
      <c r="L30" s="1">
        <f t="shared" si="0"/>
        <v>7.0866141732283472</v>
      </c>
      <c r="M30" s="5">
        <v>0.27500000000000002</v>
      </c>
      <c r="O30" s="5">
        <v>-1.2</v>
      </c>
      <c r="R30" s="1">
        <v>118</v>
      </c>
      <c r="U30" s="1">
        <v>41</v>
      </c>
      <c r="W30" s="8">
        <v>1.4800000000000001E-2</v>
      </c>
      <c r="Y30" s="8">
        <v>3.16</v>
      </c>
      <c r="AA30" s="1" t="s">
        <v>14</v>
      </c>
      <c r="AB30" s="1" t="s">
        <v>27</v>
      </c>
      <c r="AD30" s="1" t="s">
        <v>28</v>
      </c>
      <c r="AF30" s="1">
        <f t="shared" si="1"/>
        <v>180</v>
      </c>
      <c r="AG30" s="1">
        <f t="shared" si="2"/>
        <v>0</v>
      </c>
      <c r="AH30" s="1">
        <f t="shared" si="3"/>
        <v>1</v>
      </c>
      <c r="AI30" s="10">
        <f t="shared" si="4"/>
        <v>0.1632290401078299</v>
      </c>
      <c r="AK30" s="1">
        <f t="shared" si="6"/>
        <v>0.59356014584665417</v>
      </c>
      <c r="AM30" s="1">
        <f>2*25.4</f>
        <v>50.8</v>
      </c>
      <c r="AN30" s="1">
        <f t="shared" si="9"/>
        <v>51.8</v>
      </c>
      <c r="AO30" s="1">
        <v>0.4</v>
      </c>
      <c r="AQ30" s="1">
        <v>5</v>
      </c>
      <c r="AR30" t="b">
        <v>1</v>
      </c>
      <c r="AT30"/>
      <c r="AU30"/>
      <c r="AV30">
        <v>2.2211399711399711</v>
      </c>
      <c r="AW30"/>
    </row>
  </sheetData>
  <sortState ref="D2:AQ30">
    <sortCondition ref="E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65BC1-E580-6F46-B54B-9275F0F55BB8}">
  <dimension ref="A1:V27"/>
  <sheetViews>
    <sheetView workbookViewId="0">
      <selection activeCell="E13" sqref="E13"/>
    </sheetView>
  </sheetViews>
  <sheetFormatPr baseColWidth="10" defaultColWidth="14.1640625" defaultRowHeight="16"/>
  <cols>
    <col min="1" max="6" width="14.1640625" style="1"/>
    <col min="7" max="9" width="14.1640625" style="13" customWidth="1"/>
    <col min="10" max="11" width="14.33203125" style="1" customWidth="1"/>
    <col min="12" max="12" width="14.1640625" style="1"/>
    <col min="13" max="14" width="14.1640625" style="13"/>
    <col min="15" max="18" width="14.1640625" style="1"/>
    <col min="19" max="20" width="14.1640625" style="13"/>
    <col min="21" max="22" width="14.1640625" style="1"/>
    <col min="23" max="24" width="14.1640625" style="1" customWidth="1"/>
    <col min="25" max="16384" width="14.1640625" style="1"/>
  </cols>
  <sheetData>
    <row r="1" spans="1:22">
      <c r="A1" s="1" t="s">
        <v>196</v>
      </c>
      <c r="B1" s="1" t="s">
        <v>197</v>
      </c>
      <c r="C1" s="1" t="s">
        <v>211</v>
      </c>
      <c r="D1" s="1" t="s">
        <v>212</v>
      </c>
      <c r="E1" s="1" t="s">
        <v>218</v>
      </c>
      <c r="F1" s="1" t="s">
        <v>1</v>
      </c>
      <c r="G1" s="13" t="s">
        <v>2</v>
      </c>
      <c r="H1" s="13" t="s">
        <v>91</v>
      </c>
      <c r="I1" s="13" t="s">
        <v>3</v>
      </c>
      <c r="J1" s="1" t="s">
        <v>200</v>
      </c>
      <c r="K1" s="1" t="s">
        <v>4</v>
      </c>
      <c r="L1" s="1" t="s">
        <v>201</v>
      </c>
      <c r="M1" s="13" t="s">
        <v>5</v>
      </c>
      <c r="N1" s="13" t="s">
        <v>6</v>
      </c>
      <c r="O1" s="1" t="s">
        <v>7</v>
      </c>
      <c r="P1" s="1" t="s">
        <v>206</v>
      </c>
      <c r="Q1" s="1" t="s">
        <v>202</v>
      </c>
      <c r="R1" s="1" t="s">
        <v>203</v>
      </c>
      <c r="S1" s="13" t="s">
        <v>204</v>
      </c>
      <c r="T1" s="13" t="s">
        <v>78</v>
      </c>
      <c r="U1" s="1" t="s">
        <v>215</v>
      </c>
    </row>
    <row r="2" spans="1:22">
      <c r="A2" s="1" t="s">
        <v>198</v>
      </c>
      <c r="B2" t="s">
        <v>205</v>
      </c>
      <c r="C2"/>
      <c r="D2"/>
      <c r="E2" t="s">
        <v>219</v>
      </c>
      <c r="F2" s="3" t="s">
        <v>69</v>
      </c>
      <c r="J2" s="1">
        <f>47.9*10</f>
        <v>479</v>
      </c>
      <c r="K2" s="1">
        <v>0.11799999999999999</v>
      </c>
      <c r="L2" s="1">
        <v>-3.4</v>
      </c>
      <c r="P2" s="1">
        <v>24</v>
      </c>
      <c r="Q2" s="1">
        <v>1.7000000000000001E-2</v>
      </c>
      <c r="R2" s="1">
        <v>3.0150000000000001</v>
      </c>
      <c r="S2" s="14"/>
    </row>
    <row r="3" spans="1:22">
      <c r="A3" s="1" t="s">
        <v>193</v>
      </c>
      <c r="B3" t="s">
        <v>194</v>
      </c>
      <c r="C3"/>
      <c r="D3"/>
      <c r="E3" t="s">
        <v>220</v>
      </c>
      <c r="F3" s="3" t="s">
        <v>13</v>
      </c>
      <c r="I3" s="1">
        <v>145.19999999999999</v>
      </c>
      <c r="K3" s="1">
        <v>0.42299999999999999</v>
      </c>
      <c r="L3" s="1">
        <v>-0.51</v>
      </c>
      <c r="P3" s="1">
        <v>39</v>
      </c>
      <c r="Q3" s="8"/>
      <c r="R3" s="8"/>
      <c r="S3" s="14"/>
    </row>
    <row r="4" spans="1:22">
      <c r="A4" s="18" t="s">
        <v>199</v>
      </c>
      <c r="B4" s="18" t="s">
        <v>207</v>
      </c>
      <c r="C4" s="18" t="s">
        <v>213</v>
      </c>
      <c r="D4" s="18" t="s">
        <v>214</v>
      </c>
      <c r="E4" s="18" t="s">
        <v>222</v>
      </c>
      <c r="F4" s="3" t="s">
        <v>64</v>
      </c>
      <c r="G4" s="1">
        <f>10*32.7</f>
        <v>327</v>
      </c>
      <c r="H4" s="1">
        <v>0.97</v>
      </c>
      <c r="J4" s="6">
        <f>G4/H4</f>
        <v>337.11340206185565</v>
      </c>
      <c r="K4" s="5">
        <v>0.48599999999999999</v>
      </c>
      <c r="L4" s="5">
        <v>-0.01</v>
      </c>
      <c r="M4" s="1">
        <f>10*22.6</f>
        <v>226</v>
      </c>
      <c r="O4" s="6">
        <f>M4/H4</f>
        <v>232.98969072164948</v>
      </c>
      <c r="Q4" s="8"/>
      <c r="R4" s="8"/>
      <c r="S4" s="14"/>
      <c r="U4" s="6">
        <f>(13.9*10)/H4</f>
        <v>143.29896907216497</v>
      </c>
    </row>
    <row r="5" spans="1:22">
      <c r="A5" s="18" t="s">
        <v>199</v>
      </c>
      <c r="B5" s="18" t="s">
        <v>207</v>
      </c>
      <c r="C5" s="18" t="s">
        <v>213</v>
      </c>
      <c r="D5" s="18" t="s">
        <v>214</v>
      </c>
      <c r="E5" s="18" t="s">
        <v>222</v>
      </c>
      <c r="F5" s="3" t="s">
        <v>67</v>
      </c>
      <c r="G5" s="1">
        <f>10*53.5</f>
        <v>535</v>
      </c>
      <c r="H5" s="1">
        <v>0.91</v>
      </c>
      <c r="J5" s="6">
        <f>G5/H5</f>
        <v>587.91208791208794</v>
      </c>
      <c r="K5" s="5">
        <v>0.41</v>
      </c>
      <c r="L5" s="5">
        <v>0.12</v>
      </c>
      <c r="M5" s="1">
        <f>10*47.3</f>
        <v>473</v>
      </c>
      <c r="O5" s="6">
        <f>M5/H5</f>
        <v>519.7802197802198</v>
      </c>
      <c r="Q5" s="8"/>
      <c r="R5" s="8"/>
      <c r="S5" s="14"/>
      <c r="U5" s="6">
        <f>(10*35)/H5</f>
        <v>384.61538461538458</v>
      </c>
    </row>
    <row r="6" spans="1:22">
      <c r="A6" s="1" t="s">
        <v>189</v>
      </c>
      <c r="B6" t="s">
        <v>190</v>
      </c>
      <c r="C6"/>
      <c r="D6"/>
      <c r="E6" t="s">
        <v>221</v>
      </c>
      <c r="F6" s="12" t="s">
        <v>187</v>
      </c>
      <c r="G6" s="1">
        <f>10*67.26</f>
        <v>672.6</v>
      </c>
      <c r="J6" s="17"/>
      <c r="K6" s="1">
        <v>0.18</v>
      </c>
      <c r="L6" s="1">
        <v>-0.68</v>
      </c>
      <c r="M6" s="1">
        <f>((41+43.7)/2)*10</f>
        <v>423.5</v>
      </c>
      <c r="O6" s="17"/>
      <c r="P6" s="1">
        <v>14</v>
      </c>
      <c r="Q6" s="1">
        <v>0.01</v>
      </c>
      <c r="R6" s="1">
        <v>3.04</v>
      </c>
    </row>
    <row r="7" spans="1:22">
      <c r="A7" s="1" t="s">
        <v>189</v>
      </c>
      <c r="B7" t="s">
        <v>190</v>
      </c>
      <c r="C7"/>
      <c r="D7"/>
      <c r="E7" t="s">
        <v>221</v>
      </c>
      <c r="F7" s="12" t="s">
        <v>188</v>
      </c>
      <c r="G7" s="1">
        <f>10*56.39</f>
        <v>563.9</v>
      </c>
      <c r="J7" s="17"/>
      <c r="K7" s="1">
        <v>0.26</v>
      </c>
      <c r="L7" s="1">
        <v>-0.49</v>
      </c>
      <c r="M7" s="1">
        <f>((45.9+40.4)/2)*10</f>
        <v>431.5</v>
      </c>
      <c r="O7" s="17"/>
      <c r="P7" s="1">
        <v>11</v>
      </c>
      <c r="Q7" s="1">
        <v>0.01</v>
      </c>
      <c r="R7" s="1">
        <v>3.02</v>
      </c>
    </row>
    <row r="8" spans="1:22" s="19" customFormat="1">
      <c r="A8" s="19" t="s">
        <v>193</v>
      </c>
      <c r="B8" s="19" t="s">
        <v>194</v>
      </c>
      <c r="E8" s="19" t="s">
        <v>220</v>
      </c>
      <c r="F8" s="19" t="s">
        <v>191</v>
      </c>
      <c r="I8" s="19">
        <v>135.4</v>
      </c>
      <c r="K8" s="19">
        <v>0.66300000000000003</v>
      </c>
      <c r="L8" s="19">
        <v>-0.23</v>
      </c>
      <c r="P8" s="19">
        <v>17</v>
      </c>
      <c r="V8" s="20" t="s">
        <v>217</v>
      </c>
    </row>
    <row r="9" spans="1:22" s="19" customFormat="1">
      <c r="A9" s="19" t="s">
        <v>193</v>
      </c>
      <c r="B9" s="19" t="s">
        <v>194</v>
      </c>
      <c r="E9" s="19" t="s">
        <v>220</v>
      </c>
      <c r="F9" s="19" t="s">
        <v>192</v>
      </c>
      <c r="I9" s="19">
        <v>74.900000000000006</v>
      </c>
      <c r="K9" s="19">
        <v>0.98499999999999999</v>
      </c>
      <c r="L9" s="19">
        <v>-0.15</v>
      </c>
      <c r="P9" s="19">
        <v>5</v>
      </c>
      <c r="V9" s="20"/>
    </row>
    <row r="10" spans="1:22">
      <c r="A10" s="18" t="s">
        <v>199</v>
      </c>
      <c r="B10" s="18" t="s">
        <v>207</v>
      </c>
      <c r="C10" s="18" t="s">
        <v>213</v>
      </c>
      <c r="D10" s="18" t="s">
        <v>214</v>
      </c>
      <c r="E10" s="18" t="s">
        <v>222</v>
      </c>
      <c r="F10" s="12" t="s">
        <v>195</v>
      </c>
      <c r="G10" s="1">
        <f>10*53.2</f>
        <v>532</v>
      </c>
      <c r="H10" s="1">
        <v>1</v>
      </c>
      <c r="J10" s="1">
        <f>G10/H10</f>
        <v>532</v>
      </c>
      <c r="K10" s="1">
        <v>0.22500000000000001</v>
      </c>
      <c r="L10" s="1">
        <v>-1.48</v>
      </c>
      <c r="M10" s="1">
        <f>46.4*10</f>
        <v>464</v>
      </c>
      <c r="O10" s="1">
        <f>M10/H10</f>
        <v>464</v>
      </c>
      <c r="P10" s="17"/>
      <c r="Q10" s="1">
        <v>1.3599999999999999E-2</v>
      </c>
      <c r="R10" s="1">
        <v>3.109</v>
      </c>
      <c r="U10" s="1">
        <f>(10*34.5)/H10</f>
        <v>345</v>
      </c>
    </row>
    <row r="11" spans="1:22">
      <c r="A11" s="18" t="s">
        <v>199</v>
      </c>
      <c r="B11" s="18" t="s">
        <v>207</v>
      </c>
      <c r="C11" s="18" t="s">
        <v>213</v>
      </c>
      <c r="D11" s="18" t="s">
        <v>214</v>
      </c>
      <c r="E11" s="18" t="s">
        <v>222</v>
      </c>
      <c r="F11" s="12" t="s">
        <v>105</v>
      </c>
      <c r="G11" s="1">
        <f>10*34.4</f>
        <v>344</v>
      </c>
      <c r="H11" s="1">
        <v>1</v>
      </c>
      <c r="J11" s="1">
        <f>G11/H11</f>
        <v>344</v>
      </c>
      <c r="K11" s="1">
        <v>0.4</v>
      </c>
      <c r="L11" s="1">
        <v>-0.13</v>
      </c>
      <c r="M11" s="1">
        <f>10*27.3</f>
        <v>273</v>
      </c>
      <c r="O11" s="1">
        <f>M11/H11</f>
        <v>273</v>
      </c>
      <c r="P11" s="17"/>
      <c r="Q11" s="17"/>
      <c r="R11" s="17"/>
      <c r="U11" s="1" t="s">
        <v>216</v>
      </c>
    </row>
    <row r="12" spans="1:22">
      <c r="A12" s="1" t="s">
        <v>210</v>
      </c>
      <c r="B12" t="s">
        <v>209</v>
      </c>
      <c r="C12"/>
      <c r="D12"/>
      <c r="E12" t="s">
        <v>219</v>
      </c>
      <c r="F12" s="12" t="s">
        <v>208</v>
      </c>
      <c r="H12" s="1">
        <v>0.87</v>
      </c>
      <c r="J12" s="1">
        <v>203</v>
      </c>
      <c r="K12" s="1">
        <v>1.4308000000000001</v>
      </c>
      <c r="L12" s="1">
        <v>5.11E-2</v>
      </c>
      <c r="M12" s="1">
        <f>10*15.7</f>
        <v>157</v>
      </c>
      <c r="O12" s="6">
        <f>M12/H12</f>
        <v>180.45977011494253</v>
      </c>
      <c r="P12" s="17"/>
      <c r="Q12" s="1">
        <v>8.3059999999999995E-2</v>
      </c>
      <c r="R12" s="1">
        <v>2.56968</v>
      </c>
    </row>
    <row r="23" spans="10:10" ht="31">
      <c r="J23" s="16"/>
    </row>
    <row r="27" spans="10:10">
      <c r="J27" s="1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25DC-8698-9F41-9F24-C812C1EC1D34}">
  <dimension ref="A1:D30"/>
  <sheetViews>
    <sheetView tabSelected="1" zoomScale="130" zoomScaleNormal="130" workbookViewId="0">
      <pane ySplit="2" topLeftCell="A3" activePane="bottomLeft" state="frozen"/>
      <selection pane="bottomLeft" activeCell="D33" sqref="D33"/>
    </sheetView>
  </sheetViews>
  <sheetFormatPr baseColWidth="10" defaultColWidth="34.6640625" defaultRowHeight="16"/>
  <cols>
    <col min="2" max="2" width="34.6640625" style="21"/>
  </cols>
  <sheetData>
    <row r="1" spans="1:4">
      <c r="A1" s="1" t="s">
        <v>0</v>
      </c>
      <c r="B1" s="15" t="s">
        <v>129</v>
      </c>
      <c r="C1" s="1" t="s">
        <v>223</v>
      </c>
      <c r="D1" t="str">
        <f>B1&amp;" - "&amp;C1</f>
        <v>HI_Name - Common Name</v>
      </c>
    </row>
    <row r="2" spans="1:4">
      <c r="A2" s="1" t="s">
        <v>270</v>
      </c>
      <c r="B2" s="21" t="s">
        <v>243</v>
      </c>
      <c r="C2" t="s">
        <v>267</v>
      </c>
      <c r="D2" t="str">
        <f>B2&amp;" - "&amp;C2</f>
        <v>Kaku - Great Barracuda</v>
      </c>
    </row>
    <row r="3" spans="1:4">
      <c r="A3" s="1" t="s">
        <v>125</v>
      </c>
      <c r="B3" s="21" t="s">
        <v>233</v>
      </c>
      <c r="C3" t="s">
        <v>254</v>
      </c>
      <c r="D3" t="str">
        <f>B3&amp;" - "&amp;C3</f>
        <v>Weke a'a - Yellowstripe Goatfish</v>
      </c>
    </row>
    <row r="4" spans="1:4">
      <c r="A4" s="1" t="s">
        <v>125</v>
      </c>
      <c r="B4" s="21" t="s">
        <v>234</v>
      </c>
      <c r="C4" t="s">
        <v>255</v>
      </c>
      <c r="D4" t="str">
        <f>B4&amp;" - "&amp;C4</f>
        <v>Weke Ula - Yellowfin Goatfish</v>
      </c>
    </row>
    <row r="5" spans="1:4">
      <c r="A5" s="1" t="s">
        <v>125</v>
      </c>
      <c r="B5" s="21" t="s">
        <v>57</v>
      </c>
      <c r="C5" t="s">
        <v>261</v>
      </c>
      <c r="D5" t="str">
        <f>B5&amp;" - "&amp;C5</f>
        <v>Moano - Manybar Goatfish</v>
      </c>
    </row>
    <row r="6" spans="1:4">
      <c r="A6" s="1" t="s">
        <v>125</v>
      </c>
      <c r="B6" s="21" t="s">
        <v>239</v>
      </c>
      <c r="C6" t="s">
        <v>262</v>
      </c>
      <c r="D6" t="str">
        <f>B6&amp;" - "&amp;C6</f>
        <v>Kumu - Whitesaddle Goatfish</v>
      </c>
    </row>
    <row r="7" spans="1:4">
      <c r="A7" s="1" t="s">
        <v>127</v>
      </c>
      <c r="B7" s="21" t="s">
        <v>224</v>
      </c>
      <c r="C7" t="s">
        <v>138</v>
      </c>
      <c r="D7" t="str">
        <f>B7&amp;" - "&amp;C7</f>
        <v>Ulua au kea - Giant Trevally</v>
      </c>
    </row>
    <row r="8" spans="1:4">
      <c r="A8" s="1" t="s">
        <v>127</v>
      </c>
      <c r="B8" s="21" t="s">
        <v>226</v>
      </c>
      <c r="C8" t="s">
        <v>247</v>
      </c>
      <c r="D8" t="str">
        <f>B8&amp;" - "&amp;C8</f>
        <v>Omilu - Bluefin Trevally</v>
      </c>
    </row>
    <row r="9" spans="1:4">
      <c r="A9" s="1" t="s">
        <v>127</v>
      </c>
      <c r="B9" s="21" t="s">
        <v>242</v>
      </c>
      <c r="C9" t="s">
        <v>266</v>
      </c>
      <c r="D9" t="str">
        <f>B9&amp;" - "&amp;C9</f>
        <v>Kahala - Greater Amberjack</v>
      </c>
    </row>
    <row r="10" spans="1:4">
      <c r="A10" s="1" t="s">
        <v>127</v>
      </c>
      <c r="B10" s="21" t="s">
        <v>225</v>
      </c>
      <c r="C10" t="s">
        <v>246</v>
      </c>
      <c r="D10" t="str">
        <f>B10&amp;" - "&amp;C10</f>
        <v>Lauli - Black Trevally</v>
      </c>
    </row>
    <row r="11" spans="1:4">
      <c r="A11" s="1" t="s">
        <v>127</v>
      </c>
      <c r="B11" s="21" t="s">
        <v>227</v>
      </c>
      <c r="C11" t="s">
        <v>248</v>
      </c>
      <c r="D11" t="str">
        <f>B11&amp;" - "&amp;C11</f>
        <v>Menpachi Ulua - Bigeye Trevally</v>
      </c>
    </row>
    <row r="12" spans="1:4">
      <c r="A12" s="1" t="s">
        <v>127</v>
      </c>
      <c r="B12" s="21" t="s">
        <v>230</v>
      </c>
      <c r="C12" t="s">
        <v>251</v>
      </c>
      <c r="D12" t="str">
        <f>B12&amp;" - "&amp;C12</f>
        <v>Kamanu - Rainbow Runner</v>
      </c>
    </row>
    <row r="13" spans="1:4">
      <c r="A13" s="1" t="s">
        <v>127</v>
      </c>
      <c r="B13" s="21" t="s">
        <v>240</v>
      </c>
      <c r="C13" t="s">
        <v>263</v>
      </c>
      <c r="D13" t="str">
        <f>B13&amp;" - "&amp;C13</f>
        <v>Butaguchi - Thick Lipped Jack</v>
      </c>
    </row>
    <row r="14" spans="1:4">
      <c r="A14" s="1" t="s">
        <v>123</v>
      </c>
      <c r="B14" s="21" t="s">
        <v>65</v>
      </c>
      <c r="C14" t="s">
        <v>264</v>
      </c>
      <c r="D14" t="str">
        <f>B14&amp;" - "&amp;C14</f>
        <v>Uhu - Palenose Parrotfish</v>
      </c>
    </row>
    <row r="15" spans="1:4">
      <c r="A15" s="1" t="s">
        <v>123</v>
      </c>
      <c r="B15" s="21" t="s">
        <v>241</v>
      </c>
      <c r="C15" t="s">
        <v>265</v>
      </c>
      <c r="D15" t="str">
        <f>B15&amp;" - "&amp;C15</f>
        <v>Uhu palukaluka - Redlip Parrotfish</v>
      </c>
    </row>
    <row r="16" spans="1:4">
      <c r="A16" s="1" t="s">
        <v>123</v>
      </c>
      <c r="B16" s="15" t="s">
        <v>65</v>
      </c>
      <c r="C16" s="1" t="s">
        <v>245</v>
      </c>
      <c r="D16" t="str">
        <f>B16&amp;" - "&amp;C16</f>
        <v>Uhu - Bullethead Parrotfish</v>
      </c>
    </row>
    <row r="17" spans="1:4">
      <c r="A17" s="1" t="s">
        <v>269</v>
      </c>
      <c r="B17" s="21" t="s">
        <v>228</v>
      </c>
      <c r="C17" t="s">
        <v>249</v>
      </c>
      <c r="D17" t="str">
        <f>B17&amp;" - "&amp;C17</f>
        <v>Roi - Peacock Grouper</v>
      </c>
    </row>
    <row r="18" spans="1:4">
      <c r="A18" s="1" t="s">
        <v>126</v>
      </c>
      <c r="B18" s="15" t="s">
        <v>137</v>
      </c>
      <c r="C18" s="1" t="s">
        <v>136</v>
      </c>
      <c r="D18" t="str">
        <f>B18&amp;" - "&amp;C18</f>
        <v>Uku - Green Jobfish</v>
      </c>
    </row>
    <row r="19" spans="1:4">
      <c r="A19" s="1" t="s">
        <v>126</v>
      </c>
      <c r="B19" s="21" t="s">
        <v>231</v>
      </c>
      <c r="C19" t="s">
        <v>252</v>
      </c>
      <c r="D19" t="str">
        <f>B19&amp;" - "&amp;C19</f>
        <v>Taape - Bluestipe Snapper</v>
      </c>
    </row>
    <row r="20" spans="1:4">
      <c r="A20" s="1" t="s">
        <v>186</v>
      </c>
      <c r="B20" s="21" t="s">
        <v>235</v>
      </c>
      <c r="C20" t="s">
        <v>256</v>
      </c>
      <c r="D20" t="str">
        <f>B20&amp;" - "&amp;C20</f>
        <v>U'u - Bigscale Soldierfish</v>
      </c>
    </row>
    <row r="21" spans="1:4">
      <c r="A21" s="1" t="s">
        <v>124</v>
      </c>
      <c r="B21" s="15" t="s">
        <v>132</v>
      </c>
      <c r="C21" s="11" t="s">
        <v>131</v>
      </c>
      <c r="D21" t="str">
        <f>B21&amp;" - "&amp;C21</f>
        <v>Pualu - Ringtail Surgeonfish</v>
      </c>
    </row>
    <row r="22" spans="1:4">
      <c r="A22" s="1" t="s">
        <v>124</v>
      </c>
      <c r="B22" s="15" t="s">
        <v>134</v>
      </c>
      <c r="C22" s="1" t="s">
        <v>133</v>
      </c>
      <c r="D22" t="str">
        <f>B22&amp;" - "&amp;C22</f>
        <v>Palani - Eyestriped Surgeonfish</v>
      </c>
    </row>
    <row r="23" spans="1:4">
      <c r="A23" s="1" t="s">
        <v>124</v>
      </c>
      <c r="B23" s="15" t="s">
        <v>132</v>
      </c>
      <c r="C23" s="1" t="s">
        <v>135</v>
      </c>
      <c r="D23" t="str">
        <f>B23&amp;" - "&amp;C23</f>
        <v>Pualu - Yellowfin Surgeonfish</v>
      </c>
    </row>
    <row r="24" spans="1:4">
      <c r="A24" s="1" t="s">
        <v>124</v>
      </c>
      <c r="B24" s="21" t="s">
        <v>229</v>
      </c>
      <c r="C24" t="s">
        <v>250</v>
      </c>
      <c r="D24" t="str">
        <f>B24&amp;" - "&amp;C24</f>
        <v>Yelloweye Kole - Goldring Surgeonfish</v>
      </c>
    </row>
    <row r="25" spans="1:4">
      <c r="A25" s="1" t="s">
        <v>124</v>
      </c>
      <c r="B25" s="21" t="s">
        <v>236</v>
      </c>
      <c r="C25" t="s">
        <v>257</v>
      </c>
      <c r="D25" t="str">
        <f>B25&amp;" - "&amp;C25</f>
        <v>Kala Lolo - Paletail Unicornfish</v>
      </c>
    </row>
    <row r="26" spans="1:4">
      <c r="A26" s="1" t="s">
        <v>124</v>
      </c>
      <c r="B26" s="21" t="s">
        <v>237</v>
      </c>
      <c r="C26" t="s">
        <v>258</v>
      </c>
      <c r="D26" t="str">
        <f>B26&amp;" - "&amp;C26</f>
        <v>Opelu Kala - Sleek Unicornfish</v>
      </c>
    </row>
    <row r="27" spans="1:4">
      <c r="A27" s="1" t="s">
        <v>124</v>
      </c>
      <c r="B27" s="21" t="s">
        <v>238</v>
      </c>
      <c r="C27" t="s">
        <v>259</v>
      </c>
      <c r="D27" t="str">
        <f>B27&amp;" - "&amp;C27</f>
        <v>Umaumalei - Orangespine Unicornfish</v>
      </c>
    </row>
    <row r="28" spans="1:4">
      <c r="A28" s="1" t="s">
        <v>124</v>
      </c>
      <c r="B28" s="21" t="s">
        <v>17</v>
      </c>
      <c r="C28" t="s">
        <v>260</v>
      </c>
      <c r="D28" t="str">
        <f>B28&amp;" - "&amp;C28</f>
        <v>Kala - Blue Spine Unicornfish</v>
      </c>
    </row>
    <row r="29" spans="1:4">
      <c r="A29" s="1" t="s">
        <v>124</v>
      </c>
      <c r="B29" s="21" t="s">
        <v>244</v>
      </c>
      <c r="C29" t="s">
        <v>268</v>
      </c>
      <c r="D29" t="str">
        <f>B29&amp;" - "&amp;C29</f>
        <v>Lau'ipala - Yellow Tang</v>
      </c>
    </row>
    <row r="30" spans="1:4">
      <c r="A30" s="1" t="s">
        <v>271</v>
      </c>
      <c r="B30" s="21" t="s">
        <v>232</v>
      </c>
      <c r="C30" t="s">
        <v>253</v>
      </c>
      <c r="D30" t="str">
        <f>B30&amp;" - "&amp;C30</f>
        <v>Ama'ama - Striped Mullet</v>
      </c>
    </row>
  </sheetData>
  <sortState ref="A2:A31">
    <sortCondition ref="A2"/>
  </sortState>
  <dataConsolidate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Lit Review</vt:lpstr>
      <vt:lpstr>Species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2020-06-29T21:53:21Z</dcterms:created>
  <dcterms:modified xsi:type="dcterms:W3CDTF">2020-07-21T21:22:01Z</dcterms:modified>
</cp:coreProperties>
</file>