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eristig/Desktop/TNC/Kaupulehu_MSL_Analysis/"/>
    </mc:Choice>
  </mc:AlternateContent>
  <xr:revisionPtr revIDLastSave="0" documentId="13_ncr:1_{901AE200-7DAC-924E-A660-11711B965095}" xr6:coauthVersionLast="36" xr6:coauthVersionMax="45" xr10:uidLastSave="{00000000-0000-0000-0000-000000000000}"/>
  <bookViews>
    <workbookView xWindow="0" yWindow="460" windowWidth="28800" windowHeight="16460" xr2:uid="{5D543E9C-58F8-0449-BE61-D164A54F8161}"/>
  </bookViews>
  <sheets>
    <sheet name="Fork Length Parameters" sheetId="10" r:id="rId1"/>
    <sheet name="Code List" sheetId="5" r:id="rId2"/>
    <sheet name="Bill's List" sheetId="6" r:id="rId3"/>
    <sheet name="Erin's List" sheetId="7" r:id="rId4"/>
    <sheet name="Lit Review" sheetId="3" r:id="rId5"/>
    <sheet name="DeMartini Notes" sheetId="8" r:id="rId6"/>
  </sheets>
  <calcPr calcId="181029"/>
</workbook>
</file>

<file path=xl/calcChain.xml><?xml version="1.0" encoding="utf-8"?>
<calcChain xmlns="http://schemas.openxmlformats.org/spreadsheetml/2006/main">
  <c r="M3" i="10" l="1"/>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2" i="10"/>
  <c r="W4" i="10" l="1"/>
  <c r="W7" i="10"/>
  <c r="W8" i="10"/>
  <c r="W11" i="10"/>
  <c r="W12" i="10"/>
  <c r="W13" i="10"/>
  <c r="W17" i="10"/>
  <c r="W20" i="10"/>
  <c r="W24" i="10"/>
  <c r="W27" i="10"/>
  <c r="W28" i="10"/>
  <c r="W29" i="10"/>
  <c r="W30" i="10"/>
  <c r="W31" i="10"/>
  <c r="W32" i="10"/>
  <c r="W33" i="10"/>
  <c r="W34" i="10"/>
  <c r="W35" i="10"/>
  <c r="W37" i="10"/>
  <c r="AE31" i="10" l="1"/>
  <c r="R22" i="10" l="1"/>
  <c r="W22" i="10" s="1"/>
  <c r="L22" i="10"/>
  <c r="L6" i="10"/>
  <c r="S4" i="10"/>
  <c r="S7" i="10"/>
  <c r="S8" i="10"/>
  <c r="S11" i="10"/>
  <c r="S12" i="10"/>
  <c r="S13" i="10"/>
  <c r="S14" i="10"/>
  <c r="S17" i="10"/>
  <c r="S20" i="10"/>
  <c r="S21" i="10"/>
  <c r="S22" i="10"/>
  <c r="S24" i="10"/>
  <c r="S27" i="10"/>
  <c r="S28" i="10"/>
  <c r="S29" i="10"/>
  <c r="S30" i="10"/>
  <c r="S31" i="10"/>
  <c r="S32" i="10"/>
  <c r="S33" i="10"/>
  <c r="S34" i="10"/>
  <c r="S35" i="10"/>
  <c r="S37" i="10"/>
  <c r="R6" i="10"/>
  <c r="R36" i="10"/>
  <c r="L36" i="10"/>
  <c r="L32" i="10"/>
  <c r="R26" i="10"/>
  <c r="L26" i="10"/>
  <c r="R25" i="10"/>
  <c r="L25" i="10"/>
  <c r="R23" i="10"/>
  <c r="L23" i="10"/>
  <c r="R21" i="10"/>
  <c r="W21" i="10" s="1"/>
  <c r="R19" i="10"/>
  <c r="W19" i="10" s="1"/>
  <c r="R18" i="10"/>
  <c r="L18" i="10"/>
  <c r="R16" i="10"/>
  <c r="L16" i="10"/>
  <c r="R10" i="10"/>
  <c r="L10" i="10"/>
  <c r="R9" i="10"/>
  <c r="L9" i="10"/>
  <c r="R5" i="10"/>
  <c r="L5" i="10"/>
  <c r="R3" i="10"/>
  <c r="L3" i="10"/>
  <c r="R2" i="10"/>
  <c r="R15" i="10"/>
  <c r="R14" i="10"/>
  <c r="W14" i="10" s="1"/>
  <c r="L2" i="10"/>
  <c r="L4" i="10"/>
  <c r="Y4" i="10" s="1"/>
  <c r="Z4" i="10" s="1"/>
  <c r="L15" i="10"/>
  <c r="L14" i="10"/>
  <c r="Y37" i="10"/>
  <c r="Z37" i="10" s="1"/>
  <c r="X37" i="10"/>
  <c r="Y36" i="10"/>
  <c r="Z36" i="10" s="1"/>
  <c r="AE35" i="10"/>
  <c r="Y35" i="10"/>
  <c r="AI35" i="10" s="1"/>
  <c r="AE34" i="10"/>
  <c r="Y34" i="10"/>
  <c r="AI34" i="10" s="1"/>
  <c r="AE33" i="10"/>
  <c r="Y33" i="10"/>
  <c r="Z33" i="10" s="1"/>
  <c r="Y32" i="10"/>
  <c r="Z32" i="10" s="1"/>
  <c r="X32" i="10"/>
  <c r="Y31" i="10"/>
  <c r="Z31" i="10" s="1"/>
  <c r="AE30" i="10"/>
  <c r="Y30" i="10"/>
  <c r="AI30" i="10" s="1"/>
  <c r="AA30" i="10"/>
  <c r="AB30" i="10" s="1"/>
  <c r="AE29" i="10"/>
  <c r="Y29" i="10"/>
  <c r="AI29" i="10" s="1"/>
  <c r="Y28" i="10"/>
  <c r="AI28" i="10" s="1"/>
  <c r="X28" i="10"/>
  <c r="AE27" i="10"/>
  <c r="Y27" i="10"/>
  <c r="Z27" i="10" s="1"/>
  <c r="AA27" i="10"/>
  <c r="AB27" i="10" s="1"/>
  <c r="AE26" i="10"/>
  <c r="Y26" i="10"/>
  <c r="AI26" i="10" s="1"/>
  <c r="Y25" i="10"/>
  <c r="Z25" i="10" s="1"/>
  <c r="Y24" i="10"/>
  <c r="Z24" i="10" s="1"/>
  <c r="AA24" i="10"/>
  <c r="AB24" i="10" s="1"/>
  <c r="Y23" i="10"/>
  <c r="Z23" i="10" s="1"/>
  <c r="Y22" i="10"/>
  <c r="Z22" i="10" s="1"/>
  <c r="AA22" i="10"/>
  <c r="AB22" i="10" s="1"/>
  <c r="Y21" i="10"/>
  <c r="Z21" i="10" s="1"/>
  <c r="AA21" i="10"/>
  <c r="AB21" i="10" s="1"/>
  <c r="Y20" i="10"/>
  <c r="Z20" i="10" s="1"/>
  <c r="AA20" i="10"/>
  <c r="AB20" i="10" s="1"/>
  <c r="AE19" i="10"/>
  <c r="Y19" i="10"/>
  <c r="Z19" i="10" s="1"/>
  <c r="AA19" i="10"/>
  <c r="AB19" i="10" s="1"/>
  <c r="AE18" i="10"/>
  <c r="Y18" i="10"/>
  <c r="Z18" i="10" s="1"/>
  <c r="AE17" i="10"/>
  <c r="Y17" i="10"/>
  <c r="Z17" i="10" s="1"/>
  <c r="AA17" i="10"/>
  <c r="AB17" i="10" s="1"/>
  <c r="AE16" i="10"/>
  <c r="Y16" i="10"/>
  <c r="AI16" i="10" s="1"/>
  <c r="Y15" i="10"/>
  <c r="Z15" i="10" s="1"/>
  <c r="AE14" i="10"/>
  <c r="Y14" i="10"/>
  <c r="Z14" i="10" s="1"/>
  <c r="AE13" i="10"/>
  <c r="Y13" i="10"/>
  <c r="AI13" i="10" s="1"/>
  <c r="AE12" i="10"/>
  <c r="Y12" i="10"/>
  <c r="Z12" i="10" s="1"/>
  <c r="X12" i="10"/>
  <c r="Y11" i="10"/>
  <c r="Z11" i="10" s="1"/>
  <c r="AA11" i="10"/>
  <c r="AB11" i="10" s="1"/>
  <c r="AE10" i="10"/>
  <c r="Y10" i="10"/>
  <c r="AI10" i="10" s="1"/>
  <c r="AE9" i="10"/>
  <c r="Y9" i="10"/>
  <c r="Z9" i="10" s="1"/>
  <c r="Y8" i="10"/>
  <c r="AI8" i="10" s="1"/>
  <c r="X8" i="10"/>
  <c r="Y7" i="10"/>
  <c r="Z7" i="10" s="1"/>
  <c r="Y6" i="10"/>
  <c r="AI6" i="10" s="1"/>
  <c r="Y5" i="10"/>
  <c r="AI5" i="10" s="1"/>
  <c r="AE4" i="10"/>
  <c r="Y3" i="10"/>
  <c r="Z3" i="10" s="1"/>
  <c r="Y2" i="10"/>
  <c r="Z2" i="10" s="1"/>
  <c r="S15" i="10" l="1"/>
  <c r="W15" i="10"/>
  <c r="AA15" i="10" s="1"/>
  <c r="AB15" i="10" s="1"/>
  <c r="S36" i="10"/>
  <c r="W36" i="10"/>
  <c r="X36" i="10" s="1"/>
  <c r="S19" i="10"/>
  <c r="AI12" i="10"/>
  <c r="S2" i="10"/>
  <c r="W2" i="10"/>
  <c r="AA2" i="10" s="1"/>
  <c r="AB2" i="10" s="1"/>
  <c r="S5" i="10"/>
  <c r="W5" i="10"/>
  <c r="AA5" i="10" s="1"/>
  <c r="AB5" i="10" s="1"/>
  <c r="W10" i="10"/>
  <c r="X10" i="10" s="1"/>
  <c r="W18" i="10"/>
  <c r="X18" i="10" s="1"/>
  <c r="S23" i="10"/>
  <c r="W23" i="10"/>
  <c r="AA23" i="10" s="1"/>
  <c r="AB23" i="10" s="1"/>
  <c r="S26" i="10"/>
  <c r="W26" i="10"/>
  <c r="AA26" i="10" s="1"/>
  <c r="AB26" i="10" s="1"/>
  <c r="S6" i="10"/>
  <c r="W6" i="10"/>
  <c r="X6" i="10" s="1"/>
  <c r="S3" i="10"/>
  <c r="W3" i="10"/>
  <c r="AA3" i="10" s="1"/>
  <c r="AB3" i="10" s="1"/>
  <c r="W9" i="10"/>
  <c r="X9" i="10" s="1"/>
  <c r="W16" i="10"/>
  <c r="AA16" i="10" s="1"/>
  <c r="AB16" i="10" s="1"/>
  <c r="S25" i="10"/>
  <c r="W25" i="10"/>
  <c r="AA25" i="10" s="1"/>
  <c r="AB25" i="10" s="1"/>
  <c r="AI18" i="10"/>
  <c r="S18" i="10"/>
  <c r="S10" i="10"/>
  <c r="S9" i="10"/>
  <c r="S16" i="10"/>
  <c r="AI9" i="10"/>
  <c r="AI27" i="10"/>
  <c r="Z5" i="10"/>
  <c r="Z6" i="10"/>
  <c r="AI19" i="10"/>
  <c r="AI17" i="10"/>
  <c r="X20" i="10"/>
  <c r="X17" i="10"/>
  <c r="Z10" i="10"/>
  <c r="X19" i="10"/>
  <c r="X21" i="10"/>
  <c r="X24" i="10"/>
  <c r="X2" i="10"/>
  <c r="X4" i="10"/>
  <c r="AI20" i="10"/>
  <c r="X27" i="10"/>
  <c r="Z28" i="10"/>
  <c r="Z29" i="10"/>
  <c r="Z35" i="10"/>
  <c r="X22" i="10"/>
  <c r="X23" i="10"/>
  <c r="X25" i="10"/>
  <c r="X3" i="10"/>
  <c r="X11" i="10"/>
  <c r="X15" i="10"/>
  <c r="Z8" i="10"/>
  <c r="X16" i="10"/>
  <c r="X30" i="10"/>
  <c r="AA29" i="10"/>
  <c r="AB29" i="10" s="1"/>
  <c r="X29" i="10"/>
  <c r="AA31" i="10"/>
  <c r="AB31" i="10" s="1"/>
  <c r="X31" i="10"/>
  <c r="X34" i="10"/>
  <c r="AA34" i="10"/>
  <c r="AB34" i="10" s="1"/>
  <c r="X35" i="10"/>
  <c r="AA35" i="10"/>
  <c r="AB35" i="10" s="1"/>
  <c r="AA7" i="10"/>
  <c r="AB7" i="10" s="1"/>
  <c r="X7" i="10"/>
  <c r="AA14" i="10"/>
  <c r="AB14" i="10" s="1"/>
  <c r="X14" i="10"/>
  <c r="AA6" i="10"/>
  <c r="AB6" i="10" s="1"/>
  <c r="AI32" i="10"/>
  <c r="AI36" i="10"/>
  <c r="AI7" i="10"/>
  <c r="AA8" i="10"/>
  <c r="AB8" i="10" s="1"/>
  <c r="AA9" i="10"/>
  <c r="AB9" i="10" s="1"/>
  <c r="AI11" i="10"/>
  <c r="AA12" i="10"/>
  <c r="AB12" i="10" s="1"/>
  <c r="Z34" i="10"/>
  <c r="AI2" i="10"/>
  <c r="AA18" i="10"/>
  <c r="AB18" i="10" s="1"/>
  <c r="AI21" i="10"/>
  <c r="AI22" i="10"/>
  <c r="AI23" i="10"/>
  <c r="AI24" i="10"/>
  <c r="AI25" i="10"/>
  <c r="AA28" i="10"/>
  <c r="AB28" i="10" s="1"/>
  <c r="AA32" i="10"/>
  <c r="AB32" i="10" s="1"/>
  <c r="AA36" i="10"/>
  <c r="AB36" i="10" s="1"/>
  <c r="AA37" i="10"/>
  <c r="AB37" i="10" s="1"/>
  <c r="AI3" i="10"/>
  <c r="AA10" i="10"/>
  <c r="AB10" i="10" s="1"/>
  <c r="Z13" i="10"/>
  <c r="Z16" i="10"/>
  <c r="Z26" i="10"/>
  <c r="Z30" i="10"/>
  <c r="O6" i="8"/>
  <c r="O7" i="8"/>
  <c r="O8" i="8"/>
  <c r="O5" i="8"/>
  <c r="N8" i="8"/>
  <c r="N7" i="8"/>
  <c r="N6" i="8"/>
  <c r="N5" i="8"/>
  <c r="X5" i="10" l="1"/>
  <c r="X26" i="10"/>
  <c r="AA4" i="10"/>
  <c r="AB4" i="10" s="1"/>
  <c r="X13" i="10"/>
  <c r="AA13" i="10"/>
  <c r="AB13" i="10" s="1"/>
  <c r="X33" i="10"/>
  <c r="AA33" i="10"/>
  <c r="AB33" i="10" s="1"/>
  <c r="V3" i="5"/>
  <c r="W3" i="5" s="1"/>
  <c r="V5" i="5"/>
  <c r="Z5" i="5" s="1"/>
  <c r="AA5" i="5" s="1"/>
  <c r="V6" i="5"/>
  <c r="Z6" i="5" s="1"/>
  <c r="AA6" i="5" s="1"/>
  <c r="V9" i="5"/>
  <c r="Z9" i="5" s="1"/>
  <c r="AA9" i="5" s="1"/>
  <c r="V10" i="5"/>
  <c r="Z10" i="5" s="1"/>
  <c r="AA10" i="5" s="1"/>
  <c r="V11" i="5"/>
  <c r="W11" i="5" s="1"/>
  <c r="V16" i="5"/>
  <c r="Z16" i="5" s="1"/>
  <c r="AA16" i="5" s="1"/>
  <c r="V17" i="5"/>
  <c r="Z17" i="5" s="1"/>
  <c r="AA17" i="5" s="1"/>
  <c r="V18" i="5"/>
  <c r="Z18" i="5" s="1"/>
  <c r="AA18" i="5" s="1"/>
  <c r="V19" i="5"/>
  <c r="W19" i="5" s="1"/>
  <c r="V20" i="5"/>
  <c r="Z20" i="5" s="1"/>
  <c r="AA20" i="5" s="1"/>
  <c r="V21" i="5"/>
  <c r="Z21" i="5" s="1"/>
  <c r="AA21" i="5" s="1"/>
  <c r="V22" i="5"/>
  <c r="Z22" i="5" s="1"/>
  <c r="AA22" i="5" s="1"/>
  <c r="V23" i="5"/>
  <c r="W23" i="5" s="1"/>
  <c r="V24" i="5"/>
  <c r="W24" i="5" s="1"/>
  <c r="V25" i="5"/>
  <c r="Z25" i="5" s="1"/>
  <c r="AA25" i="5" s="1"/>
  <c r="V26" i="5"/>
  <c r="Z26" i="5" s="1"/>
  <c r="AA26" i="5" s="1"/>
  <c r="V27" i="5"/>
  <c r="W27" i="5" s="1"/>
  <c r="V28" i="5"/>
  <c r="Z28" i="5" s="1"/>
  <c r="AA28" i="5" s="1"/>
  <c r="V30" i="5"/>
  <c r="Z30" i="5" s="1"/>
  <c r="AA30" i="5" s="1"/>
  <c r="V32" i="5"/>
  <c r="Z32" i="5" s="1"/>
  <c r="AA32" i="5" s="1"/>
  <c r="V36" i="5"/>
  <c r="Z36" i="5" s="1"/>
  <c r="AA36" i="5" s="1"/>
  <c r="V37" i="5"/>
  <c r="Z37" i="5" s="1"/>
  <c r="AA37" i="5" s="1"/>
  <c r="W32" i="5" l="1"/>
  <c r="W10" i="5"/>
  <c r="W37" i="5"/>
  <c r="W22" i="5"/>
  <c r="W28" i="5"/>
  <c r="W6" i="5"/>
  <c r="W26" i="5"/>
  <c r="W36" i="5"/>
  <c r="W21" i="5"/>
  <c r="W16" i="5"/>
  <c r="W5" i="5"/>
  <c r="Z24" i="5"/>
  <c r="AA24" i="5" s="1"/>
  <c r="W20" i="5"/>
  <c r="W17" i="5"/>
  <c r="W25" i="5"/>
  <c r="W30" i="5"/>
  <c r="W18" i="5"/>
  <c r="W9" i="5"/>
  <c r="Z27" i="5"/>
  <c r="AA27" i="5" s="1"/>
  <c r="Z23" i="5"/>
  <c r="AA23" i="5" s="1"/>
  <c r="Z19" i="5"/>
  <c r="AA19" i="5" s="1"/>
  <c r="Z11" i="5"/>
  <c r="AA11" i="5" s="1"/>
  <c r="Z3" i="5"/>
  <c r="AA3" i="5" s="1"/>
  <c r="R10" i="5"/>
  <c r="R11" i="5"/>
  <c r="R27" i="5"/>
  <c r="R28" i="5"/>
  <c r="R30" i="5"/>
  <c r="R16" i="5"/>
  <c r="R17" i="5"/>
  <c r="R18" i="5"/>
  <c r="R19" i="5"/>
  <c r="R20" i="5"/>
  <c r="R21" i="5"/>
  <c r="R22" i="5"/>
  <c r="R26" i="5"/>
  <c r="R32" i="5"/>
  <c r="R36" i="5"/>
  <c r="R24" i="5"/>
  <c r="R25" i="5"/>
  <c r="R23" i="5"/>
  <c r="R2" i="5"/>
  <c r="R3" i="5"/>
  <c r="R5" i="5"/>
  <c r="R6" i="5"/>
  <c r="R9" i="5"/>
  <c r="R37" i="5"/>
  <c r="AD27" i="5" l="1"/>
  <c r="AD29" i="5"/>
  <c r="AD30" i="5"/>
  <c r="AD16" i="5"/>
  <c r="AD17" i="5"/>
  <c r="AD18" i="5"/>
  <c r="AD19" i="5"/>
  <c r="AD26" i="5"/>
  <c r="AD33" i="5"/>
  <c r="AD34" i="5"/>
  <c r="AD35" i="5"/>
  <c r="AD4" i="5"/>
  <c r="AD9" i="5"/>
  <c r="AD10" i="5"/>
  <c r="AD12" i="5"/>
  <c r="AD13" i="5"/>
  <c r="AD14" i="5"/>
  <c r="X28" i="5" l="1"/>
  <c r="X27" i="5"/>
  <c r="X26" i="5"/>
  <c r="X25" i="5"/>
  <c r="X20" i="5"/>
  <c r="X32" i="5"/>
  <c r="Y32" i="5" s="1"/>
  <c r="X36" i="5"/>
  <c r="X19" i="5"/>
  <c r="X18" i="5"/>
  <c r="X17" i="5"/>
  <c r="X16" i="5"/>
  <c r="X24" i="5"/>
  <c r="X5" i="5"/>
  <c r="X3" i="5"/>
  <c r="X2" i="5"/>
  <c r="AH2" i="5" s="1"/>
  <c r="V2" i="5"/>
  <c r="W2" i="5" s="1"/>
  <c r="W16" i="6"/>
  <c r="AE16" i="6" s="1"/>
  <c r="V16" i="6"/>
  <c r="U16" i="6"/>
  <c r="Y16" i="6" s="1"/>
  <c r="Z16" i="6" s="1"/>
  <c r="Z15" i="6"/>
  <c r="Y15" i="6"/>
  <c r="W15" i="6"/>
  <c r="X15" i="6" s="1"/>
  <c r="V15" i="6"/>
  <c r="U15" i="6"/>
  <c r="Y14" i="6"/>
  <c r="Z14" i="6" s="1"/>
  <c r="W14" i="6"/>
  <c r="X14" i="6" s="1"/>
  <c r="U14" i="6"/>
  <c r="V14" i="6" s="1"/>
  <c r="W13" i="6"/>
  <c r="AE13" i="6" s="1"/>
  <c r="U13" i="6"/>
  <c r="V13" i="6" s="1"/>
  <c r="W12" i="6"/>
  <c r="X12" i="6" s="1"/>
  <c r="V12" i="6"/>
  <c r="U12" i="6"/>
  <c r="Y12" i="6" s="1"/>
  <c r="Z12" i="6" s="1"/>
  <c r="W11" i="6"/>
  <c r="X11" i="6" s="1"/>
  <c r="U11" i="6"/>
  <c r="V11" i="6" s="1"/>
  <c r="Z10" i="6"/>
  <c r="W10" i="6"/>
  <c r="AE10" i="6" s="1"/>
  <c r="U10" i="6"/>
  <c r="V10" i="6" s="1"/>
  <c r="Y9" i="6"/>
  <c r="Z9" i="6" s="1"/>
  <c r="W9" i="6"/>
  <c r="X9" i="6" s="1"/>
  <c r="V9" i="6"/>
  <c r="U9" i="6"/>
  <c r="Y8" i="6"/>
  <c r="Z8" i="6" s="1"/>
  <c r="W8" i="6"/>
  <c r="X8" i="6" s="1"/>
  <c r="U8" i="6"/>
  <c r="V8" i="6" s="1"/>
  <c r="Y7" i="6"/>
  <c r="Z7" i="6" s="1"/>
  <c r="X7" i="6"/>
  <c r="W7" i="6"/>
  <c r="AE7" i="6" s="1"/>
  <c r="U7" i="6"/>
  <c r="V7" i="6" s="1"/>
  <c r="Y6" i="6"/>
  <c r="Z6" i="6" s="1"/>
  <c r="W6" i="6"/>
  <c r="X6" i="6" s="1"/>
  <c r="U6" i="6"/>
  <c r="V6" i="6" s="1"/>
  <c r="W5" i="6"/>
  <c r="X5" i="6" s="1"/>
  <c r="U5" i="6"/>
  <c r="Y5" i="6" s="1"/>
  <c r="Z5" i="6" s="1"/>
  <c r="W4" i="6"/>
  <c r="X4" i="6" s="1"/>
  <c r="U4" i="6"/>
  <c r="Y4" i="6" s="1"/>
  <c r="Z4" i="6" s="1"/>
  <c r="X3" i="6"/>
  <c r="W3" i="6"/>
  <c r="AE3" i="6" s="1"/>
  <c r="U3" i="6"/>
  <c r="V3" i="6" s="1"/>
  <c r="W2" i="6"/>
  <c r="AE2" i="6" s="1"/>
  <c r="U2" i="6"/>
  <c r="V2" i="6" s="1"/>
  <c r="V5" i="6" l="1"/>
  <c r="AH25" i="5"/>
  <c r="Y25" i="5"/>
  <c r="AH18" i="5"/>
  <c r="Y18" i="5"/>
  <c r="AH20" i="5"/>
  <c r="Y20" i="5"/>
  <c r="AH19" i="5"/>
  <c r="Y19" i="5"/>
  <c r="Y2" i="5"/>
  <c r="AH16" i="5"/>
  <c r="Y16" i="5"/>
  <c r="AH36" i="5"/>
  <c r="Y36" i="5"/>
  <c r="AH26" i="5"/>
  <c r="Y26" i="5"/>
  <c r="AH5" i="5"/>
  <c r="Y5" i="5"/>
  <c r="AH24" i="5"/>
  <c r="Y24" i="5"/>
  <c r="AH3" i="5"/>
  <c r="Y3" i="5"/>
  <c r="AH17" i="5"/>
  <c r="Y17" i="5"/>
  <c r="AH27" i="5"/>
  <c r="Y27" i="5"/>
  <c r="AH28" i="5"/>
  <c r="Y28" i="5"/>
  <c r="AH32" i="5"/>
  <c r="Z2" i="5"/>
  <c r="AA2" i="5" s="1"/>
  <c r="Y11" i="6"/>
  <c r="Z11" i="6" s="1"/>
  <c r="X2" i="6"/>
  <c r="Y3" i="6"/>
  <c r="Z3" i="6" s="1"/>
  <c r="V4" i="6"/>
  <c r="AE5" i="6"/>
  <c r="AE9" i="6"/>
  <c r="X10" i="6"/>
  <c r="AE12" i="6"/>
  <c r="Y2" i="6"/>
  <c r="Z2" i="6" s="1"/>
  <c r="AE4" i="6"/>
  <c r="AE8" i="6"/>
  <c r="AE11" i="6"/>
  <c r="Y13" i="6"/>
  <c r="Z13" i="6" s="1"/>
  <c r="AE15" i="6"/>
  <c r="X16" i="6"/>
  <c r="AE6" i="6"/>
  <c r="X13" i="6"/>
  <c r="AE14" i="6"/>
  <c r="X4" i="5"/>
  <c r="Y4" i="5" s="1"/>
  <c r="Q4" i="5"/>
  <c r="X33" i="5"/>
  <c r="Y33" i="5" s="1"/>
  <c r="Q33" i="5"/>
  <c r="V33" i="5" s="1"/>
  <c r="L33" i="5"/>
  <c r="X31" i="5"/>
  <c r="Y31" i="5" s="1"/>
  <c r="Q31" i="5"/>
  <c r="V31" i="5" s="1"/>
  <c r="L31" i="5"/>
  <c r="X37" i="5"/>
  <c r="Y37" i="5" s="1"/>
  <c r="X22" i="5"/>
  <c r="X35" i="5"/>
  <c r="Q35" i="5"/>
  <c r="V35" i="5" s="1"/>
  <c r="L35" i="5"/>
  <c r="X34" i="5"/>
  <c r="Q34" i="5"/>
  <c r="V34" i="5" s="1"/>
  <c r="L34" i="5"/>
  <c r="X21" i="5"/>
  <c r="X30" i="5"/>
  <c r="X29" i="5"/>
  <c r="Q29" i="5"/>
  <c r="V29" i="5" s="1"/>
  <c r="X13" i="5"/>
  <c r="Q13" i="5"/>
  <c r="V13" i="5" s="1"/>
  <c r="L13" i="5"/>
  <c r="X12" i="5"/>
  <c r="Q12" i="5"/>
  <c r="V12" i="5" s="1"/>
  <c r="L12" i="5"/>
  <c r="X11" i="5"/>
  <c r="X10" i="5"/>
  <c r="X9" i="5"/>
  <c r="X23" i="5"/>
  <c r="V28" i="7"/>
  <c r="W28" i="7" s="1"/>
  <c r="X28" i="7"/>
  <c r="Y28" i="7" s="1"/>
  <c r="Z28" i="7"/>
  <c r="AA28" i="7"/>
  <c r="W27" i="7"/>
  <c r="X27" i="7" s="1"/>
  <c r="Q27" i="7"/>
  <c r="U27" i="7" s="1"/>
  <c r="W26" i="7"/>
  <c r="X26" i="7" s="1"/>
  <c r="Q26" i="7"/>
  <c r="U26" i="7" s="1"/>
  <c r="AF28" i="7" l="1"/>
  <c r="AH11" i="5"/>
  <c r="Y11" i="5"/>
  <c r="AH29" i="5"/>
  <c r="Y29" i="5"/>
  <c r="AH35" i="5"/>
  <c r="Y35" i="5"/>
  <c r="W31" i="5"/>
  <c r="Z31" i="5"/>
  <c r="AA31" i="5" s="1"/>
  <c r="AH23" i="5"/>
  <c r="Y23" i="5"/>
  <c r="Z13" i="5"/>
  <c r="AA13" i="5" s="1"/>
  <c r="W13" i="5"/>
  <c r="AH30" i="5"/>
  <c r="Y30" i="5"/>
  <c r="AH34" i="5"/>
  <c r="Y34" i="5"/>
  <c r="R4" i="5"/>
  <c r="V4" i="5"/>
  <c r="AH9" i="5"/>
  <c r="Y9" i="5"/>
  <c r="Z12" i="5"/>
  <c r="AA12" i="5" s="1"/>
  <c r="W12" i="5"/>
  <c r="AH13" i="5"/>
  <c r="Y13" i="5"/>
  <c r="AH21" i="5"/>
  <c r="Y21" i="5"/>
  <c r="AH10" i="5"/>
  <c r="Y10" i="5"/>
  <c r="AH12" i="5"/>
  <c r="Y12" i="5"/>
  <c r="Z29" i="5"/>
  <c r="AA29" i="5" s="1"/>
  <c r="W29" i="5"/>
  <c r="W35" i="5"/>
  <c r="Z35" i="5"/>
  <c r="AA35" i="5" s="1"/>
  <c r="Z33" i="5"/>
  <c r="AA33" i="5" s="1"/>
  <c r="W33" i="5"/>
  <c r="W34" i="5"/>
  <c r="Z34" i="5"/>
  <c r="AA34" i="5" s="1"/>
  <c r="AH22" i="5"/>
  <c r="Y22" i="5"/>
  <c r="R12" i="5"/>
  <c r="R29" i="5"/>
  <c r="R31" i="5"/>
  <c r="R13" i="5"/>
  <c r="R34" i="5"/>
  <c r="R35" i="5"/>
  <c r="R33" i="5"/>
  <c r="Y26" i="7"/>
  <c r="Z26" i="7" s="1"/>
  <c r="V26" i="7"/>
  <c r="V27" i="7"/>
  <c r="Y27" i="7"/>
  <c r="Z27" i="7" s="1"/>
  <c r="Q12" i="7"/>
  <c r="L12" i="7"/>
  <c r="W25" i="7"/>
  <c r="X25" i="7" s="1"/>
  <c r="W24" i="7"/>
  <c r="X24" i="7" s="1"/>
  <c r="Q25" i="7"/>
  <c r="U25" i="7" s="1"/>
  <c r="V25" i="7" s="1"/>
  <c r="Q24" i="7"/>
  <c r="U24" i="7" s="1"/>
  <c r="V24" i="7" s="1"/>
  <c r="L25" i="7"/>
  <c r="L24" i="7"/>
  <c r="Y16" i="7"/>
  <c r="Z16" i="7" s="1"/>
  <c r="Y17" i="7"/>
  <c r="Z17" i="7" s="1"/>
  <c r="W17" i="7"/>
  <c r="AE17" i="7" s="1"/>
  <c r="X17" i="7"/>
  <c r="W16" i="7"/>
  <c r="X16" i="7" s="1"/>
  <c r="Q17" i="7"/>
  <c r="U17" i="7" s="1"/>
  <c r="V17" i="7" s="1"/>
  <c r="Q16" i="7"/>
  <c r="U16" i="7" s="1"/>
  <c r="V16" i="7" s="1"/>
  <c r="L17" i="7"/>
  <c r="L16" i="7"/>
  <c r="Q14" i="7"/>
  <c r="U14" i="7" s="1"/>
  <c r="V14" i="7" s="1"/>
  <c r="Q13" i="7"/>
  <c r="U13" i="7" s="1"/>
  <c r="V13" i="7" s="1"/>
  <c r="L14" i="7"/>
  <c r="L13" i="7"/>
  <c r="Q22" i="7"/>
  <c r="U22" i="7" s="1"/>
  <c r="V22" i="7" s="1"/>
  <c r="Q23" i="7"/>
  <c r="U23" i="7" s="1"/>
  <c r="L23" i="7"/>
  <c r="L22" i="7"/>
  <c r="W22" i="7"/>
  <c r="X22" i="7" s="1"/>
  <c r="W23" i="7"/>
  <c r="X23" i="7" s="1"/>
  <c r="Y13" i="7"/>
  <c r="Z13" i="7" s="1"/>
  <c r="Y14" i="7"/>
  <c r="Z14" i="7" s="1"/>
  <c r="W13" i="7"/>
  <c r="X13" i="7" s="1"/>
  <c r="W14" i="7"/>
  <c r="X14" i="7" s="1"/>
  <c r="W20" i="7"/>
  <c r="X20" i="7" s="1"/>
  <c r="W21" i="7"/>
  <c r="X21" i="7" s="1"/>
  <c r="U20" i="7"/>
  <c r="V20" i="7" s="1"/>
  <c r="U21" i="7"/>
  <c r="V21" i="7" s="1"/>
  <c r="W8" i="7"/>
  <c r="AE8" i="7" s="1"/>
  <c r="Y8" i="7"/>
  <c r="Z8" i="7" s="1"/>
  <c r="W9" i="7"/>
  <c r="AE9" i="7" s="1"/>
  <c r="Y9" i="7"/>
  <c r="Z9" i="7" s="1"/>
  <c r="Q9" i="7"/>
  <c r="U9" i="7" s="1"/>
  <c r="V9" i="7" s="1"/>
  <c r="Q8" i="7"/>
  <c r="U8" i="7" s="1"/>
  <c r="V8" i="7" s="1"/>
  <c r="Y6" i="7"/>
  <c r="Z6" i="7" s="1"/>
  <c r="Y7" i="7"/>
  <c r="Z7" i="7" s="1"/>
  <c r="W7" i="7"/>
  <c r="AE7" i="7" s="1"/>
  <c r="W6" i="7"/>
  <c r="X6" i="7" s="1"/>
  <c r="Q7" i="7"/>
  <c r="U7" i="7" s="1"/>
  <c r="V7" i="7" s="1"/>
  <c r="Q6" i="7"/>
  <c r="U6" i="7" s="1"/>
  <c r="V6" i="7" s="1"/>
  <c r="L7" i="7"/>
  <c r="L6" i="7"/>
  <c r="X8" i="7" l="1"/>
  <c r="Z4" i="5"/>
  <c r="AA4" i="5" s="1"/>
  <c r="W4" i="5"/>
  <c r="AE16" i="7"/>
  <c r="Y25" i="7"/>
  <c r="Z25" i="7" s="1"/>
  <c r="Y24" i="7"/>
  <c r="Z24" i="7" s="1"/>
  <c r="Y21" i="7"/>
  <c r="Z21" i="7" s="1"/>
  <c r="Y20" i="7"/>
  <c r="Z20" i="7" s="1"/>
  <c r="Y22" i="7"/>
  <c r="Z22" i="7" s="1"/>
  <c r="V23" i="7"/>
  <c r="Y23" i="7"/>
  <c r="Z23" i="7" s="1"/>
  <c r="AE14" i="7"/>
  <c r="AE13" i="7"/>
  <c r="X9" i="7"/>
  <c r="X7" i="7"/>
  <c r="AE6" i="7"/>
  <c r="W19" i="7"/>
  <c r="X19" i="7" s="1"/>
  <c r="U19" i="7"/>
  <c r="Y19" i="7" s="1"/>
  <c r="Z19" i="7" s="1"/>
  <c r="W18" i="7"/>
  <c r="X18" i="7" s="1"/>
  <c r="U18" i="7"/>
  <c r="Y18" i="7" s="1"/>
  <c r="Z18" i="7" s="1"/>
  <c r="Y15" i="7"/>
  <c r="Z15" i="7" s="1"/>
  <c r="W15" i="7"/>
  <c r="X15" i="7" s="1"/>
  <c r="U15" i="7"/>
  <c r="V15" i="7" s="1"/>
  <c r="Y12" i="7"/>
  <c r="Z12" i="7" s="1"/>
  <c r="W12" i="7"/>
  <c r="AE12" i="7" s="1"/>
  <c r="U12" i="7"/>
  <c r="V12" i="7" s="1"/>
  <c r="W11" i="7"/>
  <c r="X11" i="7" s="1"/>
  <c r="U11" i="7"/>
  <c r="V11" i="7" s="1"/>
  <c r="Y10" i="7"/>
  <c r="Z10" i="7" s="1"/>
  <c r="W10" i="7"/>
  <c r="X10" i="7" s="1"/>
  <c r="U10" i="7"/>
  <c r="V10" i="7" s="1"/>
  <c r="W5" i="7"/>
  <c r="X5" i="7" s="1"/>
  <c r="U5" i="7"/>
  <c r="V5" i="7" s="1"/>
  <c r="Y4" i="7"/>
  <c r="Z4" i="7" s="1"/>
  <c r="W4" i="7"/>
  <c r="X4" i="7" s="1"/>
  <c r="U4" i="7"/>
  <c r="V4" i="7" s="1"/>
  <c r="W3" i="7"/>
  <c r="X3" i="7" s="1"/>
  <c r="U3" i="7"/>
  <c r="Y3" i="7" s="1"/>
  <c r="W2" i="7"/>
  <c r="AE2" i="7" s="1"/>
  <c r="U2" i="7"/>
  <c r="Y2" i="7" s="1"/>
  <c r="Z2" i="7" s="1"/>
  <c r="Q8" i="5"/>
  <c r="Q7" i="5"/>
  <c r="V7" i="5" s="1"/>
  <c r="X8" i="5"/>
  <c r="Y8" i="5" s="1"/>
  <c r="X7" i="5"/>
  <c r="X6" i="5"/>
  <c r="L7" i="5"/>
  <c r="L8" i="5"/>
  <c r="X14" i="5"/>
  <c r="Y14" i="5" s="1"/>
  <c r="X15" i="5"/>
  <c r="Y15" i="5" s="1"/>
  <c r="Q15" i="5"/>
  <c r="Q14" i="5"/>
  <c r="V14" i="5" l="1"/>
  <c r="R14" i="5"/>
  <c r="W7" i="5"/>
  <c r="Z7" i="5"/>
  <c r="AA7" i="5" s="1"/>
  <c r="AH6" i="5"/>
  <c r="Y6" i="5"/>
  <c r="R8" i="5"/>
  <c r="V8" i="5"/>
  <c r="AH7" i="5"/>
  <c r="Y7" i="5"/>
  <c r="V15" i="5"/>
  <c r="R15" i="5"/>
  <c r="R7" i="5"/>
  <c r="X12" i="7"/>
  <c r="V19" i="7"/>
  <c r="X2" i="7"/>
  <c r="V18" i="7"/>
  <c r="AE5" i="7"/>
  <c r="AE11" i="7"/>
  <c r="V3" i="7"/>
  <c r="Z3" i="7" s="1"/>
  <c r="AE4" i="7"/>
  <c r="AE10" i="7"/>
  <c r="AE18" i="7"/>
  <c r="V2" i="7"/>
  <c r="AE3" i="7"/>
  <c r="Y5" i="7"/>
  <c r="Z5" i="7" s="1"/>
  <c r="Y11" i="7"/>
  <c r="Z11" i="7" s="1"/>
  <c r="AE15" i="7"/>
  <c r="AH8" i="5"/>
  <c r="Z8" i="5" l="1"/>
  <c r="AA8" i="5" s="1"/>
  <c r="W8" i="5"/>
  <c r="W15" i="5"/>
  <c r="Z15" i="5"/>
  <c r="AA15" i="5" s="1"/>
  <c r="W14" i="5"/>
  <c r="Z14" i="5"/>
  <c r="AA14" i="5" s="1"/>
  <c r="L15" i="5"/>
  <c r="L14" i="5"/>
  <c r="P11" i="3" l="1"/>
  <c r="R11" i="3" s="1"/>
  <c r="X10" i="3"/>
  <c r="P10" i="3"/>
  <c r="R10" i="3" s="1"/>
  <c r="P5" i="3"/>
  <c r="R5" i="3" s="1"/>
  <c r="X5" i="3"/>
  <c r="X4" i="3"/>
  <c r="P4" i="3"/>
  <c r="R4" i="3" s="1"/>
  <c r="P12" i="3"/>
  <c r="R12" i="3" s="1"/>
  <c r="J5" i="3"/>
  <c r="M5" i="3" s="1"/>
  <c r="J4" i="3"/>
  <c r="M4" i="3" s="1"/>
  <c r="J11" i="3"/>
  <c r="M11" i="3" s="1"/>
  <c r="J10" i="3"/>
  <c r="M10" i="3" s="1"/>
  <c r="P7" i="3"/>
  <c r="J7" i="3"/>
  <c r="P6" i="3"/>
  <c r="J6" i="3"/>
  <c r="M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4" authorId="0" shapeId="0" xr:uid="{E16ACF76-EA30-2246-A1B1-CE8C6D189C58}">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Y4" authorId="0" shapeId="0" xr:uid="{492B7E32-079E-3E45-AD35-20E064E68B49}">
      <text>
        <r>
          <rPr>
            <b/>
            <sz val="10"/>
            <color rgb="FF000000"/>
            <rFont val="Tahoma"/>
            <family val="2"/>
          </rPr>
          <t>Microsoft Office User:</t>
        </r>
        <r>
          <rPr>
            <sz val="10"/>
            <color rgb="FF000000"/>
            <rFont val="Tahoma"/>
            <family val="2"/>
          </rPr>
          <t xml:space="preserve">
</t>
        </r>
        <r>
          <rPr>
            <sz val="10"/>
            <color rgb="FF000000"/>
            <rFont val="Tahoma"/>
            <family val="2"/>
          </rPr>
          <t xml:space="preserve">Used formula from </t>
        </r>
      </text>
    </comment>
    <comment ref="I6" authorId="0" shapeId="0" xr:uid="{E389452E-0553-994C-B963-785E2B00129E}">
      <text>
        <r>
          <rPr>
            <b/>
            <sz val="10"/>
            <color rgb="FF000000"/>
            <rFont val="Tahoma"/>
            <family val="2"/>
          </rPr>
          <t>Microsoft Office User:</t>
        </r>
        <r>
          <rPr>
            <sz val="10"/>
            <color rgb="FF000000"/>
            <rFont val="Tahoma"/>
            <family val="2"/>
          </rPr>
          <t xml:space="preserve">
</t>
        </r>
        <r>
          <rPr>
            <sz val="10"/>
            <color rgb="FF000000"/>
            <rFont val="Tahoma"/>
            <family val="2"/>
          </rPr>
          <t xml:space="preserve">Conversion based on:
</t>
        </r>
        <r>
          <rPr>
            <sz val="10"/>
            <color rgb="FF000000"/>
            <rFont val="Tahoma"/>
            <family val="2"/>
          </rPr>
          <t xml:space="preserve">SL to FL - Langston paper; FL to TL - Access database
</t>
        </r>
      </text>
    </comment>
    <comment ref="K6" authorId="0" shapeId="0" xr:uid="{3DC488A0-F831-F848-A436-7D67CA46ACAD}">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N6" authorId="0" shapeId="0" xr:uid="{8F89C396-4597-C04F-8065-ABBD3F406249}">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O6" authorId="0" shapeId="0" xr:uid="{9807F982-7238-2940-A943-AA7102C04B62}">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Q6" authorId="0" shapeId="0" xr:uid="{77097411-8D43-E448-AF62-D1A4513AADC0}">
      <text>
        <r>
          <rPr>
            <b/>
            <sz val="10"/>
            <color rgb="FF000000"/>
            <rFont val="Tahoma"/>
            <family val="2"/>
          </rPr>
          <t>Microsoft Office User:</t>
        </r>
        <r>
          <rPr>
            <sz val="10"/>
            <color rgb="FF000000"/>
            <rFont val="Tahoma"/>
            <family val="2"/>
          </rPr>
          <t xml:space="preserve">
</t>
        </r>
        <r>
          <rPr>
            <sz val="10"/>
            <color rgb="FF000000"/>
            <rFont val="Tahoma"/>
            <family val="2"/>
          </rPr>
          <t>Langston 2009 female</t>
        </r>
      </text>
    </comment>
    <comment ref="T6" authorId="0" shapeId="0" xr:uid="{16BB7C42-681A-0D4D-8D68-FA6AEEC0752B}">
      <text>
        <r>
          <rPr>
            <b/>
            <sz val="10"/>
            <color rgb="FF000000"/>
            <rFont val="Tahoma"/>
            <family val="2"/>
          </rPr>
          <t>Microsoft Office User:</t>
        </r>
        <r>
          <rPr>
            <sz val="10"/>
            <color rgb="FF000000"/>
            <rFont val="Tahoma"/>
            <family val="2"/>
          </rPr>
          <t xml:space="preserve">
</t>
        </r>
        <r>
          <rPr>
            <sz val="10"/>
            <color rgb="FF000000"/>
            <rFont val="Tahoma"/>
            <family val="2"/>
          </rPr>
          <t xml:space="preserve">Winston et al 2017
</t>
        </r>
      </text>
    </comment>
    <comment ref="I7" authorId="0" shapeId="0" xr:uid="{60C9784B-D699-204E-B454-376964321EC6}">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N7" authorId="0" shapeId="0" xr:uid="{41E67295-B2A6-034C-8279-84AB6D3F867C}">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O7" authorId="0" shapeId="0" xr:uid="{923BB371-0180-0347-A1B2-C56731174C78}">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R7" authorId="0" shapeId="0" xr:uid="{72D494D7-C43D-CE47-99B4-29EC320BBC1E}">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I8" authorId="0" shapeId="0" xr:uid="{90D84767-3396-214B-82B3-35CA5FFD25EC}">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N8" authorId="0" shapeId="0" xr:uid="{5E042072-E2DA-6948-BCEF-058BC4E57D40}">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O8" authorId="0" shapeId="0" xr:uid="{7598EDFE-F543-284B-A20C-BD4BC174B7C2}">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R8" authorId="0" shapeId="0" xr:uid="{8B70AADE-2028-7348-9842-476991388B3E}">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L14" authorId="0" shapeId="0" xr:uid="{1B24FD5E-8703-7F42-AE98-EB0F391CC094}">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R14" authorId="0" shapeId="0" xr:uid="{C5F71750-CADF-7A48-B4F2-226B00470FF7}">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L15" authorId="0" shapeId="0" xr:uid="{E7B9F70C-B27E-ED43-8101-0E100D2D5661}">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R15" authorId="0" shapeId="0" xr:uid="{83AA4E6A-45AD-4D49-9326-95499E39E5B5}">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L22" authorId="0" shapeId="0" xr:uid="{2F5B06F3-F244-914E-B6F9-5924C9E7A127}">
      <text>
        <r>
          <rPr>
            <b/>
            <sz val="10"/>
            <color rgb="FF000000"/>
            <rFont val="Tahoma"/>
            <family val="2"/>
          </rPr>
          <t>Microsoft Office User:</t>
        </r>
        <r>
          <rPr>
            <sz val="10"/>
            <color rgb="FF000000"/>
            <rFont val="Tahoma"/>
            <family val="2"/>
          </rPr>
          <t xml:space="preserve">
</t>
        </r>
        <r>
          <rPr>
            <sz val="10"/>
            <color rgb="FF000000"/>
            <rFont val="Tahoma"/>
            <family val="2"/>
          </rPr>
          <t xml:space="preserve">conversion formula comes from FishBase -
</t>
        </r>
        <r>
          <rPr>
            <b/>
            <sz val="10"/>
            <color rgb="FF000000"/>
            <rFont val="Calibri"/>
            <family val="2"/>
            <scheme val="minor"/>
          </rPr>
          <t>Manooch, C.S. III and J.C. Potts</t>
        </r>
        <r>
          <rPr>
            <sz val="10"/>
            <color rgb="FF000000"/>
            <rFont val="Calibri"/>
            <family val="2"/>
            <scheme val="minor"/>
          </rPr>
          <t>, 1997. Age, growth, and mortality of greater amberjack, </t>
        </r>
        <r>
          <rPr>
            <i/>
            <sz val="10"/>
            <color rgb="FF000000"/>
            <rFont val="Calibri"/>
            <family val="2"/>
            <scheme val="minor"/>
          </rPr>
          <t>Seriola dumerilli</t>
        </r>
        <r>
          <rPr>
            <sz val="10"/>
            <color rgb="FF000000"/>
            <rFont val="Calibri"/>
            <family val="2"/>
            <scheme val="minor"/>
          </rPr>
          <t>, from the U.S. Gulf of Mexico headboat fishery. Bull. Mar. Sci. 61(3):671-683.</t>
        </r>
        <r>
          <rPr>
            <sz val="10"/>
            <color rgb="FF000000"/>
            <rFont val="Tahoma"/>
            <family val="2"/>
          </rPr>
          <t xml:space="preserve"> - </t>
        </r>
      </text>
    </comment>
    <comment ref="U31" authorId="0" shapeId="0" xr:uid="{1C68490B-5DEA-D44E-BE02-BCB96F85257A}">
      <text>
        <r>
          <rPr>
            <b/>
            <sz val="10"/>
            <color rgb="FF000000"/>
            <rFont val="Tahoma"/>
            <family val="2"/>
          </rPr>
          <t>Microsoft Office User:</t>
        </r>
        <r>
          <rPr>
            <sz val="10"/>
            <color rgb="FF000000"/>
            <rFont val="Tahoma"/>
            <family val="2"/>
          </rPr>
          <t xml:space="preserve">
</t>
        </r>
        <r>
          <rPr>
            <sz val="10"/>
            <color rgb="FF000000"/>
            <rFont val="Tahoma"/>
            <family val="2"/>
          </rPr>
          <t xml:space="preserve">Access	</t>
        </r>
      </text>
    </comment>
    <comment ref="V31" authorId="0" shapeId="0" xr:uid="{B842078A-A917-C149-B7F7-427B6516ECE1}">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33" authorId="0" shapeId="0" xr:uid="{4BBA64A5-6A2B-7043-BC49-3A7C430F4E33}">
      <text>
        <r>
          <rPr>
            <b/>
            <sz val="10"/>
            <color rgb="FF000000"/>
            <rFont val="Tahoma"/>
            <family val="2"/>
          </rPr>
          <t>Microsoft Office User:</t>
        </r>
        <r>
          <rPr>
            <sz val="10"/>
            <color rgb="FF000000"/>
            <rFont val="Tahoma"/>
            <family val="2"/>
          </rPr>
          <t xml:space="preserve">
</t>
        </r>
        <r>
          <rPr>
            <sz val="10"/>
            <color rgb="FF000000"/>
            <rFont val="Tahoma"/>
            <family val="2"/>
          </rPr>
          <t xml:space="preserve">Kulbicki
</t>
        </r>
      </text>
    </comment>
    <comment ref="V33" authorId="0" shapeId="0" xr:uid="{6597680C-68BC-4A42-8621-DE2FA0B25B3C}">
      <text>
        <r>
          <rPr>
            <b/>
            <sz val="10"/>
            <color rgb="FF000000"/>
            <rFont val="Tahoma"/>
            <family val="2"/>
          </rPr>
          <t>Microsoft Office User:</t>
        </r>
        <r>
          <rPr>
            <sz val="10"/>
            <color rgb="FF000000"/>
            <rFont val="Tahoma"/>
            <family val="2"/>
          </rPr>
          <t xml:space="preserve">
</t>
        </r>
        <r>
          <rPr>
            <sz val="10"/>
            <color rgb="FF000000"/>
            <rFont val="Tahoma"/>
            <family val="2"/>
          </rPr>
          <t>Kulbicki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O4" authorId="0" shapeId="0" xr:uid="{99474FFD-B559-454D-AA5F-C91EC46E1AE5}">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X4" authorId="0" shapeId="0" xr:uid="{CEB35834-3C12-734E-8B0A-F852B82B95A9}">
      <text>
        <r>
          <rPr>
            <b/>
            <sz val="10"/>
            <color rgb="FF000000"/>
            <rFont val="Tahoma"/>
            <family val="2"/>
          </rPr>
          <t>Microsoft Office User:</t>
        </r>
        <r>
          <rPr>
            <sz val="10"/>
            <color rgb="FF000000"/>
            <rFont val="Tahoma"/>
            <family val="2"/>
          </rPr>
          <t xml:space="preserve">
</t>
        </r>
        <r>
          <rPr>
            <sz val="10"/>
            <color rgb="FF000000"/>
            <rFont val="Tahoma"/>
            <family val="2"/>
          </rPr>
          <t xml:space="preserve">Used formula from </t>
        </r>
      </text>
    </comment>
    <comment ref="K6" authorId="0" shapeId="0" xr:uid="{304CA35D-7F22-3647-9C48-A0B8FE8A9866}">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L6" authorId="0" shapeId="0" xr:uid="{B097062D-2ABF-5648-9C90-BAD8B740D12A}">
      <text>
        <r>
          <rPr>
            <b/>
            <sz val="10"/>
            <color rgb="FF000000"/>
            <rFont val="Tahoma"/>
            <family val="2"/>
          </rPr>
          <t>Microsoft Office User:</t>
        </r>
        <r>
          <rPr>
            <sz val="10"/>
            <color rgb="FF000000"/>
            <rFont val="Tahoma"/>
            <family val="2"/>
          </rPr>
          <t xml:space="preserve">
</t>
        </r>
        <r>
          <rPr>
            <sz val="10"/>
            <color rgb="FF000000"/>
            <rFont val="Tahoma"/>
            <family val="2"/>
          </rPr>
          <t xml:space="preserve">Conversion based on:
</t>
        </r>
        <r>
          <rPr>
            <sz val="10"/>
            <color rgb="FF000000"/>
            <rFont val="Tahoma"/>
            <family val="2"/>
          </rPr>
          <t xml:space="preserve">SL to FL - Langston paper; FL to TL - Access database
</t>
        </r>
      </text>
    </comment>
    <comment ref="M6" authorId="0" shapeId="0" xr:uid="{CC086B9C-B7ED-2941-B0F4-864FA3B16630}">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N6" authorId="0" shapeId="0" xr:uid="{5999F041-8CAF-D646-91F9-E988F3751719}">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Q6" authorId="0" shapeId="0" xr:uid="{F02C1C74-38B1-1043-9119-08562D9E5374}">
      <text>
        <r>
          <rPr>
            <b/>
            <sz val="10"/>
            <color rgb="FF000000"/>
            <rFont val="Tahoma"/>
            <family val="2"/>
          </rPr>
          <t>Microsoft Office User:</t>
        </r>
        <r>
          <rPr>
            <sz val="10"/>
            <color rgb="FF000000"/>
            <rFont val="Tahoma"/>
            <family val="2"/>
          </rPr>
          <t xml:space="preserve">
</t>
        </r>
        <r>
          <rPr>
            <sz val="10"/>
            <color rgb="FF000000"/>
            <rFont val="Tahoma"/>
            <family val="2"/>
          </rPr>
          <t>Langston 2009 female</t>
        </r>
      </text>
    </comment>
    <comment ref="S6" authorId="0" shapeId="0" xr:uid="{0F4495CA-405D-1840-B9A4-1F41640F3C24}">
      <text>
        <r>
          <rPr>
            <b/>
            <sz val="10"/>
            <color rgb="FF000000"/>
            <rFont val="Tahoma"/>
            <family val="2"/>
          </rPr>
          <t>Microsoft Office User:</t>
        </r>
        <r>
          <rPr>
            <sz val="10"/>
            <color rgb="FF000000"/>
            <rFont val="Tahoma"/>
            <family val="2"/>
          </rPr>
          <t xml:space="preserve">
</t>
        </r>
        <r>
          <rPr>
            <sz val="10"/>
            <color rgb="FF000000"/>
            <rFont val="Tahoma"/>
            <family val="2"/>
          </rPr>
          <t xml:space="preserve">Winston et al 2017
</t>
        </r>
      </text>
    </comment>
    <comment ref="L7" authorId="0" shapeId="0" xr:uid="{199B15F4-91E8-AB45-AF2D-09B9F0B5B1F0}">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M7" authorId="0" shapeId="0" xr:uid="{902BC99A-051E-E14A-9E8C-FFF200D3A095}">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N7" authorId="0" shapeId="0" xr:uid="{3695689F-AA57-5F4A-B3BC-D6986E5229B9}">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O7" authorId="0" shapeId="0" xr:uid="{566A9AA4-F53B-0047-BDF9-4098E7F9A62C}">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L8" authorId="0" shapeId="0" xr:uid="{45F26070-5DF5-D649-AAE4-AF95D34DD857}">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M8" authorId="0" shapeId="0" xr:uid="{7A1E9EB4-2FBA-3844-8FD6-BA25CD336A5D}">
      <text>
        <r>
          <rPr>
            <b/>
            <sz val="10"/>
            <color rgb="FF000000"/>
            <rFont val="Tahoma"/>
            <family val="2"/>
          </rPr>
          <t>Microsoft Office User:</t>
        </r>
        <r>
          <rPr>
            <sz val="10"/>
            <color rgb="FF000000"/>
            <rFont val="Tahoma"/>
            <family val="2"/>
          </rPr>
          <t xml:space="preserve">
</t>
        </r>
        <r>
          <rPr>
            <sz val="10"/>
            <color rgb="FF000000"/>
            <rFont val="Calibri"/>
            <family val="2"/>
          </rPr>
          <t xml:space="preserve">Langston 2009
</t>
        </r>
      </text>
    </comment>
    <comment ref="N8" authorId="0" shapeId="0" xr:uid="{1A731C0E-FC74-8444-BFBA-816F95162963}">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O8" authorId="0" shapeId="0" xr:uid="{F32A19D3-966B-C646-B629-A3B530781427}">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L14" authorId="0" shapeId="0" xr:uid="{C98C45A1-D37C-9C44-BDB5-D2994B764DC0}">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Q14" authorId="0" shapeId="0" xr:uid="{FB4211C2-D9B4-7C45-AC45-B22E8E7B6FCF}">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L15" authorId="0" shapeId="0" xr:uid="{AB749A76-D03A-F54E-ACAF-A1059AA1DCA5}">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Q15" authorId="0" shapeId="0" xr:uid="{42576778-4E38-9341-BF66-2DB212AF835E}">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T31" authorId="0" shapeId="0" xr:uid="{E1888105-6168-934F-8454-316A7774AD33}">
      <text>
        <r>
          <rPr>
            <b/>
            <sz val="10"/>
            <color rgb="FF000000"/>
            <rFont val="Tahoma"/>
            <family val="2"/>
          </rPr>
          <t>Microsoft Office User:</t>
        </r>
        <r>
          <rPr>
            <sz val="10"/>
            <color rgb="FF000000"/>
            <rFont val="Tahoma"/>
            <family val="2"/>
          </rPr>
          <t xml:space="preserve">
</t>
        </r>
        <r>
          <rPr>
            <sz val="10"/>
            <color rgb="FF000000"/>
            <rFont val="Tahoma"/>
            <family val="2"/>
          </rPr>
          <t xml:space="preserve">Access	</t>
        </r>
      </text>
    </comment>
    <comment ref="U31" authorId="0" shapeId="0" xr:uid="{40754AC1-6433-5A4C-B812-522E115CF5E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T33" authorId="0" shapeId="0" xr:uid="{EEE9712E-5224-EC45-A43B-DDBD424C70EF}">
      <text>
        <r>
          <rPr>
            <b/>
            <sz val="10"/>
            <color rgb="FF000000"/>
            <rFont val="Tahoma"/>
            <family val="2"/>
          </rPr>
          <t>Microsoft Office User:</t>
        </r>
        <r>
          <rPr>
            <sz val="10"/>
            <color rgb="FF000000"/>
            <rFont val="Tahoma"/>
            <family val="2"/>
          </rPr>
          <t xml:space="preserve">
</t>
        </r>
        <r>
          <rPr>
            <sz val="10"/>
            <color rgb="FF000000"/>
            <rFont val="Tahoma"/>
            <family val="2"/>
          </rPr>
          <t xml:space="preserve">Kulbicki
</t>
        </r>
      </text>
    </comment>
    <comment ref="U33" authorId="0" shapeId="0" xr:uid="{53B7301C-47BC-A441-9B57-38F9275A579B}">
      <text>
        <r>
          <rPr>
            <b/>
            <sz val="10"/>
            <color rgb="FF000000"/>
            <rFont val="Tahoma"/>
            <family val="2"/>
          </rPr>
          <t>Microsoft Office User:</t>
        </r>
        <r>
          <rPr>
            <sz val="10"/>
            <color rgb="FF000000"/>
            <rFont val="Tahoma"/>
            <family val="2"/>
          </rPr>
          <t xml:space="preserve">
</t>
        </r>
        <r>
          <rPr>
            <sz val="10"/>
            <color rgb="FF000000"/>
            <rFont val="Tahoma"/>
            <family val="2"/>
          </rPr>
          <t>Kulbicki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S22" authorId="0" shapeId="0" xr:uid="{A58F2CC5-D590-2A4F-BF84-479A6B63F7DB}">
      <text>
        <r>
          <rPr>
            <b/>
            <sz val="10"/>
            <color rgb="FF000000"/>
            <rFont val="Tahoma"/>
            <family val="2"/>
          </rPr>
          <t>Microsoft Office User:</t>
        </r>
        <r>
          <rPr>
            <sz val="10"/>
            <color rgb="FF000000"/>
            <rFont val="Tahoma"/>
            <family val="2"/>
          </rPr>
          <t xml:space="preserve">
</t>
        </r>
        <r>
          <rPr>
            <sz val="10"/>
            <color rgb="FF000000"/>
            <rFont val="Tahoma"/>
            <family val="2"/>
          </rPr>
          <t xml:space="preserve">Access	</t>
        </r>
      </text>
    </comment>
    <comment ref="T22" authorId="0" shapeId="0" xr:uid="{1AEE9525-330E-1243-94F8-09B2ACAC200F}">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S23" authorId="0" shapeId="0" xr:uid="{2491344A-2497-074B-A701-0AD629347BED}">
      <text>
        <r>
          <rPr>
            <b/>
            <sz val="10"/>
            <color rgb="FF000000"/>
            <rFont val="Tahoma"/>
            <family val="2"/>
          </rPr>
          <t>Microsoft Office User:</t>
        </r>
        <r>
          <rPr>
            <sz val="10"/>
            <color rgb="FF000000"/>
            <rFont val="Tahoma"/>
            <family val="2"/>
          </rPr>
          <t xml:space="preserve">
</t>
        </r>
        <r>
          <rPr>
            <sz val="10"/>
            <color rgb="FF000000"/>
            <rFont val="Tahoma"/>
            <family val="2"/>
          </rPr>
          <t xml:space="preserve">Access	</t>
        </r>
      </text>
    </comment>
    <comment ref="T23" authorId="0" shapeId="0" xr:uid="{9E47AE24-2406-F94E-8A57-EB5DBDC09B12}">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S24" authorId="0" shapeId="0" xr:uid="{1B635975-17E6-2F47-8BBF-941AE9A84AA2}">
      <text>
        <r>
          <rPr>
            <b/>
            <sz val="10"/>
            <color rgb="FF000000"/>
            <rFont val="Tahoma"/>
            <family val="2"/>
          </rPr>
          <t>Microsoft Office User:</t>
        </r>
        <r>
          <rPr>
            <sz val="10"/>
            <color rgb="FF000000"/>
            <rFont val="Tahoma"/>
            <family val="2"/>
          </rPr>
          <t xml:space="preserve">
</t>
        </r>
        <r>
          <rPr>
            <sz val="10"/>
            <color rgb="FF000000"/>
            <rFont val="Tahoma"/>
            <family val="2"/>
          </rPr>
          <t>Kulbicki</t>
        </r>
      </text>
    </comment>
    <comment ref="T24" authorId="0" shapeId="0" xr:uid="{89A64F95-D7FB-6A44-825E-1C590465637D}">
      <text>
        <r>
          <rPr>
            <b/>
            <sz val="10"/>
            <color rgb="FF000000"/>
            <rFont val="Tahoma"/>
            <family val="2"/>
          </rPr>
          <t>Microsoft Office User:</t>
        </r>
        <r>
          <rPr>
            <sz val="10"/>
            <color rgb="FF000000"/>
            <rFont val="Tahoma"/>
            <family val="2"/>
          </rPr>
          <t xml:space="preserve">
</t>
        </r>
        <r>
          <rPr>
            <sz val="10"/>
            <color rgb="FF000000"/>
            <rFont val="Tahoma"/>
            <family val="2"/>
          </rPr>
          <t>Kulbicki</t>
        </r>
      </text>
    </comment>
    <comment ref="S25" authorId="0" shapeId="0" xr:uid="{0479F278-BA10-DE4F-87B8-212C2C94798E}">
      <text>
        <r>
          <rPr>
            <b/>
            <sz val="10"/>
            <color rgb="FF000000"/>
            <rFont val="Tahoma"/>
            <family val="2"/>
          </rPr>
          <t>Microsoft Office User:</t>
        </r>
        <r>
          <rPr>
            <sz val="10"/>
            <color rgb="FF000000"/>
            <rFont val="Tahoma"/>
            <family val="2"/>
          </rPr>
          <t xml:space="preserve">
</t>
        </r>
        <r>
          <rPr>
            <sz val="10"/>
            <color rgb="FF000000"/>
            <rFont val="Tahoma"/>
            <family val="2"/>
          </rPr>
          <t xml:space="preserve">Kulbicki
</t>
        </r>
      </text>
    </comment>
    <comment ref="T25" authorId="0" shapeId="0" xr:uid="{A05AF819-9D4E-BB42-A10B-37173E522B87}">
      <text>
        <r>
          <rPr>
            <b/>
            <sz val="10"/>
            <color rgb="FF000000"/>
            <rFont val="Tahoma"/>
            <family val="2"/>
          </rPr>
          <t>Microsoft Office User:</t>
        </r>
        <r>
          <rPr>
            <sz val="10"/>
            <color rgb="FF000000"/>
            <rFont val="Tahoma"/>
            <family val="2"/>
          </rPr>
          <t xml:space="preserve">
</t>
        </r>
        <r>
          <rPr>
            <sz val="10"/>
            <color rgb="FF000000"/>
            <rFont val="Tahoma"/>
            <family val="2"/>
          </rPr>
          <t>Kulbicki</t>
        </r>
      </text>
    </comment>
    <comment ref="O26" authorId="0" shapeId="0" xr:uid="{2CA15D0C-01A8-4A49-92DE-04F63B96A180}">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O27" authorId="0" shapeId="0" xr:uid="{9EEE44C8-48BC-7144-A135-D47EB429E758}">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T10" authorId="0" shapeId="0" xr:uid="{C11FEBF6-B85E-F348-9468-471D8555A354}">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0" authorId="0" shapeId="0" xr:uid="{96BD27EA-4216-A44F-8D45-ADBEB06CEF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M12" authorId="0" shapeId="0" xr:uid="{732161FF-7E2F-F143-B792-DB9E1DBDCADF}">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N12" authorId="0" shapeId="0" xr:uid="{74260AD9-B926-234F-B101-616A61596D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O12" authorId="0" shapeId="0" xr:uid="{B022F5B4-AD1B-B741-8989-5F02E5B2EF4B}">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T12" authorId="0" shapeId="0" xr:uid="{E407F040-467D-274F-9AC2-4FB67618E078}">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2" authorId="0" shapeId="0" xr:uid="{BB984CB6-5A5A-ED48-BF8E-816CE99B3CD3}">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List>
</comments>
</file>

<file path=xl/sharedStrings.xml><?xml version="1.0" encoding="utf-8"?>
<sst xmlns="http://schemas.openxmlformats.org/spreadsheetml/2006/main" count="1354" uniqueCount="351">
  <si>
    <t>Species</t>
  </si>
  <si>
    <t>LINF_FL</t>
  </si>
  <si>
    <t>LINF_SL</t>
  </si>
  <si>
    <t>K</t>
  </si>
  <si>
    <t>LMAT_FL</t>
  </si>
  <si>
    <t>LMAT_SL</t>
  </si>
  <si>
    <t>LMAT_TL</t>
  </si>
  <si>
    <t>Acanthuridae</t>
  </si>
  <si>
    <t>Acanthurus blochii</t>
  </si>
  <si>
    <t>Acanthurus dussumieri</t>
  </si>
  <si>
    <t>Acanthurus xanthopterus</t>
  </si>
  <si>
    <t>Ctenochaetus strigosus</t>
  </si>
  <si>
    <t>Kole</t>
  </si>
  <si>
    <t>Naso brevirostris</t>
  </si>
  <si>
    <t>Kala</t>
  </si>
  <si>
    <t>Naso hexacanthus</t>
  </si>
  <si>
    <t>Naso lituratus</t>
  </si>
  <si>
    <t>Naso unicornis</t>
  </si>
  <si>
    <t>Zebrasoma flavescens</t>
  </si>
  <si>
    <t>Carangidae</t>
  </si>
  <si>
    <t>Caranx ignobilis</t>
  </si>
  <si>
    <t>Caranx lugubris</t>
  </si>
  <si>
    <t>Caranx melampygus</t>
  </si>
  <si>
    <t>Caranx sexfasciatus</t>
  </si>
  <si>
    <t>Elagatis bipinnulata</t>
  </si>
  <si>
    <t>Pseudocaranx dentex</t>
  </si>
  <si>
    <t>Seriola dumerili</t>
  </si>
  <si>
    <t>Holocentridae</t>
  </si>
  <si>
    <t>Myripristis berndti</t>
  </si>
  <si>
    <t>Lutjanidae</t>
  </si>
  <si>
    <t>Aprion virescens</t>
  </si>
  <si>
    <t>Lutjanus kasmira</t>
  </si>
  <si>
    <t>Mugilidae</t>
  </si>
  <si>
    <t>Mugil cephalus</t>
  </si>
  <si>
    <t>Mullidae</t>
  </si>
  <si>
    <t>Mulloidichthys flavolineatus</t>
  </si>
  <si>
    <t>Mulloidichthys vanicolensis</t>
  </si>
  <si>
    <t>Parupeneus multifasciatus</t>
  </si>
  <si>
    <t>Moano</t>
  </si>
  <si>
    <t>Parupeneus porphyreus</t>
  </si>
  <si>
    <t>Scaridae</t>
  </si>
  <si>
    <t>Chlorurus sordidus</t>
  </si>
  <si>
    <t>Scarus psittacus</t>
  </si>
  <si>
    <t>Uhu</t>
  </si>
  <si>
    <t>Scarus rubroviolaceus</t>
  </si>
  <si>
    <t>Serranidae</t>
  </si>
  <si>
    <t>Cephalopholis argus</t>
  </si>
  <si>
    <t>Sphyraenidae</t>
  </si>
  <si>
    <t>Sphyraena barracuda</t>
  </si>
  <si>
    <t>Linf</t>
  </si>
  <si>
    <t>L50</t>
  </si>
  <si>
    <t>L95</t>
  </si>
  <si>
    <t>SL50</t>
  </si>
  <si>
    <t>SL95</t>
  </si>
  <si>
    <t>SPR</t>
  </si>
  <si>
    <t>BinWidth</t>
  </si>
  <si>
    <t>CurrentLc</t>
  </si>
  <si>
    <t>Nadon_F</t>
  </si>
  <si>
    <t>Nadon_F/M</t>
  </si>
  <si>
    <t>TL_TO_FL-Access</t>
  </si>
  <si>
    <t>Chlorurus spilurus</t>
  </si>
  <si>
    <t>Parrotfishes</t>
  </si>
  <si>
    <t>Surgeonfishes</t>
  </si>
  <si>
    <t>Goatfishes</t>
  </si>
  <si>
    <t>Snappers</t>
  </si>
  <si>
    <t>Jacks</t>
  </si>
  <si>
    <t>Ringtail Surgeonfish</t>
  </si>
  <si>
    <t>Pualu</t>
  </si>
  <si>
    <t>Eyestriped Surgeonfish</t>
  </si>
  <si>
    <t>Palani</t>
  </si>
  <si>
    <t>Yellowfin Surgeonfish</t>
  </si>
  <si>
    <t>Green Jobfish</t>
  </si>
  <si>
    <t>Uku</t>
  </si>
  <si>
    <t>Giant Trevally</t>
  </si>
  <si>
    <t>Sea basses</t>
  </si>
  <si>
    <t>Squirrelfishes</t>
  </si>
  <si>
    <t>Albula glossodonta</t>
  </si>
  <si>
    <t>Albula virgata</t>
  </si>
  <si>
    <t>Donovan et al 2015</t>
  </si>
  <si>
    <t>Ecology and niche specialization of two bonefish species in Hawai'i</t>
  </si>
  <si>
    <t>Chromis verater</t>
  </si>
  <si>
    <t>Dascyllus albisella</t>
  </si>
  <si>
    <t>Winston et al 2017</t>
  </si>
  <si>
    <t>Intraspecific variability in the life histories of endemic coral-reef fishes between photic and mesophotic depths across the Central Pacific Ocean</t>
  </si>
  <si>
    <t>Chlorurus perspicillatus</t>
  </si>
  <si>
    <t>Author/Year</t>
  </si>
  <si>
    <t>Title</t>
  </si>
  <si>
    <t>Donovan et al 2013</t>
  </si>
  <si>
    <t xml:space="preserve">Demartini et al 2018 </t>
  </si>
  <si>
    <t>LINF_TL</t>
  </si>
  <si>
    <t>t0</t>
  </si>
  <si>
    <t>a</t>
  </si>
  <si>
    <t>b</t>
  </si>
  <si>
    <t>M</t>
  </si>
  <si>
    <t>Demographic patterns in the peacock grouper (Cephalopholis argus), an introduced Hawaiian reef fish</t>
  </si>
  <si>
    <t>Max_Age</t>
  </si>
  <si>
    <t>Comparative growth, age at maturity and sex change, and longevity of Hawaiian parrotfishes, with bomb radiocarbon validation</t>
  </si>
  <si>
    <t>Acanthurus triostegus sandvicensis</t>
  </si>
  <si>
    <t>Participatory fishery monitoring is successful for understanding the reproductive biology needed for local fisheries management</t>
  </si>
  <si>
    <t>Schemmel &amp; Friedlander 2016</t>
  </si>
  <si>
    <t>Secondary Author/Year</t>
  </si>
  <si>
    <t>Secondary Title</t>
  </si>
  <si>
    <t>Demartini &amp; Howard 2016</t>
  </si>
  <si>
    <t>Comparisons of body sizes at sexual maturity and at sex change in the parrotfishes of Hawaii: input needed for management regulations and stock assessments</t>
  </si>
  <si>
    <t>Length at maturity (female; before becoming male)</t>
  </si>
  <si>
    <t>172 FL</t>
  </si>
  <si>
    <t>We don't have length at maturity information</t>
  </si>
  <si>
    <t>Data Location</t>
  </si>
  <si>
    <t>North Kona</t>
  </si>
  <si>
    <t>Main Hawaiian Islands - Shallow</t>
  </si>
  <si>
    <t>Oahu</t>
  </si>
  <si>
    <t xml:space="preserve">Hawaii </t>
  </si>
  <si>
    <t>Roi</t>
  </si>
  <si>
    <t>Kamanu</t>
  </si>
  <si>
    <t>Ama'ama</t>
  </si>
  <si>
    <t>Kala Lolo</t>
  </si>
  <si>
    <t>Butaguchi</t>
  </si>
  <si>
    <t>Kahala</t>
  </si>
  <si>
    <t>Bullethead Parrotfish</t>
  </si>
  <si>
    <t>Black Trevally</t>
  </si>
  <si>
    <t>Bluefin Trevally</t>
  </si>
  <si>
    <t>Bigeye Trevally</t>
  </si>
  <si>
    <t>Peacock Grouper</t>
  </si>
  <si>
    <t>Goldring Surgeonfish</t>
  </si>
  <si>
    <t>Rainbow Runner</t>
  </si>
  <si>
    <t>Bluestipe Snapper</t>
  </si>
  <si>
    <t>Striped Mullet</t>
  </si>
  <si>
    <t>Yellowstripe Goatfish</t>
  </si>
  <si>
    <t>Yellowfin Goatfish</t>
  </si>
  <si>
    <t>Bigscale Soldierfish</t>
  </si>
  <si>
    <t>Paletail Unicornfish</t>
  </si>
  <si>
    <t>Sleek Unicornfish</t>
  </si>
  <si>
    <t>Orangespine Unicornfish</t>
  </si>
  <si>
    <t>Manybar Goatfish</t>
  </si>
  <si>
    <t>Whitesaddle Goatfish</t>
  </si>
  <si>
    <t>Thick Lipped Jack</t>
  </si>
  <si>
    <t>Palenose Parrotfish</t>
  </si>
  <si>
    <t>Redlip Parrotfish</t>
  </si>
  <si>
    <t>Greater Amberjack</t>
  </si>
  <si>
    <t>Great Barracuda</t>
  </si>
  <si>
    <t>Yellow Tang</t>
  </si>
  <si>
    <t>Barracudas</t>
  </si>
  <si>
    <t>Mullets</t>
  </si>
  <si>
    <t>common_family</t>
  </si>
  <si>
    <t>common_name</t>
  </si>
  <si>
    <t>hawaii_name</t>
  </si>
  <si>
    <t>science_family</t>
  </si>
  <si>
    <t>species</t>
  </si>
  <si>
    <t>M/K</t>
  </si>
  <si>
    <t>LW_A</t>
  </si>
  <si>
    <t>LW_B</t>
  </si>
  <si>
    <t>SPR_Nadon</t>
  </si>
  <si>
    <t>Sample Size</t>
  </si>
  <si>
    <t>Status</t>
  </si>
  <si>
    <t>Don't Include</t>
  </si>
  <si>
    <t>Don't Include - Hawaii Wide matches Access Database</t>
  </si>
  <si>
    <t>Size Range</t>
  </si>
  <si>
    <t>65-176 mm SL</t>
  </si>
  <si>
    <t>?? (emailed)</t>
  </si>
  <si>
    <t>not listed?</t>
  </si>
  <si>
    <t>10.4-67 cm FL</t>
  </si>
  <si>
    <t>10-66.5 cm FL</t>
  </si>
  <si>
    <t>‘Ū’ū</t>
  </si>
  <si>
    <t>Kākū</t>
  </si>
  <si>
    <t>Bluespine Unicornfish</t>
  </si>
  <si>
    <t>Kūmū</t>
  </si>
  <si>
    <t>Lau’ipala</t>
  </si>
  <si>
    <t xml:space="preserve">Ulua lā’uli </t>
  </si>
  <si>
    <t>sex</t>
  </si>
  <si>
    <t>Source (if not Access database)</t>
  </si>
  <si>
    <t>Notes</t>
  </si>
  <si>
    <t>Assigned to research (ie male v female)</t>
  </si>
  <si>
    <t>Manini</t>
  </si>
  <si>
    <t>Convict Tang</t>
  </si>
  <si>
    <t>male</t>
  </si>
  <si>
    <t>female</t>
  </si>
  <si>
    <t>Schemmel &amp; Friedlander 2016 = No differences between female and male size were found in North Kona. Manini in North Kona were on average 0.88 cm larger than North Kauai and 0.77 cm larger than Maunalua. Longenecker 2008 (Access) = same vonBertalanffy curve used for male and female</t>
  </si>
  <si>
    <t>Bonefishes</t>
  </si>
  <si>
    <t>Longjaw Bonefish</t>
  </si>
  <si>
    <t>‘Ō'io</t>
  </si>
  <si>
    <t>TL_TO_FL</t>
  </si>
  <si>
    <t>TL_TO_SL</t>
  </si>
  <si>
    <t>LONG</t>
  </si>
  <si>
    <t>Pake ulua</t>
  </si>
  <si>
    <t>‘Ōmilu</t>
  </si>
  <si>
    <t>‘Ōpelu kala</t>
  </si>
  <si>
    <t>Ta'ape</t>
  </si>
  <si>
    <t>Uhu pālukaluka</t>
  </si>
  <si>
    <t>Ulua aukea</t>
  </si>
  <si>
    <t>Umauma lei</t>
  </si>
  <si>
    <t>Weke 'ula</t>
  </si>
  <si>
    <t>Weke’ā</t>
  </si>
  <si>
    <t>Shortjaw Bonefish</t>
  </si>
  <si>
    <t>Linf and LMAT are in Fork Length</t>
  </si>
  <si>
    <t>Erin</t>
  </si>
  <si>
    <t>Bill</t>
  </si>
  <si>
    <t>Spectacled Parrotfish</t>
  </si>
  <si>
    <t>Uhu-uliuli</t>
  </si>
  <si>
    <t>Pacific Daisy Parrotfish</t>
  </si>
  <si>
    <t>Access (Langston 2009)</t>
  </si>
  <si>
    <t>Male v Female</t>
  </si>
  <si>
    <t>N/A</t>
  </si>
  <si>
    <t>Access (Andrews 2016)</t>
  </si>
  <si>
    <t>was combined in Access - used larger female parameters</t>
  </si>
  <si>
    <t>No histological evidence of hermaphroditism. Males larger than females.</t>
  </si>
  <si>
    <t>Access (Longenecker)</t>
  </si>
  <si>
    <t>was combined in Access - used average</t>
  </si>
  <si>
    <t>Access (Claisse 2009)</t>
  </si>
  <si>
    <t>was combined in Access - used average and female parameters</t>
  </si>
  <si>
    <t>LMAT_TL from Claisse 2009</t>
  </si>
  <si>
    <t>LMAT_TL from Claisse 2010</t>
  </si>
  <si>
    <t>DeMartini</t>
  </si>
  <si>
    <t>Longevitey LONG</t>
  </si>
  <si>
    <t>small</t>
  </si>
  <si>
    <t>large</t>
  </si>
  <si>
    <t>median ages at sexual maturity as females (Am50)</t>
  </si>
  <si>
    <t>pooling for management seems inapproptiate, especially for the two large species. Age-based metrics more informative than size-based.</t>
  </si>
  <si>
    <t>sexes pooled</t>
  </si>
  <si>
    <t>sexes analyzed separately</t>
  </si>
  <si>
    <t>age at sex change (from female to terminal phase male Atriangle50)</t>
  </si>
  <si>
    <t>LINF</t>
  </si>
  <si>
    <t>k</t>
  </si>
  <si>
    <t>532 FL</t>
  </si>
  <si>
    <t>344 FL</t>
  </si>
  <si>
    <t>535 FL</t>
  </si>
  <si>
    <t>327 FL</t>
  </si>
  <si>
    <t>350 FL</t>
  </si>
  <si>
    <t>starts out female becomes male at age ~7</t>
  </si>
  <si>
    <t>starts out female becomes male at age ~8</t>
  </si>
  <si>
    <t>DeMartini 2018</t>
  </si>
  <si>
    <t>DeMartini 2016</t>
  </si>
  <si>
    <t>initial female maturation (Lm50)</t>
  </si>
  <si>
    <t>2018 paper</t>
  </si>
  <si>
    <t>males diandric</t>
  </si>
  <si>
    <t>139 FL</t>
  </si>
  <si>
    <t>345 FL</t>
  </si>
  <si>
    <t>combined Access</t>
  </si>
  <si>
    <t>DeMartini et al 2018/Demartini &amp; Howard 2016</t>
  </si>
  <si>
    <t>DeMartini et al 2018/Demartini &amp; Howard 2016 (length-weight = Kulbicki)</t>
  </si>
  <si>
    <t>combined Demartini</t>
  </si>
  <si>
    <t>hermaph</t>
  </si>
  <si>
    <t>Ctenochaetus strigosus - male</t>
  </si>
  <si>
    <t>Ctenochaetus strigosus - female</t>
  </si>
  <si>
    <t>DEMARTINI 2016 &amp; 2018 NOTES</t>
  </si>
  <si>
    <t>Naso unicornis - male</t>
  </si>
  <si>
    <t>Naso unicornis - female</t>
  </si>
  <si>
    <t>Sexes were separated in papers, combined here</t>
  </si>
  <si>
    <t>Hermaph</t>
  </si>
  <si>
    <t>Uku 2020 stock assessment NOAA</t>
  </si>
  <si>
    <t>Fixed typo in Access Linf=256</t>
  </si>
  <si>
    <t>LVB changed to Iwaski 1995 within Molony 2008</t>
  </si>
  <si>
    <t>CurrentLc_mm</t>
  </si>
  <si>
    <t>CurrentLc_in</t>
  </si>
  <si>
    <t>Lm_in</t>
  </si>
  <si>
    <t>CurrentLc_in_label</t>
  </si>
  <si>
    <t>14 inches</t>
  </si>
  <si>
    <t>7 inches</t>
  </si>
  <si>
    <t>10 inches</t>
  </si>
  <si>
    <t>11 inches</t>
  </si>
  <si>
    <t>12 inches</t>
  </si>
  <si>
    <t>5  inches</t>
  </si>
  <si>
    <t>16 inches</t>
  </si>
  <si>
    <t>Albulidae</t>
  </si>
  <si>
    <t>TL sex change length (Ltriangle50)</t>
  </si>
  <si>
    <t>FL sex change length (Ltriangle50)</t>
  </si>
  <si>
    <t>Pualu - Acanthurus blochii - Ringtail Surgeonfish</t>
  </si>
  <si>
    <t>Palani - Acanthurus dussumieri - Eyestriped Surgeonfish</t>
  </si>
  <si>
    <t>Manini - Acanthurus triostegus sandvicensis - Convict Tang</t>
  </si>
  <si>
    <t>Pualu - Acanthurus xanthopterus - Yellowfin Surgeonfish</t>
  </si>
  <si>
    <t>Kole - Ctenochaetus strigosus - Goldring Surgeonfish</t>
  </si>
  <si>
    <t>Kala Lolo - Naso brevirostris - Paletail Unicornfish</t>
  </si>
  <si>
    <t>‘Ōpelu kala - Naso hexacanthus - Sleek Unicornfish</t>
  </si>
  <si>
    <t>Umauma lei - Naso lituratus - Orangespine Unicornfish</t>
  </si>
  <si>
    <t>‘Ō'io - Albula glossodonta - Shortjaw Bonefish</t>
  </si>
  <si>
    <t>‘Ō'io - Albula virgata - Longjaw Bonefish</t>
  </si>
  <si>
    <t>Ulua aukea - Caranx ignobilis - Giant Trevally</t>
  </si>
  <si>
    <t>Ulua lā’uli  - Caranx lugubris - Black Trevally</t>
  </si>
  <si>
    <t>‘Ōmilu - Caranx melampygus - Bluefin Trevally</t>
  </si>
  <si>
    <t>Pake ulua - Caranx sexfasciatus - Bigeye Trevally</t>
  </si>
  <si>
    <t>Kamanu - Elagatis bipinnulata - Rainbow Runner</t>
  </si>
  <si>
    <t>Butaguchi - Pseudocaranx dentex - Thick Lipped Jack</t>
  </si>
  <si>
    <t>Kahala - Seriola dumerili - Greater Amberjack</t>
  </si>
  <si>
    <t>‘Ū’ū - Myripristis berndti - Bigscale Soldierfish</t>
  </si>
  <si>
    <t>Uku - Aprion virescens - Green Jobfish</t>
  </si>
  <si>
    <t>Ta'ape - Lutjanus kasmira - Bluestipe Snapper</t>
  </si>
  <si>
    <t>Ama'ama - Mugil cephalus - Striped Mullet</t>
  </si>
  <si>
    <t>Weke’ā - Mulloidichthys flavolineatus - Yellowstripe Goatfish</t>
  </si>
  <si>
    <t>Weke 'ula - Mulloidichthys vanicolensis - Yellowfin Goatfish</t>
  </si>
  <si>
    <t>Moano - Parupeneus multifasciatus - Manybar Goatfish</t>
  </si>
  <si>
    <t>Kūmū - Parupeneus porphyreus - Whitesaddle Goatfish</t>
  </si>
  <si>
    <t>Uhu-uliuli - Chlorurus perspicillatus - Spectacled Parrotfish</t>
  </si>
  <si>
    <t>Uhu - Chlorurus sordidus - Bullethead Parrotfish</t>
  </si>
  <si>
    <t>Uhu - Scarus psittacus - Palenose Parrotfish</t>
  </si>
  <si>
    <t>Uhu pālukaluka - Scarus rubroviolaceus - Redlip Parrotfish</t>
  </si>
  <si>
    <t>Roi - Cephalopholis argus - Peacock Grouper</t>
  </si>
  <si>
    <t>Kākū - Sphyraena barracuda - Great Barracuda</t>
  </si>
  <si>
    <t>Uhu - Chlorurus spilurus - Pacific Daisy Parrotfish</t>
  </si>
  <si>
    <t>Kole - Ctenochaetus strigosus - Goldring Surgeonfish (female)</t>
  </si>
  <si>
    <t>Kole - Ctenochaetus strigosus - Goldring Surgeonfish (male)</t>
  </si>
  <si>
    <t>Kala - Naso unicornis - Bluespine Unicornfish (male)</t>
  </si>
  <si>
    <t>Kala - Naso unicornis - Bluespine Unicornfish (female)</t>
  </si>
  <si>
    <t>Kaʻūpūlehu Species</t>
  </si>
  <si>
    <t>Linf_FL</t>
  </si>
  <si>
    <t>Hawaiian Name</t>
  </si>
  <si>
    <t>Common Name</t>
  </si>
  <si>
    <t>Scientific Name</t>
  </si>
  <si>
    <t>10 in</t>
  </si>
  <si>
    <t>11 in</t>
  </si>
  <si>
    <t>6 in</t>
  </si>
  <si>
    <t>17 in</t>
  </si>
  <si>
    <t>3 in</t>
  </si>
  <si>
    <t xml:space="preserve">4 in </t>
  </si>
  <si>
    <t>20 in</t>
  </si>
  <si>
    <t>8 in</t>
  </si>
  <si>
    <t xml:space="preserve">12 in </t>
  </si>
  <si>
    <t xml:space="preserve">14 in </t>
  </si>
  <si>
    <t xml:space="preserve">17 in </t>
  </si>
  <si>
    <t xml:space="preserve">29 in </t>
  </si>
  <si>
    <t xml:space="preserve">15 in </t>
  </si>
  <si>
    <t xml:space="preserve">18 in </t>
  </si>
  <si>
    <t>25 in</t>
  </si>
  <si>
    <t xml:space="preserve">31 in </t>
  </si>
  <si>
    <t xml:space="preserve">8 in </t>
  </si>
  <si>
    <t>7 in</t>
  </si>
  <si>
    <t>9 in</t>
  </si>
  <si>
    <t>5 in</t>
  </si>
  <si>
    <t>13 in</t>
  </si>
  <si>
    <t>15 in</t>
  </si>
  <si>
    <t>24 in</t>
  </si>
  <si>
    <t xml:space="preserve">10 in </t>
  </si>
  <si>
    <t>19 in</t>
  </si>
  <si>
    <t>26 in</t>
  </si>
  <si>
    <t>22 in</t>
  </si>
  <si>
    <t>77 in</t>
  </si>
  <si>
    <t>32 in</t>
  </si>
  <si>
    <t>40 in</t>
  </si>
  <si>
    <t>31 in</t>
  </si>
  <si>
    <t>37 in</t>
  </si>
  <si>
    <t>49 in</t>
  </si>
  <si>
    <t>44 in</t>
  </si>
  <si>
    <t>30 in</t>
  </si>
  <si>
    <t xml:space="preserve">9 in </t>
  </si>
  <si>
    <t>12 in</t>
  </si>
  <si>
    <t xml:space="preserve">19 in </t>
  </si>
  <si>
    <t>21 in</t>
  </si>
  <si>
    <t>14 in</t>
  </si>
  <si>
    <t>16 in</t>
  </si>
  <si>
    <t>Current Minimum Size Limit (DAR Regulation)</t>
  </si>
  <si>
    <t>Length at Maturity</t>
  </si>
  <si>
    <t>Mean Maximum Length</t>
  </si>
  <si>
    <t>Linf_FL_in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</si>
</sst>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0000000"/>
    <numFmt numFmtId="167" formatCode="0.000000"/>
    <numFmt numFmtId="168" formatCode="0.0"/>
  </numFmts>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9"/>
      <color theme="1"/>
      <name val="SwiftNeueLTPro"/>
    </font>
    <font>
      <sz val="10"/>
      <color theme="1"/>
      <name val="TimesLTStd"/>
    </font>
    <font>
      <sz val="10"/>
      <color rgb="FF000000"/>
      <name val="Calibri"/>
      <family val="2"/>
    </font>
    <font>
      <sz val="12"/>
      <color rgb="FF000000"/>
      <name val="Calibri"/>
      <family val="2"/>
      <scheme val="minor"/>
    </font>
    <font>
      <b/>
      <sz val="10"/>
      <color rgb="FF000000"/>
      <name val="Calibri"/>
      <family val="2"/>
      <scheme val="minor"/>
    </font>
    <font>
      <i/>
      <sz val="10"/>
      <color rgb="FF00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E2EFDA"/>
        <bgColor rgb="FF000000"/>
      </patternFill>
    </fill>
    <fill>
      <patternFill patternType="solid">
        <fgColor rgb="FFDDEBF7"/>
        <bgColor rgb="FF000000"/>
      </patternFill>
    </fill>
    <fill>
      <patternFill patternType="solid">
        <fgColor theme="6" tint="0.59999389629810485"/>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0" fillId="0" borderId="0" xfId="0" applyFill="1"/>
    <xf numFmtId="0" fontId="0" fillId="33" borderId="0" xfId="0" applyFill="1"/>
    <xf numFmtId="164" fontId="0" fillId="0" borderId="0" xfId="0" applyNumberFormat="1" applyFill="1"/>
    <xf numFmtId="2" fontId="0" fillId="0" borderId="0" xfId="0" applyNumberFormat="1" applyFill="1"/>
    <xf numFmtId="165" fontId="0" fillId="0" borderId="0" xfId="0" applyNumberFormat="1" applyFill="1"/>
    <xf numFmtId="166" fontId="0" fillId="0" borderId="0" xfId="0" applyNumberFormat="1" applyFill="1"/>
    <xf numFmtId="0" fontId="0" fillId="34" borderId="0" xfId="0" applyFill="1"/>
    <xf numFmtId="0" fontId="0" fillId="35" borderId="0" xfId="0" applyFill="1"/>
    <xf numFmtId="166" fontId="0" fillId="35" borderId="0" xfId="0" applyNumberFormat="1" applyFill="1"/>
    <xf numFmtId="0" fontId="16" fillId="0" borderId="0" xfId="0" applyFont="1" applyFill="1"/>
    <xf numFmtId="0" fontId="18" fillId="0" borderId="0" xfId="0" applyFont="1" applyFill="1"/>
    <xf numFmtId="0" fontId="0" fillId="36" borderId="0" xfId="0" applyFill="1"/>
    <xf numFmtId="0" fontId="0" fillId="37" borderId="0" xfId="0" applyFill="1"/>
    <xf numFmtId="0" fontId="0" fillId="38" borderId="0" xfId="0" applyFill="1"/>
    <xf numFmtId="0" fontId="0" fillId="38" borderId="0" xfId="0" applyFill="1" applyAlignment="1">
      <alignment horizontal="center"/>
    </xf>
    <xf numFmtId="0" fontId="0" fillId="33" borderId="0" xfId="0" applyFont="1" applyFill="1"/>
    <xf numFmtId="0" fontId="0" fillId="0" borderId="0" xfId="0" applyFont="1"/>
    <xf numFmtId="0" fontId="0" fillId="0" borderId="0" xfId="0" applyFont="1" applyFill="1"/>
    <xf numFmtId="0" fontId="0" fillId="0" borderId="0" xfId="0" quotePrefix="1" applyFont="1"/>
    <xf numFmtId="0" fontId="0" fillId="39" borderId="0" xfId="0" applyFont="1" applyFill="1"/>
    <xf numFmtId="0" fontId="0" fillId="39" borderId="0" xfId="0" applyFill="1"/>
    <xf numFmtId="165" fontId="0" fillId="39" borderId="0" xfId="0" applyNumberFormat="1" applyFill="1"/>
    <xf numFmtId="166" fontId="0" fillId="39" borderId="0" xfId="0" applyNumberFormat="1" applyFill="1"/>
    <xf numFmtId="0" fontId="0" fillId="0" borderId="0" xfId="0" applyFill="1" applyAlignment="1">
      <alignment horizontal="center" wrapText="1"/>
    </xf>
    <xf numFmtId="0" fontId="22" fillId="0" borderId="0" xfId="0" applyFont="1"/>
    <xf numFmtId="0" fontId="23" fillId="0" borderId="0" xfId="0" applyFont="1"/>
    <xf numFmtId="164" fontId="0" fillId="33" borderId="0" xfId="0" applyNumberFormat="1" applyFill="1"/>
    <xf numFmtId="165" fontId="0" fillId="33" borderId="0" xfId="0" applyNumberFormat="1" applyFill="1"/>
    <xf numFmtId="166" fontId="0" fillId="33" borderId="0" xfId="0" applyNumberFormat="1" applyFill="1"/>
    <xf numFmtId="1" fontId="0" fillId="33" borderId="0" xfId="0" applyNumberFormat="1" applyFill="1"/>
    <xf numFmtId="0" fontId="0" fillId="40" borderId="0" xfId="0" applyFont="1" applyFill="1"/>
    <xf numFmtId="0" fontId="0" fillId="40" borderId="0" xfId="0" applyFill="1"/>
    <xf numFmtId="164" fontId="0" fillId="40" borderId="0" xfId="0" applyNumberFormat="1" applyFill="1"/>
    <xf numFmtId="165" fontId="0" fillId="40" borderId="0" xfId="0" applyNumberFormat="1" applyFill="1"/>
    <xf numFmtId="166" fontId="0" fillId="40" borderId="0" xfId="0" applyNumberFormat="1" applyFill="1"/>
    <xf numFmtId="1" fontId="0" fillId="40" borderId="0" xfId="0" applyNumberFormat="1" applyFill="1"/>
    <xf numFmtId="0" fontId="0" fillId="37" borderId="0" xfId="0" applyFont="1" applyFill="1"/>
    <xf numFmtId="0" fontId="0" fillId="38" borderId="0" xfId="0" applyFont="1" applyFill="1"/>
    <xf numFmtId="164" fontId="0" fillId="38" borderId="0" xfId="0" applyNumberFormat="1" applyFill="1"/>
    <xf numFmtId="165" fontId="0" fillId="38" borderId="0" xfId="0" applyNumberFormat="1" applyFill="1"/>
    <xf numFmtId="166" fontId="0" fillId="38" borderId="0" xfId="0" applyNumberFormat="1" applyFill="1"/>
    <xf numFmtId="0" fontId="25" fillId="0" borderId="0" xfId="0" applyFont="1"/>
    <xf numFmtId="0" fontId="25" fillId="41" borderId="0" xfId="0" applyFont="1" applyFill="1"/>
    <xf numFmtId="0" fontId="25" fillId="42" borderId="0" xfId="0" applyFont="1" applyFill="1"/>
    <xf numFmtId="1" fontId="0" fillId="0" borderId="0" xfId="0" applyNumberFormat="1" applyFill="1"/>
    <xf numFmtId="0" fontId="0" fillId="43" borderId="0" xfId="0" applyFill="1"/>
    <xf numFmtId="167" fontId="0" fillId="0" borderId="0" xfId="0" applyNumberFormat="1" applyFill="1"/>
    <xf numFmtId="1" fontId="25" fillId="0" borderId="0" xfId="0" applyNumberFormat="1" applyFont="1"/>
    <xf numFmtId="168" fontId="0" fillId="0" borderId="0" xfId="0" applyNumberFormat="1"/>
    <xf numFmtId="0" fontId="0" fillId="44" borderId="0" xfId="0" applyFill="1"/>
    <xf numFmtId="0" fontId="0" fillId="44" borderId="0" xfId="0" applyFont="1" applyFill="1"/>
    <xf numFmtId="0" fontId="0" fillId="0" borderId="0" xfId="0" applyFill="1" applyAlignment="1">
      <alignment horizontal="center" wrapText="1"/>
    </xf>
    <xf numFmtId="0" fontId="0" fillId="0" borderId="0" xfId="0" applyFill="1" applyAlignment="1">
      <alignment horizontal="center"/>
    </xf>
    <xf numFmtId="0" fontId="25" fillId="0" borderId="0" xfId="0" applyFont="1" applyAlignment="1">
      <alignment horizontal="center"/>
    </xf>
    <xf numFmtId="0" fontId="25"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B5F2-EA51-9440-882A-38D0D32106C7}">
  <dimension ref="A1:AU37"/>
  <sheetViews>
    <sheetView tabSelected="1" zoomScaleNormal="100" workbookViewId="0">
      <selection activeCell="M10" sqref="M10"/>
    </sheetView>
  </sheetViews>
  <sheetFormatPr baseColWidth="10" defaultColWidth="14.1640625" defaultRowHeight="16"/>
  <cols>
    <col min="1" max="13" width="14.1640625" style="1"/>
    <col min="14" max="14" width="14.33203125" style="1" customWidth="1"/>
    <col min="15" max="19" width="14.1640625" style="1"/>
    <col min="20" max="44" width="14.1640625" style="1" customWidth="1"/>
    <col min="45" max="16384" width="14.1640625" style="1"/>
  </cols>
  <sheetData>
    <row r="1" spans="1:47">
      <c r="A1" s="18" t="s">
        <v>143</v>
      </c>
      <c r="B1" s="18" t="s">
        <v>144</v>
      </c>
      <c r="C1" s="18" t="s">
        <v>145</v>
      </c>
      <c r="D1" s="18" t="s">
        <v>146</v>
      </c>
      <c r="E1" s="18" t="s">
        <v>147</v>
      </c>
      <c r="F1" s="18" t="s">
        <v>168</v>
      </c>
      <c r="G1" s="1" t="s">
        <v>240</v>
      </c>
      <c r="H1" s="1" t="s">
        <v>180</v>
      </c>
      <c r="I1" s="1" t="s">
        <v>89</v>
      </c>
      <c r="J1" s="1" t="s">
        <v>181</v>
      </c>
      <c r="K1" s="1" t="s">
        <v>2</v>
      </c>
      <c r="L1" s="2" t="s">
        <v>302</v>
      </c>
      <c r="M1" s="2" t="s">
        <v>350</v>
      </c>
      <c r="N1" s="2" t="s">
        <v>3</v>
      </c>
      <c r="O1" s="2" t="s">
        <v>90</v>
      </c>
      <c r="P1" s="1" t="s">
        <v>5</v>
      </c>
      <c r="Q1" s="1" t="s">
        <v>6</v>
      </c>
      <c r="R1" s="2" t="s">
        <v>4</v>
      </c>
      <c r="S1" s="2" t="s">
        <v>253</v>
      </c>
      <c r="T1" s="2" t="s">
        <v>182</v>
      </c>
      <c r="U1" s="2" t="s">
        <v>149</v>
      </c>
      <c r="V1" s="2" t="s">
        <v>150</v>
      </c>
      <c r="W1" s="2" t="s">
        <v>50</v>
      </c>
      <c r="X1" s="2" t="s">
        <v>51</v>
      </c>
      <c r="Y1" s="2" t="s">
        <v>93</v>
      </c>
      <c r="Z1" s="2" t="s">
        <v>148</v>
      </c>
      <c r="AA1" s="16" t="s">
        <v>52</v>
      </c>
      <c r="AB1" s="16" t="s">
        <v>53</v>
      </c>
      <c r="AC1" s="2" t="s">
        <v>54</v>
      </c>
      <c r="AD1" s="2" t="s">
        <v>55</v>
      </c>
      <c r="AE1" s="1" t="s">
        <v>251</v>
      </c>
      <c r="AF1" s="1" t="s">
        <v>252</v>
      </c>
      <c r="AG1" s="1" t="s">
        <v>254</v>
      </c>
      <c r="AH1" s="13" t="s">
        <v>57</v>
      </c>
      <c r="AI1" s="13" t="s">
        <v>58</v>
      </c>
      <c r="AJ1" s="13" t="s">
        <v>151</v>
      </c>
      <c r="AK1" s="7" t="s">
        <v>169</v>
      </c>
      <c r="AL1" s="7" t="s">
        <v>170</v>
      </c>
      <c r="AM1" s="7" t="s">
        <v>171</v>
      </c>
      <c r="AN1" s="7" t="s">
        <v>200</v>
      </c>
      <c r="AO1" s="50" t="s">
        <v>301</v>
      </c>
      <c r="AP1" s="51" t="s">
        <v>303</v>
      </c>
      <c r="AQ1" s="51" t="s">
        <v>304</v>
      </c>
      <c r="AR1" s="51" t="s">
        <v>305</v>
      </c>
      <c r="AS1" s="50" t="s">
        <v>348</v>
      </c>
      <c r="AT1" s="51" t="s">
        <v>349</v>
      </c>
      <c r="AU1" s="50" t="s">
        <v>347</v>
      </c>
    </row>
    <row r="2" spans="1:47">
      <c r="A2" s="18" t="s">
        <v>62</v>
      </c>
      <c r="B2" s="17" t="s">
        <v>66</v>
      </c>
      <c r="C2" s="18" t="s">
        <v>67</v>
      </c>
      <c r="D2" s="18" t="s">
        <v>7</v>
      </c>
      <c r="E2" s="18" t="s">
        <v>8</v>
      </c>
      <c r="F2" s="18"/>
      <c r="G2" s="1" t="b">
        <v>0</v>
      </c>
      <c r="H2" s="1">
        <v>0.93</v>
      </c>
      <c r="I2" s="45"/>
      <c r="J2" s="1">
        <v>0.76</v>
      </c>
      <c r="K2" s="1">
        <v>276</v>
      </c>
      <c r="L2" s="1">
        <f>K2/J2*H2</f>
        <v>337.73684210526318</v>
      </c>
      <c r="M2" s="45">
        <f>L2/25.4</f>
        <v>13.296726067136346</v>
      </c>
      <c r="N2" s="3">
        <v>0.25</v>
      </c>
      <c r="O2" s="3">
        <v>-0.38</v>
      </c>
      <c r="P2" s="1">
        <v>210</v>
      </c>
      <c r="R2" s="1">
        <f>P2/J2*H2</f>
        <v>256.97368421052636</v>
      </c>
      <c r="S2" s="45">
        <f>R2/25.4</f>
        <v>10.117074181516786</v>
      </c>
      <c r="T2" s="1">
        <v>35</v>
      </c>
      <c r="U2" s="47">
        <v>2.5059999999999999E-2</v>
      </c>
      <c r="V2" s="47">
        <v>3.03193</v>
      </c>
      <c r="W2" s="45">
        <f>R2</f>
        <v>256.97368421052636</v>
      </c>
      <c r="X2" s="45">
        <f t="shared" ref="X2:X37" si="0">W2+1</f>
        <v>257.97368421052636</v>
      </c>
      <c r="Y2" s="4">
        <f>-(LN(0.04))/T2</f>
        <v>9.196788071052002E-2</v>
      </c>
      <c r="Z2" s="1">
        <f t="shared" ref="Z2:Z37" si="1">Y2/N2</f>
        <v>0.36787152284208008</v>
      </c>
      <c r="AA2" s="45">
        <f t="shared" ref="AA2:AA37" si="2">W2</f>
        <v>256.97368421052636</v>
      </c>
      <c r="AB2" s="45">
        <f t="shared" ref="AB2:AB37" si="3">AA2+1</f>
        <v>257.97368421052636</v>
      </c>
      <c r="AC2" s="1">
        <v>0.4</v>
      </c>
      <c r="AD2" s="1">
        <v>5</v>
      </c>
      <c r="AH2">
        <v>0.27</v>
      </c>
      <c r="AI2">
        <f>AH2/Y2</f>
        <v>2.9358075657941662</v>
      </c>
      <c r="AJ2" s="1">
        <v>0.16</v>
      </c>
      <c r="AM2" s="1" t="s">
        <v>195</v>
      </c>
      <c r="AO2" s="1" t="s">
        <v>265</v>
      </c>
      <c r="AP2" s="18" t="s">
        <v>67</v>
      </c>
      <c r="AQ2" s="17" t="s">
        <v>66</v>
      </c>
      <c r="AR2" s="18" t="s">
        <v>8</v>
      </c>
      <c r="AS2" s="45" t="s">
        <v>306</v>
      </c>
      <c r="AT2" s="45" t="s">
        <v>326</v>
      </c>
    </row>
    <row r="3" spans="1:47">
      <c r="A3" s="18" t="s">
        <v>62</v>
      </c>
      <c r="B3" s="18" t="s">
        <v>68</v>
      </c>
      <c r="C3" s="18" t="s">
        <v>69</v>
      </c>
      <c r="D3" s="18" t="s">
        <v>7</v>
      </c>
      <c r="E3" s="18" t="s">
        <v>9</v>
      </c>
      <c r="F3" s="18"/>
      <c r="G3" s="1" t="b">
        <v>0</v>
      </c>
      <c r="H3" s="1">
        <v>1</v>
      </c>
      <c r="I3" s="45"/>
      <c r="J3" s="1">
        <v>0.83</v>
      </c>
      <c r="K3" s="1">
        <v>308</v>
      </c>
      <c r="L3" s="1">
        <f>K3/J3*H3</f>
        <v>371.08433734939763</v>
      </c>
      <c r="M3" s="45">
        <f t="shared" ref="M3:M37" si="4">L3/25.4</f>
        <v>14.609619580684948</v>
      </c>
      <c r="N3" s="3">
        <v>0.29599999999999999</v>
      </c>
      <c r="O3" s="3">
        <v>-0.28999999999999998</v>
      </c>
      <c r="P3" s="1">
        <v>234</v>
      </c>
      <c r="R3" s="1">
        <f>P3/J3*H3</f>
        <v>281.92771084337352</v>
      </c>
      <c r="S3" s="45">
        <f t="shared" ref="S3:S37" si="5">R3/25.4</f>
        <v>11.099516174935966</v>
      </c>
      <c r="T3" s="1">
        <v>28</v>
      </c>
      <c r="U3" s="47">
        <v>2.5100000000000001E-2</v>
      </c>
      <c r="V3" s="47">
        <v>3.032</v>
      </c>
      <c r="W3" s="45">
        <f t="shared" ref="W3:W37" si="6">R3</f>
        <v>281.92771084337352</v>
      </c>
      <c r="X3" s="45">
        <f t="shared" si="0"/>
        <v>282.92771084337352</v>
      </c>
      <c r="Y3" s="4">
        <f>-(LN(0.04))/T3</f>
        <v>0.11495985088815001</v>
      </c>
      <c r="Z3" s="1">
        <f t="shared" si="1"/>
        <v>0.38837787462212847</v>
      </c>
      <c r="AA3" s="45">
        <f t="shared" si="2"/>
        <v>281.92771084337352</v>
      </c>
      <c r="AB3" s="45">
        <f t="shared" si="3"/>
        <v>282.92771084337352</v>
      </c>
      <c r="AC3" s="1">
        <v>0.4</v>
      </c>
      <c r="AD3" s="1">
        <v>5</v>
      </c>
      <c r="AH3">
        <v>0.18</v>
      </c>
      <c r="AI3">
        <f>AH3/Y3</f>
        <v>1.5657640350902218</v>
      </c>
      <c r="AJ3" s="1">
        <v>0.32</v>
      </c>
      <c r="AM3" s="1" t="s">
        <v>195</v>
      </c>
      <c r="AO3" s="1" t="s">
        <v>266</v>
      </c>
      <c r="AP3" s="18" t="s">
        <v>69</v>
      </c>
      <c r="AQ3" s="18" t="s">
        <v>68</v>
      </c>
      <c r="AR3" s="18" t="s">
        <v>9</v>
      </c>
      <c r="AS3" s="45" t="s">
        <v>307</v>
      </c>
      <c r="AT3" s="45" t="s">
        <v>327</v>
      </c>
    </row>
    <row r="4" spans="1:47">
      <c r="A4" s="18" t="s">
        <v>62</v>
      </c>
      <c r="B4" s="18" t="s">
        <v>173</v>
      </c>
      <c r="C4" s="18" t="s">
        <v>172</v>
      </c>
      <c r="D4" s="18" t="s">
        <v>7</v>
      </c>
      <c r="E4" s="18" t="s">
        <v>97</v>
      </c>
      <c r="F4" s="1" t="s">
        <v>175</v>
      </c>
      <c r="G4" s="1" t="b">
        <v>0</v>
      </c>
      <c r="H4" s="1">
        <v>0.87</v>
      </c>
      <c r="I4" s="45">
        <v>203</v>
      </c>
      <c r="J4" s="1">
        <v>0.97</v>
      </c>
      <c r="L4" s="1">
        <f>I4*H4</f>
        <v>176.60999999999999</v>
      </c>
      <c r="M4" s="45">
        <f t="shared" si="4"/>
        <v>6.9531496062992124</v>
      </c>
      <c r="N4" s="3">
        <v>1.4308000000000001</v>
      </c>
      <c r="O4" s="3">
        <v>5.11E-2</v>
      </c>
      <c r="R4" s="1">
        <v>156</v>
      </c>
      <c r="S4" s="45">
        <f t="shared" si="5"/>
        <v>6.1417322834645676</v>
      </c>
      <c r="T4" s="46"/>
      <c r="U4" s="47">
        <v>8.3059999999999995E-2</v>
      </c>
      <c r="V4" s="47">
        <v>2.56968</v>
      </c>
      <c r="W4" s="45">
        <f t="shared" si="6"/>
        <v>156</v>
      </c>
      <c r="X4" s="45">
        <f t="shared" si="0"/>
        <v>157</v>
      </c>
      <c r="Y4" s="4">
        <f>(4.118*(N4)^0.73)*(L4^-0.33)</f>
        <v>0.96993787054155822</v>
      </c>
      <c r="Z4" s="1">
        <f t="shared" si="1"/>
        <v>0.67789898695943396</v>
      </c>
      <c r="AA4" s="45">
        <f t="shared" si="2"/>
        <v>156</v>
      </c>
      <c r="AB4" s="45">
        <f t="shared" si="3"/>
        <v>157</v>
      </c>
      <c r="AC4" s="1">
        <v>0.4</v>
      </c>
      <c r="AD4" s="1">
        <v>5</v>
      </c>
      <c r="AE4" s="1">
        <f>25.4*AF4</f>
        <v>127</v>
      </c>
      <c r="AF4" s="1">
        <v>5</v>
      </c>
      <c r="AG4" s="1" t="s">
        <v>260</v>
      </c>
      <c r="AK4" s="1" t="s">
        <v>99</v>
      </c>
      <c r="AL4" s="18" t="s">
        <v>176</v>
      </c>
      <c r="AO4" s="1" t="s">
        <v>267</v>
      </c>
      <c r="AP4" s="18" t="s">
        <v>172</v>
      </c>
      <c r="AQ4" s="18" t="s">
        <v>173</v>
      </c>
      <c r="AR4" s="18" t="s">
        <v>97</v>
      </c>
      <c r="AS4" s="45" t="s">
        <v>308</v>
      </c>
      <c r="AT4" s="45" t="s">
        <v>323</v>
      </c>
      <c r="AU4" s="1" t="s">
        <v>325</v>
      </c>
    </row>
    <row r="5" spans="1:47">
      <c r="A5" s="18" t="s">
        <v>62</v>
      </c>
      <c r="B5" s="18" t="s">
        <v>70</v>
      </c>
      <c r="C5" s="18" t="s">
        <v>67</v>
      </c>
      <c r="D5" s="18" t="s">
        <v>7</v>
      </c>
      <c r="E5" s="18" t="s">
        <v>10</v>
      </c>
      <c r="F5" s="18"/>
      <c r="G5" s="1" t="b">
        <v>0</v>
      </c>
      <c r="H5" s="1">
        <v>0.87</v>
      </c>
      <c r="I5" s="45"/>
      <c r="J5" s="1">
        <v>0.74</v>
      </c>
      <c r="K5" s="1">
        <v>426</v>
      </c>
      <c r="L5" s="1">
        <f>K5/J5*H5</f>
        <v>500.83783783783787</v>
      </c>
      <c r="M5" s="45">
        <f t="shared" si="4"/>
        <v>19.7180251117259</v>
      </c>
      <c r="N5" s="3">
        <v>0.28699999999999998</v>
      </c>
      <c r="O5" s="3">
        <v>-0.21</v>
      </c>
      <c r="P5" s="1">
        <v>367</v>
      </c>
      <c r="R5" s="1">
        <f>P5/J5*H5</f>
        <v>431.47297297297297</v>
      </c>
      <c r="S5" s="45">
        <f t="shared" si="5"/>
        <v>16.987124920195786</v>
      </c>
      <c r="T5" s="1">
        <v>34</v>
      </c>
      <c r="U5" s="47">
        <v>2.673E-2</v>
      </c>
      <c r="V5" s="47">
        <v>2.9844900000000001</v>
      </c>
      <c r="W5" s="45">
        <f t="shared" si="6"/>
        <v>431.47297297297297</v>
      </c>
      <c r="X5" s="45">
        <f t="shared" si="0"/>
        <v>432.47297297297297</v>
      </c>
      <c r="Y5" s="4">
        <f t="shared" ref="Y5:Y37" si="7">-(LN(0.04))/T5</f>
        <v>9.4672818378476492E-2</v>
      </c>
      <c r="Z5" s="1">
        <f t="shared" si="1"/>
        <v>0.32987044731176479</v>
      </c>
      <c r="AA5" s="45">
        <f t="shared" si="2"/>
        <v>431.47297297297297</v>
      </c>
      <c r="AB5" s="45">
        <f t="shared" si="3"/>
        <v>432.47297297297297</v>
      </c>
      <c r="AC5" s="1">
        <v>0.4</v>
      </c>
      <c r="AD5" s="1">
        <v>5</v>
      </c>
      <c r="AH5"/>
      <c r="AI5">
        <f t="shared" ref="AI5:AI13" si="8">AH5/Y5</f>
        <v>0</v>
      </c>
      <c r="AM5" s="1" t="s">
        <v>195</v>
      </c>
      <c r="AO5" s="1" t="s">
        <v>268</v>
      </c>
      <c r="AP5" s="18" t="s">
        <v>67</v>
      </c>
      <c r="AQ5" s="18" t="s">
        <v>70</v>
      </c>
      <c r="AR5" s="18" t="s">
        <v>10</v>
      </c>
      <c r="AS5" s="45" t="s">
        <v>309</v>
      </c>
      <c r="AT5" s="45" t="s">
        <v>312</v>
      </c>
    </row>
    <row r="6" spans="1:47">
      <c r="A6" s="18" t="s">
        <v>62</v>
      </c>
      <c r="B6" s="18" t="s">
        <v>123</v>
      </c>
      <c r="C6" s="18" t="s">
        <v>12</v>
      </c>
      <c r="D6" s="18" t="s">
        <v>7</v>
      </c>
      <c r="E6" s="18" t="s">
        <v>11</v>
      </c>
      <c r="G6" s="18" t="b">
        <v>0</v>
      </c>
      <c r="H6" s="1">
        <v>0.94</v>
      </c>
      <c r="I6" s="45"/>
      <c r="K6" s="1">
        <v>145.19999999999999</v>
      </c>
      <c r="L6" s="1">
        <f>0.9706+(K6*1.2158)</f>
        <v>177.50475999999998</v>
      </c>
      <c r="M6" s="45">
        <f t="shared" si="4"/>
        <v>6.988376377952755</v>
      </c>
      <c r="N6" s="3">
        <v>0.42299999999999999</v>
      </c>
      <c r="O6" s="3">
        <v>-0.51</v>
      </c>
      <c r="Q6" s="45">
        <v>89.36</v>
      </c>
      <c r="R6" s="1">
        <f>Q6*H6</f>
        <v>83.99839999999999</v>
      </c>
      <c r="S6" s="45">
        <f t="shared" si="5"/>
        <v>3.307023622047244</v>
      </c>
      <c r="T6" s="1">
        <v>39</v>
      </c>
      <c r="U6" s="47">
        <v>2.2000000000000001E-3</v>
      </c>
      <c r="V6" s="47">
        <v>3</v>
      </c>
      <c r="W6" s="45">
        <f t="shared" si="6"/>
        <v>83.99839999999999</v>
      </c>
      <c r="X6" s="45">
        <f t="shared" si="0"/>
        <v>84.99839999999999</v>
      </c>
      <c r="Y6" s="4">
        <f t="shared" si="7"/>
        <v>8.2535277560723097E-2</v>
      </c>
      <c r="Z6" s="1">
        <f t="shared" si="1"/>
        <v>0.19511885948161489</v>
      </c>
      <c r="AA6" s="45">
        <f t="shared" si="2"/>
        <v>83.99839999999999</v>
      </c>
      <c r="AB6" s="45">
        <f t="shared" si="3"/>
        <v>84.99839999999999</v>
      </c>
      <c r="AC6" s="1">
        <v>0.4</v>
      </c>
      <c r="AD6" s="1">
        <v>5</v>
      </c>
      <c r="AI6" s="1">
        <f t="shared" si="8"/>
        <v>0</v>
      </c>
      <c r="AK6" s="1" t="s">
        <v>82</v>
      </c>
      <c r="AO6" s="1" t="s">
        <v>269</v>
      </c>
      <c r="AP6" s="18" t="s">
        <v>12</v>
      </c>
      <c r="AQ6" s="18" t="s">
        <v>123</v>
      </c>
      <c r="AR6" s="18" t="s">
        <v>11</v>
      </c>
      <c r="AS6" s="45" t="s">
        <v>310</v>
      </c>
      <c r="AT6" s="45" t="s">
        <v>323</v>
      </c>
    </row>
    <row r="7" spans="1:47">
      <c r="A7" s="18" t="s">
        <v>62</v>
      </c>
      <c r="B7" s="18" t="s">
        <v>123</v>
      </c>
      <c r="C7" s="18" t="s">
        <v>12</v>
      </c>
      <c r="D7" s="18" t="s">
        <v>7</v>
      </c>
      <c r="E7" s="18" t="s">
        <v>242</v>
      </c>
      <c r="F7" s="1" t="s">
        <v>175</v>
      </c>
      <c r="G7" s="18" t="b">
        <v>0</v>
      </c>
      <c r="H7" s="1">
        <v>0.94</v>
      </c>
      <c r="I7" s="45"/>
      <c r="L7" s="1">
        <v>114.64</v>
      </c>
      <c r="M7" s="45">
        <f t="shared" si="4"/>
        <v>4.5133858267716542</v>
      </c>
      <c r="N7" s="3">
        <v>0.65529599999999999</v>
      </c>
      <c r="O7" s="3">
        <v>-1.28111</v>
      </c>
      <c r="R7" s="1">
        <v>84</v>
      </c>
      <c r="S7" s="45">
        <f t="shared" si="5"/>
        <v>3.3070866141732287</v>
      </c>
      <c r="T7" s="1">
        <v>18</v>
      </c>
      <c r="U7" s="47">
        <v>2.2000000000000001E-3</v>
      </c>
      <c r="V7" s="47">
        <v>3</v>
      </c>
      <c r="W7" s="45">
        <f t="shared" si="6"/>
        <v>84</v>
      </c>
      <c r="X7" s="45">
        <f t="shared" si="0"/>
        <v>85</v>
      </c>
      <c r="Y7" s="4">
        <f t="shared" si="7"/>
        <v>0.17882643471490003</v>
      </c>
      <c r="Z7" s="1">
        <f t="shared" si="1"/>
        <v>0.27289413442917404</v>
      </c>
      <c r="AA7" s="45">
        <f t="shared" si="2"/>
        <v>84</v>
      </c>
      <c r="AB7" s="45">
        <f t="shared" si="3"/>
        <v>85</v>
      </c>
      <c r="AC7" s="1">
        <v>0.4</v>
      </c>
      <c r="AD7" s="1">
        <v>5</v>
      </c>
      <c r="AI7" s="1">
        <f t="shared" si="8"/>
        <v>0</v>
      </c>
      <c r="AK7" s="1" t="s">
        <v>199</v>
      </c>
      <c r="AO7" s="1" t="s">
        <v>297</v>
      </c>
      <c r="AP7" s="18" t="s">
        <v>12</v>
      </c>
      <c r="AQ7" s="18" t="s">
        <v>123</v>
      </c>
      <c r="AR7" s="18" t="s">
        <v>242</v>
      </c>
      <c r="AS7" s="45" t="s">
        <v>310</v>
      </c>
      <c r="AT7" s="45" t="s">
        <v>325</v>
      </c>
    </row>
    <row r="8" spans="1:47">
      <c r="A8" s="18" t="s">
        <v>62</v>
      </c>
      <c r="B8" s="18" t="s">
        <v>123</v>
      </c>
      <c r="C8" s="18" t="s">
        <v>12</v>
      </c>
      <c r="D8" s="18" t="s">
        <v>7</v>
      </c>
      <c r="E8" s="18" t="s">
        <v>241</v>
      </c>
      <c r="F8" s="1" t="s">
        <v>174</v>
      </c>
      <c r="G8" s="18" t="b">
        <v>0</v>
      </c>
      <c r="H8" s="1">
        <v>0.94</v>
      </c>
      <c r="I8" s="45"/>
      <c r="L8" s="1">
        <v>145.94999999999999</v>
      </c>
      <c r="M8" s="45">
        <f t="shared" si="4"/>
        <v>5.7460629921259843</v>
      </c>
      <c r="N8" s="3">
        <v>0.50989600000000002</v>
      </c>
      <c r="O8" s="3">
        <v>-1.0541499999999999</v>
      </c>
      <c r="R8" s="1">
        <v>100</v>
      </c>
      <c r="S8" s="45">
        <f t="shared" si="5"/>
        <v>3.9370078740157481</v>
      </c>
      <c r="T8" s="1">
        <v>18</v>
      </c>
      <c r="U8" s="47">
        <v>2.2000000000000001E-3</v>
      </c>
      <c r="V8" s="47">
        <v>3</v>
      </c>
      <c r="W8" s="45">
        <f t="shared" si="6"/>
        <v>100</v>
      </c>
      <c r="X8" s="45">
        <f t="shared" si="0"/>
        <v>101</v>
      </c>
      <c r="Y8" s="4">
        <f t="shared" si="7"/>
        <v>0.17882643471490003</v>
      </c>
      <c r="Z8" s="1">
        <f t="shared" si="1"/>
        <v>0.35071158572512834</v>
      </c>
      <c r="AA8" s="45">
        <f t="shared" si="2"/>
        <v>100</v>
      </c>
      <c r="AB8" s="45">
        <f t="shared" si="3"/>
        <v>101</v>
      </c>
      <c r="AC8" s="1">
        <v>0.4</v>
      </c>
      <c r="AD8" s="1">
        <v>5</v>
      </c>
      <c r="AI8" s="1">
        <f t="shared" si="8"/>
        <v>0</v>
      </c>
      <c r="AK8" s="1" t="s">
        <v>199</v>
      </c>
      <c r="AO8" s="1" t="s">
        <v>298</v>
      </c>
      <c r="AP8" s="18" t="s">
        <v>12</v>
      </c>
      <c r="AQ8" s="18" t="s">
        <v>123</v>
      </c>
      <c r="AR8" s="18" t="s">
        <v>241</v>
      </c>
      <c r="AS8" s="45" t="s">
        <v>311</v>
      </c>
      <c r="AT8" s="45" t="s">
        <v>308</v>
      </c>
    </row>
    <row r="9" spans="1:47">
      <c r="A9" s="18" t="s">
        <v>62</v>
      </c>
      <c r="B9" s="17" t="s">
        <v>130</v>
      </c>
      <c r="C9" s="17" t="s">
        <v>115</v>
      </c>
      <c r="D9" s="18" t="s">
        <v>7</v>
      </c>
      <c r="E9" s="18" t="s">
        <v>13</v>
      </c>
      <c r="G9" s="1" t="b">
        <v>0</v>
      </c>
      <c r="H9" s="1">
        <v>1</v>
      </c>
      <c r="I9" s="45"/>
      <c r="J9" s="1">
        <v>0.93</v>
      </c>
      <c r="K9" s="1">
        <v>304</v>
      </c>
      <c r="L9" s="1">
        <f>K9/J9*H9</f>
        <v>326.88172043010752</v>
      </c>
      <c r="M9" s="45">
        <f t="shared" si="4"/>
        <v>12.869359072051479</v>
      </c>
      <c r="N9" s="3">
        <v>0.40200000000000002</v>
      </c>
      <c r="O9" s="3">
        <v>-0.21</v>
      </c>
      <c r="P9" s="1">
        <v>250</v>
      </c>
      <c r="R9" s="1">
        <f>P9/J9*H9</f>
        <v>268.81720430107526</v>
      </c>
      <c r="S9" s="45">
        <f t="shared" si="5"/>
        <v>10.583354500042335</v>
      </c>
      <c r="T9" s="1">
        <v>25</v>
      </c>
      <c r="U9" s="47">
        <v>1.065E-2</v>
      </c>
      <c r="V9" s="47">
        <v>3.2429700000000001</v>
      </c>
      <c r="W9" s="45">
        <f t="shared" si="6"/>
        <v>268.81720430107526</v>
      </c>
      <c r="X9" s="45">
        <f t="shared" si="0"/>
        <v>269.81720430107526</v>
      </c>
      <c r="Y9" s="4">
        <f t="shared" si="7"/>
        <v>0.12875503299472801</v>
      </c>
      <c r="Z9" s="1">
        <f t="shared" si="1"/>
        <v>0.32028615172817915</v>
      </c>
      <c r="AA9" s="45">
        <f t="shared" si="2"/>
        <v>268.81720430107526</v>
      </c>
      <c r="AB9" s="45">
        <f t="shared" si="3"/>
        <v>269.81720430107526</v>
      </c>
      <c r="AC9" s="1">
        <v>0.4</v>
      </c>
      <c r="AD9" s="1">
        <v>5</v>
      </c>
      <c r="AE9" s="1">
        <f>25.4*AF9</f>
        <v>0</v>
      </c>
      <c r="AH9">
        <v>0.11</v>
      </c>
      <c r="AI9">
        <f t="shared" si="8"/>
        <v>0.85433553501946635</v>
      </c>
      <c r="AJ9" s="1">
        <v>0.45</v>
      </c>
      <c r="AM9" s="1" t="s">
        <v>194</v>
      </c>
      <c r="AN9" s="1" t="s">
        <v>201</v>
      </c>
      <c r="AO9" s="1" t="s">
        <v>270</v>
      </c>
      <c r="AP9" s="17" t="s">
        <v>115</v>
      </c>
      <c r="AQ9" s="17" t="s">
        <v>130</v>
      </c>
      <c r="AR9" s="18" t="s">
        <v>13</v>
      </c>
      <c r="AS9" s="45" t="s">
        <v>307</v>
      </c>
      <c r="AT9" s="45" t="s">
        <v>326</v>
      </c>
    </row>
    <row r="10" spans="1:47">
      <c r="A10" s="18" t="s">
        <v>62</v>
      </c>
      <c r="B10" s="17" t="s">
        <v>131</v>
      </c>
      <c r="C10" s="17" t="s">
        <v>185</v>
      </c>
      <c r="D10" s="18" t="s">
        <v>7</v>
      </c>
      <c r="E10" s="18" t="s">
        <v>15</v>
      </c>
      <c r="G10" s="1" t="b">
        <v>0</v>
      </c>
      <c r="H10" s="1">
        <v>1</v>
      </c>
      <c r="I10" s="45"/>
      <c r="J10" s="1">
        <v>0.88</v>
      </c>
      <c r="K10" s="1">
        <v>527</v>
      </c>
      <c r="L10" s="1">
        <f>K10/J10*H10</f>
        <v>598.86363636363637</v>
      </c>
      <c r="M10" s="45">
        <f t="shared" si="4"/>
        <v>23.577308518253403</v>
      </c>
      <c r="N10" s="3">
        <v>0.221</v>
      </c>
      <c r="O10" s="3">
        <v>-0.22</v>
      </c>
      <c r="P10" s="1">
        <v>450</v>
      </c>
      <c r="R10" s="1">
        <f>P10/J10*H10</f>
        <v>511.36363636363637</v>
      </c>
      <c r="S10" s="45">
        <f t="shared" si="5"/>
        <v>20.132426628489622</v>
      </c>
      <c r="T10" s="1">
        <v>44</v>
      </c>
      <c r="U10" s="47">
        <v>4.24E-2</v>
      </c>
      <c r="V10" s="47">
        <v>2.8540000000000001</v>
      </c>
      <c r="W10" s="45">
        <f t="shared" si="6"/>
        <v>511.36363636363637</v>
      </c>
      <c r="X10" s="45">
        <f t="shared" si="0"/>
        <v>512.36363636363637</v>
      </c>
      <c r="Y10" s="4">
        <f t="shared" si="7"/>
        <v>7.3156268747004552E-2</v>
      </c>
      <c r="Z10" s="1">
        <f t="shared" si="1"/>
        <v>0.33102384048418348</v>
      </c>
      <c r="AA10" s="45">
        <f t="shared" si="2"/>
        <v>511.36363636363637</v>
      </c>
      <c r="AB10" s="45">
        <f t="shared" si="3"/>
        <v>512.36363636363637</v>
      </c>
      <c r="AC10" s="1">
        <v>0.4</v>
      </c>
      <c r="AD10" s="1">
        <v>5</v>
      </c>
      <c r="AE10" s="1">
        <f>25.4*AF10</f>
        <v>406.4</v>
      </c>
      <c r="AF10" s="1">
        <v>16</v>
      </c>
      <c r="AG10" s="1" t="s">
        <v>261</v>
      </c>
      <c r="AH10">
        <v>0.13</v>
      </c>
      <c r="AI10">
        <f t="shared" si="8"/>
        <v>1.7770179128404902</v>
      </c>
      <c r="AJ10" s="1">
        <v>0.23</v>
      </c>
      <c r="AM10" s="1" t="s">
        <v>194</v>
      </c>
      <c r="AN10" s="1" t="s">
        <v>201</v>
      </c>
      <c r="AO10" s="1" t="s">
        <v>271</v>
      </c>
      <c r="AP10" s="17" t="s">
        <v>185</v>
      </c>
      <c r="AQ10" s="17" t="s">
        <v>131</v>
      </c>
      <c r="AR10" s="18" t="s">
        <v>15</v>
      </c>
      <c r="AS10" s="45" t="s">
        <v>312</v>
      </c>
      <c r="AT10" s="45" t="s">
        <v>328</v>
      </c>
      <c r="AU10" s="1" t="s">
        <v>346</v>
      </c>
    </row>
    <row r="11" spans="1:47">
      <c r="A11" s="18" t="s">
        <v>62</v>
      </c>
      <c r="B11" s="17" t="s">
        <v>132</v>
      </c>
      <c r="C11" s="17" t="s">
        <v>189</v>
      </c>
      <c r="D11" s="18" t="s">
        <v>7</v>
      </c>
      <c r="E11" s="18" t="s">
        <v>16</v>
      </c>
      <c r="G11" s="1" t="b">
        <v>0</v>
      </c>
      <c r="H11" s="1">
        <v>1</v>
      </c>
      <c r="I11" s="45"/>
      <c r="L11" s="1">
        <v>256</v>
      </c>
      <c r="M11" s="45">
        <f t="shared" si="4"/>
        <v>10.078740157480315</v>
      </c>
      <c r="N11" s="3">
        <v>0.34079999999999999</v>
      </c>
      <c r="O11" s="3">
        <v>-0.66</v>
      </c>
      <c r="R11" s="1">
        <v>199</v>
      </c>
      <c r="S11" s="45">
        <f t="shared" si="5"/>
        <v>7.8346456692913389</v>
      </c>
      <c r="T11" s="1">
        <v>25</v>
      </c>
      <c r="U11" s="47">
        <v>4.9700000000000001E-2</v>
      </c>
      <c r="V11" s="47">
        <v>2.839</v>
      </c>
      <c r="W11" s="45">
        <f t="shared" si="6"/>
        <v>199</v>
      </c>
      <c r="X11" s="45">
        <f t="shared" si="0"/>
        <v>200</v>
      </c>
      <c r="Y11" s="4">
        <f t="shared" si="7"/>
        <v>0.12875503299472801</v>
      </c>
      <c r="Z11" s="1">
        <f t="shared" si="1"/>
        <v>0.37780232686246484</v>
      </c>
      <c r="AA11" s="45">
        <f t="shared" si="2"/>
        <v>199</v>
      </c>
      <c r="AB11" s="45">
        <f t="shared" si="3"/>
        <v>200</v>
      </c>
      <c r="AC11" s="1">
        <v>0.4</v>
      </c>
      <c r="AD11" s="1">
        <v>5</v>
      </c>
      <c r="AH11">
        <v>0.21</v>
      </c>
      <c r="AI11">
        <f t="shared" si="8"/>
        <v>1.6310042032189811</v>
      </c>
      <c r="AJ11" s="1">
        <v>0.3</v>
      </c>
      <c r="AM11" s="1" t="s">
        <v>194</v>
      </c>
      <c r="AN11" s="1" t="s">
        <v>201</v>
      </c>
      <c r="AO11" s="1" t="s">
        <v>272</v>
      </c>
      <c r="AP11" s="17" t="s">
        <v>189</v>
      </c>
      <c r="AQ11" s="17" t="s">
        <v>132</v>
      </c>
      <c r="AR11" s="18" t="s">
        <v>16</v>
      </c>
      <c r="AS11" s="45" t="s">
        <v>313</v>
      </c>
      <c r="AT11" s="45" t="s">
        <v>329</v>
      </c>
    </row>
    <row r="12" spans="1:47">
      <c r="A12" s="18" t="s">
        <v>62</v>
      </c>
      <c r="B12" s="18" t="s">
        <v>164</v>
      </c>
      <c r="C12" s="18" t="s">
        <v>14</v>
      </c>
      <c r="D12" s="18" t="s">
        <v>7</v>
      </c>
      <c r="E12" s="18" t="s">
        <v>244</v>
      </c>
      <c r="F12" s="1" t="s">
        <v>174</v>
      </c>
      <c r="G12" s="1" t="b">
        <v>0</v>
      </c>
      <c r="H12" s="1">
        <v>1</v>
      </c>
      <c r="I12" s="45"/>
      <c r="J12" s="1">
        <v>0.94</v>
      </c>
      <c r="L12" s="1">
        <v>476</v>
      </c>
      <c r="M12" s="45">
        <f t="shared" si="4"/>
        <v>18.740157480314963</v>
      </c>
      <c r="N12" s="3">
        <v>0.46</v>
      </c>
      <c r="O12" s="3">
        <v>-0.11</v>
      </c>
      <c r="R12" s="1">
        <v>301</v>
      </c>
      <c r="S12" s="45">
        <f t="shared" si="5"/>
        <v>11.850393700787402</v>
      </c>
      <c r="T12" s="1">
        <v>50</v>
      </c>
      <c r="U12" s="47">
        <v>1.788E-2</v>
      </c>
      <c r="V12" s="47">
        <v>3.03545</v>
      </c>
      <c r="W12" s="45">
        <f t="shared" si="6"/>
        <v>301</v>
      </c>
      <c r="X12" s="45">
        <f t="shared" si="0"/>
        <v>302</v>
      </c>
      <c r="Y12" s="4">
        <f t="shared" si="7"/>
        <v>6.4377516497364007E-2</v>
      </c>
      <c r="Z12" s="1">
        <f t="shared" si="1"/>
        <v>0.13995112282035654</v>
      </c>
      <c r="AA12" s="45">
        <f t="shared" si="2"/>
        <v>301</v>
      </c>
      <c r="AB12" s="45">
        <f t="shared" si="3"/>
        <v>302</v>
      </c>
      <c r="AC12" s="1">
        <v>0.4</v>
      </c>
      <c r="AD12" s="1">
        <v>5</v>
      </c>
      <c r="AE12" s="1">
        <f>25.4*AF12</f>
        <v>355.59999999999997</v>
      </c>
      <c r="AF12" s="1">
        <v>14</v>
      </c>
      <c r="AG12" s="1" t="s">
        <v>255</v>
      </c>
      <c r="AH12" s="1">
        <v>0.25</v>
      </c>
      <c r="AI12" s="1">
        <f t="shared" si="8"/>
        <v>3.8833433409975742</v>
      </c>
      <c r="AJ12" s="1">
        <v>0.08</v>
      </c>
      <c r="AK12" s="1" t="s">
        <v>202</v>
      </c>
      <c r="AN12" s="1" t="s">
        <v>203</v>
      </c>
      <c r="AO12" s="1" t="s">
        <v>299</v>
      </c>
      <c r="AP12" s="18" t="s">
        <v>14</v>
      </c>
      <c r="AQ12" s="18" t="s">
        <v>164</v>
      </c>
      <c r="AR12" s="18" t="s">
        <v>244</v>
      </c>
      <c r="AS12" s="45" t="s">
        <v>314</v>
      </c>
      <c r="AT12" s="45" t="s">
        <v>330</v>
      </c>
      <c r="AU12" s="1" t="s">
        <v>345</v>
      </c>
    </row>
    <row r="13" spans="1:47">
      <c r="A13" s="18" t="s">
        <v>62</v>
      </c>
      <c r="B13" s="18" t="s">
        <v>164</v>
      </c>
      <c r="C13" s="18" t="s">
        <v>14</v>
      </c>
      <c r="D13" s="18" t="s">
        <v>7</v>
      </c>
      <c r="E13" s="18" t="s">
        <v>245</v>
      </c>
      <c r="F13" s="1" t="s">
        <v>175</v>
      </c>
      <c r="G13" s="1" t="b">
        <v>0</v>
      </c>
      <c r="H13" s="1">
        <v>1</v>
      </c>
      <c r="I13" s="45"/>
      <c r="J13" s="1">
        <v>0.94</v>
      </c>
      <c r="L13" s="1">
        <v>480</v>
      </c>
      <c r="M13" s="45">
        <f t="shared" si="4"/>
        <v>18.897637795275593</v>
      </c>
      <c r="N13" s="3">
        <v>0.43</v>
      </c>
      <c r="O13" s="3">
        <v>-0.14000000000000001</v>
      </c>
      <c r="R13" s="1">
        <v>355</v>
      </c>
      <c r="S13" s="45">
        <f t="shared" si="5"/>
        <v>13.976377952755906</v>
      </c>
      <c r="T13" s="1">
        <v>50</v>
      </c>
      <c r="U13" s="47">
        <v>1.788E-2</v>
      </c>
      <c r="V13" s="47">
        <v>3.03545</v>
      </c>
      <c r="W13" s="45">
        <f t="shared" si="6"/>
        <v>355</v>
      </c>
      <c r="X13" s="45">
        <f t="shared" si="0"/>
        <v>356</v>
      </c>
      <c r="Y13" s="4">
        <f t="shared" si="7"/>
        <v>6.4377516497364007E-2</v>
      </c>
      <c r="Z13" s="1">
        <f t="shared" si="1"/>
        <v>0.14971515464503257</v>
      </c>
      <c r="AA13" s="45">
        <f t="shared" si="2"/>
        <v>355</v>
      </c>
      <c r="AB13" s="45">
        <f t="shared" si="3"/>
        <v>356</v>
      </c>
      <c r="AC13" s="1">
        <v>0.4</v>
      </c>
      <c r="AD13" s="1">
        <v>5</v>
      </c>
      <c r="AE13" s="1">
        <f>25.4*AF13</f>
        <v>355.59999999999997</v>
      </c>
      <c r="AF13" s="1">
        <v>14</v>
      </c>
      <c r="AG13" s="1" t="s">
        <v>255</v>
      </c>
      <c r="AH13" s="1">
        <v>0.25</v>
      </c>
      <c r="AI13" s="1">
        <f t="shared" si="8"/>
        <v>3.8833433409975742</v>
      </c>
      <c r="AJ13" s="1">
        <v>0.08</v>
      </c>
      <c r="AK13" s="1" t="s">
        <v>202</v>
      </c>
      <c r="AN13" s="1" t="s">
        <v>203</v>
      </c>
      <c r="AO13" s="1" t="s">
        <v>300</v>
      </c>
      <c r="AP13" s="18" t="s">
        <v>14</v>
      </c>
      <c r="AQ13" s="18" t="s">
        <v>164</v>
      </c>
      <c r="AR13" s="18" t="s">
        <v>245</v>
      </c>
      <c r="AS13" s="45" t="s">
        <v>315</v>
      </c>
      <c r="AT13" s="45" t="s">
        <v>330</v>
      </c>
      <c r="AU13" s="1" t="s">
        <v>345</v>
      </c>
    </row>
    <row r="14" spans="1:47">
      <c r="A14" s="18" t="s">
        <v>177</v>
      </c>
      <c r="B14" s="18" t="s">
        <v>192</v>
      </c>
      <c r="C14" s="17" t="s">
        <v>179</v>
      </c>
      <c r="D14" s="18" t="s">
        <v>262</v>
      </c>
      <c r="E14" s="18" t="s">
        <v>76</v>
      </c>
      <c r="F14" s="18"/>
      <c r="G14" s="1" t="b">
        <v>0</v>
      </c>
      <c r="L14" s="45">
        <f>10*67.26</f>
        <v>672.6</v>
      </c>
      <c r="M14" s="45">
        <f t="shared" si="4"/>
        <v>26.480314960629922</v>
      </c>
      <c r="N14" s="3">
        <v>0.18</v>
      </c>
      <c r="O14" s="3">
        <v>-0.68</v>
      </c>
      <c r="R14" s="45">
        <f>((41+43.7)/2)*10</f>
        <v>423.5</v>
      </c>
      <c r="S14" s="45">
        <f t="shared" si="5"/>
        <v>16.673228346456693</v>
      </c>
      <c r="T14" s="1">
        <v>14</v>
      </c>
      <c r="U14" s="47">
        <v>0.01</v>
      </c>
      <c r="V14" s="47">
        <v>3.04</v>
      </c>
      <c r="W14" s="45">
        <f t="shared" si="6"/>
        <v>423.5</v>
      </c>
      <c r="X14" s="45">
        <f t="shared" si="0"/>
        <v>424.5</v>
      </c>
      <c r="Y14" s="4">
        <f t="shared" si="7"/>
        <v>0.22991970177630003</v>
      </c>
      <c r="Z14" s="1">
        <f t="shared" si="1"/>
        <v>1.2773316765350002</v>
      </c>
      <c r="AA14" s="45">
        <f t="shared" si="2"/>
        <v>423.5</v>
      </c>
      <c r="AB14" s="45">
        <f t="shared" si="3"/>
        <v>424.5</v>
      </c>
      <c r="AC14" s="1">
        <v>0.4</v>
      </c>
      <c r="AD14" s="1">
        <v>5</v>
      </c>
      <c r="AE14" s="1">
        <f>25.4*AF14</f>
        <v>355.59999999999997</v>
      </c>
      <c r="AF14" s="1">
        <v>14</v>
      </c>
      <c r="AG14" s="1" t="s">
        <v>255</v>
      </c>
      <c r="AK14" s="1" t="s">
        <v>78</v>
      </c>
      <c r="AL14" s="1" t="s">
        <v>193</v>
      </c>
      <c r="AO14" s="1" t="s">
        <v>273</v>
      </c>
      <c r="AP14" s="17" t="s">
        <v>179</v>
      </c>
      <c r="AQ14" s="18" t="s">
        <v>192</v>
      </c>
      <c r="AR14" s="18" t="s">
        <v>76</v>
      </c>
      <c r="AS14" s="45" t="s">
        <v>309</v>
      </c>
      <c r="AT14" s="45" t="s">
        <v>331</v>
      </c>
      <c r="AU14" s="1" t="s">
        <v>345</v>
      </c>
    </row>
    <row r="15" spans="1:47">
      <c r="A15" s="18" t="s">
        <v>177</v>
      </c>
      <c r="B15" s="17" t="s">
        <v>178</v>
      </c>
      <c r="C15" s="17" t="s">
        <v>179</v>
      </c>
      <c r="D15" s="18" t="s">
        <v>262</v>
      </c>
      <c r="E15" s="18" t="s">
        <v>77</v>
      </c>
      <c r="F15" s="18"/>
      <c r="G15" s="1" t="b">
        <v>0</v>
      </c>
      <c r="L15" s="45">
        <f>10*56.39</f>
        <v>563.9</v>
      </c>
      <c r="M15" s="45">
        <f t="shared" si="4"/>
        <v>22.200787401574804</v>
      </c>
      <c r="N15" s="3">
        <v>0.26</v>
      </c>
      <c r="O15" s="3">
        <v>-0.49</v>
      </c>
      <c r="R15" s="45">
        <f>((45.9+40.4)/2)*10</f>
        <v>431.5</v>
      </c>
      <c r="S15" s="45">
        <f t="shared" si="5"/>
        <v>16.988188976377955</v>
      </c>
      <c r="T15" s="1">
        <v>11</v>
      </c>
      <c r="U15" s="47">
        <v>0.01</v>
      </c>
      <c r="V15" s="47">
        <v>3.02</v>
      </c>
      <c r="W15" s="45">
        <f t="shared" si="6"/>
        <v>431.5</v>
      </c>
      <c r="X15" s="45">
        <f t="shared" si="0"/>
        <v>432.5</v>
      </c>
      <c r="Y15" s="4">
        <f t="shared" si="7"/>
        <v>0.29262507498801821</v>
      </c>
      <c r="Z15" s="1">
        <f t="shared" si="1"/>
        <v>1.1254810576462237</v>
      </c>
      <c r="AA15" s="45">
        <f t="shared" si="2"/>
        <v>431.5</v>
      </c>
      <c r="AB15" s="45">
        <f t="shared" si="3"/>
        <v>432.5</v>
      </c>
      <c r="AC15" s="1">
        <v>0.4</v>
      </c>
      <c r="AD15" s="1">
        <v>5</v>
      </c>
      <c r="AK15" s="1" t="s">
        <v>78</v>
      </c>
      <c r="AL15" s="1" t="s">
        <v>193</v>
      </c>
      <c r="AO15" s="1" t="s">
        <v>274</v>
      </c>
      <c r="AP15" s="17" t="s">
        <v>179</v>
      </c>
      <c r="AQ15" s="17" t="s">
        <v>178</v>
      </c>
      <c r="AR15" s="18" t="s">
        <v>77</v>
      </c>
      <c r="AS15" s="45" t="s">
        <v>316</v>
      </c>
      <c r="AT15" s="45" t="s">
        <v>332</v>
      </c>
    </row>
    <row r="16" spans="1:47">
      <c r="A16" s="18" t="s">
        <v>65</v>
      </c>
      <c r="B16" s="17" t="s">
        <v>73</v>
      </c>
      <c r="C16" s="17" t="s">
        <v>188</v>
      </c>
      <c r="D16" s="18" t="s">
        <v>19</v>
      </c>
      <c r="E16" s="18" t="s">
        <v>20</v>
      </c>
      <c r="F16" s="18"/>
      <c r="G16" s="1" t="b">
        <v>0</v>
      </c>
      <c r="H16" s="1">
        <v>0.92</v>
      </c>
      <c r="I16" s="45"/>
      <c r="J16" s="1">
        <v>0.87</v>
      </c>
      <c r="K16" s="1">
        <v>1838</v>
      </c>
      <c r="L16" s="1">
        <f>K16/J16*H16</f>
        <v>1943.632183908046</v>
      </c>
      <c r="M16" s="45">
        <f t="shared" si="4"/>
        <v>76.520952122364022</v>
      </c>
      <c r="N16" s="3">
        <v>0.111</v>
      </c>
      <c r="O16" s="3">
        <v>9.7000000000000003E-2</v>
      </c>
      <c r="P16" s="1">
        <v>700</v>
      </c>
      <c r="R16" s="1">
        <f>P16/J16*H16</f>
        <v>740.22988505747139</v>
      </c>
      <c r="S16" s="45">
        <f t="shared" si="5"/>
        <v>29.142908860530373</v>
      </c>
      <c r="T16" s="1">
        <v>11</v>
      </c>
      <c r="U16" s="47">
        <v>2.7300000000000001E-2</v>
      </c>
      <c r="V16" s="47">
        <v>2.9129999999999998</v>
      </c>
      <c r="W16" s="45">
        <f t="shared" si="6"/>
        <v>740.22988505747139</v>
      </c>
      <c r="X16" s="45">
        <f t="shared" si="0"/>
        <v>741.22988505747139</v>
      </c>
      <c r="Y16" s="4">
        <f t="shared" si="7"/>
        <v>0.29262507498801821</v>
      </c>
      <c r="Z16" s="1">
        <f t="shared" si="1"/>
        <v>2.6362619368289928</v>
      </c>
      <c r="AA16" s="45">
        <f t="shared" si="2"/>
        <v>740.22988505747139</v>
      </c>
      <c r="AB16" s="45">
        <f t="shared" si="3"/>
        <v>741.22988505747139</v>
      </c>
      <c r="AC16" s="1">
        <v>0.4</v>
      </c>
      <c r="AD16" s="1">
        <v>5</v>
      </c>
      <c r="AE16" s="1">
        <f>25.4*AF16</f>
        <v>254</v>
      </c>
      <c r="AF16" s="1">
        <v>10</v>
      </c>
      <c r="AG16" s="1" t="s">
        <v>257</v>
      </c>
      <c r="AH16">
        <v>0.3</v>
      </c>
      <c r="AI16">
        <f t="shared" ref="AI16:AI30" si="9">AH16/Y16</f>
        <v>1.0252026420233595</v>
      </c>
      <c r="AJ16" s="1">
        <v>0.21</v>
      </c>
      <c r="AM16" s="1" t="s">
        <v>195</v>
      </c>
      <c r="AO16" s="1" t="s">
        <v>275</v>
      </c>
      <c r="AP16" s="17" t="s">
        <v>188</v>
      </c>
      <c r="AQ16" s="17" t="s">
        <v>73</v>
      </c>
      <c r="AR16" s="18" t="s">
        <v>20</v>
      </c>
      <c r="AS16" s="45" t="s">
        <v>317</v>
      </c>
      <c r="AT16" s="45" t="s">
        <v>333</v>
      </c>
      <c r="AU16" s="1" t="s">
        <v>306</v>
      </c>
    </row>
    <row r="17" spans="1:47">
      <c r="A17" s="18" t="s">
        <v>65</v>
      </c>
      <c r="B17" s="17" t="s">
        <v>119</v>
      </c>
      <c r="C17" s="17" t="s">
        <v>167</v>
      </c>
      <c r="D17" s="18" t="s">
        <v>19</v>
      </c>
      <c r="E17" s="18" t="s">
        <v>21</v>
      </c>
      <c r="F17" s="18"/>
      <c r="G17" s="1" t="b">
        <v>0</v>
      </c>
      <c r="H17" s="1">
        <v>0.94</v>
      </c>
      <c r="I17" s="45"/>
      <c r="L17" s="1">
        <v>822</v>
      </c>
      <c r="M17" s="45">
        <f t="shared" si="4"/>
        <v>32.362204724409452</v>
      </c>
      <c r="N17" s="3">
        <v>0.12</v>
      </c>
      <c r="O17" s="3">
        <v>0</v>
      </c>
      <c r="R17" s="1">
        <v>370</v>
      </c>
      <c r="S17" s="45">
        <f t="shared" si="5"/>
        <v>14.566929133858268</v>
      </c>
      <c r="T17" s="1">
        <v>12</v>
      </c>
      <c r="U17" s="47">
        <v>1.9800000000000002E-2</v>
      </c>
      <c r="V17" s="47">
        <v>3.0009999999999999</v>
      </c>
      <c r="W17" s="45">
        <f t="shared" si="6"/>
        <v>370</v>
      </c>
      <c r="X17" s="45">
        <f t="shared" si="0"/>
        <v>371</v>
      </c>
      <c r="Y17" s="4">
        <f t="shared" si="7"/>
        <v>0.26823965207235007</v>
      </c>
      <c r="Z17" s="1">
        <f t="shared" si="1"/>
        <v>2.2353304339362507</v>
      </c>
      <c r="AA17" s="45">
        <f t="shared" si="2"/>
        <v>370</v>
      </c>
      <c r="AB17" s="45">
        <f t="shared" si="3"/>
        <v>371</v>
      </c>
      <c r="AC17" s="1">
        <v>0.4</v>
      </c>
      <c r="AD17" s="1">
        <v>5</v>
      </c>
      <c r="AE17" s="1">
        <f>25.4*AF17</f>
        <v>254</v>
      </c>
      <c r="AF17" s="1">
        <v>10</v>
      </c>
      <c r="AG17" s="1" t="s">
        <v>257</v>
      </c>
      <c r="AH17"/>
      <c r="AI17">
        <f t="shared" si="9"/>
        <v>0</v>
      </c>
      <c r="AM17" s="1" t="s">
        <v>195</v>
      </c>
      <c r="AO17" s="1" t="s">
        <v>276</v>
      </c>
      <c r="AP17" s="17" t="s">
        <v>167</v>
      </c>
      <c r="AQ17" s="17" t="s">
        <v>119</v>
      </c>
      <c r="AR17" s="18" t="s">
        <v>21</v>
      </c>
      <c r="AS17" s="45" t="s">
        <v>318</v>
      </c>
      <c r="AT17" s="45" t="s">
        <v>334</v>
      </c>
      <c r="AU17" s="1" t="s">
        <v>306</v>
      </c>
    </row>
    <row r="18" spans="1:47">
      <c r="A18" s="18" t="s">
        <v>65</v>
      </c>
      <c r="B18" s="17" t="s">
        <v>120</v>
      </c>
      <c r="C18" s="17" t="s">
        <v>184</v>
      </c>
      <c r="D18" s="18" t="s">
        <v>19</v>
      </c>
      <c r="E18" s="18" t="s">
        <v>22</v>
      </c>
      <c r="F18" s="18"/>
      <c r="G18" s="1" t="b">
        <v>0</v>
      </c>
      <c r="H18" s="1">
        <v>0.95</v>
      </c>
      <c r="I18" s="45"/>
      <c r="J18" s="1">
        <v>0.84</v>
      </c>
      <c r="K18" s="1">
        <v>897</v>
      </c>
      <c r="L18" s="1">
        <f>K18/J18*H18</f>
        <v>1014.4642857142857</v>
      </c>
      <c r="M18" s="45">
        <f t="shared" si="4"/>
        <v>39.939538807649043</v>
      </c>
      <c r="N18" s="3">
        <v>0.23300000000000001</v>
      </c>
      <c r="O18" s="3">
        <v>-4.3999999999999997E-2</v>
      </c>
      <c r="P18" s="1">
        <v>400</v>
      </c>
      <c r="R18" s="1">
        <f>P18/J18*H18</f>
        <v>452.38095238095235</v>
      </c>
      <c r="S18" s="45">
        <f t="shared" si="5"/>
        <v>17.810273715785527</v>
      </c>
      <c r="T18" s="1">
        <v>7</v>
      </c>
      <c r="U18" s="47">
        <v>2.4199999999999999E-2</v>
      </c>
      <c r="V18" s="47">
        <v>2.9409999999999998</v>
      </c>
      <c r="W18" s="45">
        <f t="shared" si="6"/>
        <v>452.38095238095235</v>
      </c>
      <c r="X18" s="45">
        <f t="shared" si="0"/>
        <v>453.38095238095235</v>
      </c>
      <c r="Y18" s="4">
        <f t="shared" si="7"/>
        <v>0.45983940355260006</v>
      </c>
      <c r="Z18" s="1">
        <f t="shared" si="1"/>
        <v>1.9735596718995709</v>
      </c>
      <c r="AA18" s="45">
        <f t="shared" si="2"/>
        <v>452.38095238095235</v>
      </c>
      <c r="AB18" s="45">
        <f t="shared" si="3"/>
        <v>453.38095238095235</v>
      </c>
      <c r="AC18" s="1">
        <v>0.4</v>
      </c>
      <c r="AD18" s="1">
        <v>5</v>
      </c>
      <c r="AE18" s="1">
        <f>25.4*AF18</f>
        <v>254</v>
      </c>
      <c r="AF18" s="1">
        <v>10</v>
      </c>
      <c r="AG18" s="1" t="s">
        <v>257</v>
      </c>
      <c r="AH18">
        <v>0.16</v>
      </c>
      <c r="AI18">
        <f t="shared" si="9"/>
        <v>0.34794756335338267</v>
      </c>
      <c r="AJ18" s="1">
        <v>0.65</v>
      </c>
      <c r="AM18" s="1" t="s">
        <v>195</v>
      </c>
      <c r="AO18" s="1" t="s">
        <v>277</v>
      </c>
      <c r="AP18" s="17" t="s">
        <v>184</v>
      </c>
      <c r="AQ18" s="17" t="s">
        <v>120</v>
      </c>
      <c r="AR18" s="18" t="s">
        <v>22</v>
      </c>
      <c r="AS18" s="45" t="s">
        <v>319</v>
      </c>
      <c r="AT18" s="45" t="s">
        <v>335</v>
      </c>
      <c r="AU18" s="1" t="s">
        <v>306</v>
      </c>
    </row>
    <row r="19" spans="1:47">
      <c r="A19" s="18" t="s">
        <v>65</v>
      </c>
      <c r="B19" s="17" t="s">
        <v>121</v>
      </c>
      <c r="C19" s="17" t="s">
        <v>183</v>
      </c>
      <c r="D19" s="18" t="s">
        <v>19</v>
      </c>
      <c r="E19" s="18" t="s">
        <v>23</v>
      </c>
      <c r="F19" s="18"/>
      <c r="G19" s="1" t="b">
        <v>0</v>
      </c>
      <c r="H19" s="1">
        <v>0.9</v>
      </c>
      <c r="I19" s="45"/>
      <c r="J19" s="1">
        <v>0.83</v>
      </c>
      <c r="L19" s="1">
        <v>800</v>
      </c>
      <c r="M19" s="45">
        <f t="shared" si="4"/>
        <v>31.496062992125985</v>
      </c>
      <c r="N19" s="3">
        <v>0.24</v>
      </c>
      <c r="O19" s="3">
        <v>0</v>
      </c>
      <c r="P19" s="1">
        <v>420</v>
      </c>
      <c r="R19" s="1">
        <f>P19/J19*H19</f>
        <v>455.42168674698797</v>
      </c>
      <c r="S19" s="45">
        <f t="shared" si="5"/>
        <v>17.929987667204252</v>
      </c>
      <c r="T19" s="1">
        <v>11</v>
      </c>
      <c r="U19" s="47">
        <v>1.9800000000000002E-2</v>
      </c>
      <c r="V19" s="47">
        <v>2.9860000000000002</v>
      </c>
      <c r="W19" s="45">
        <f t="shared" si="6"/>
        <v>455.42168674698797</v>
      </c>
      <c r="X19" s="45">
        <f t="shared" si="0"/>
        <v>456.42168674698797</v>
      </c>
      <c r="Y19" s="4">
        <f t="shared" si="7"/>
        <v>0.29262507498801821</v>
      </c>
      <c r="Z19" s="1">
        <f t="shared" si="1"/>
        <v>1.2192711457834093</v>
      </c>
      <c r="AA19" s="45">
        <f t="shared" si="2"/>
        <v>455.42168674698797</v>
      </c>
      <c r="AB19" s="45">
        <f t="shared" si="3"/>
        <v>456.42168674698797</v>
      </c>
      <c r="AC19" s="1">
        <v>0.4</v>
      </c>
      <c r="AD19" s="1">
        <v>5</v>
      </c>
      <c r="AE19" s="1">
        <f>25.4*AF19</f>
        <v>254</v>
      </c>
      <c r="AF19" s="1">
        <v>10</v>
      </c>
      <c r="AG19" s="1" t="s">
        <v>257</v>
      </c>
      <c r="AH19"/>
      <c r="AI19">
        <f t="shared" si="9"/>
        <v>0</v>
      </c>
      <c r="AM19" s="1" t="s">
        <v>195</v>
      </c>
      <c r="AO19" s="1" t="s">
        <v>278</v>
      </c>
      <c r="AP19" s="17" t="s">
        <v>183</v>
      </c>
      <c r="AQ19" s="17" t="s">
        <v>121</v>
      </c>
      <c r="AR19" s="18" t="s">
        <v>23</v>
      </c>
      <c r="AS19" s="45" t="s">
        <v>319</v>
      </c>
      <c r="AT19" s="45" t="s">
        <v>336</v>
      </c>
      <c r="AU19" s="1" t="s">
        <v>306</v>
      </c>
    </row>
    <row r="20" spans="1:47">
      <c r="A20" s="18" t="s">
        <v>65</v>
      </c>
      <c r="B20" s="17" t="s">
        <v>124</v>
      </c>
      <c r="C20" s="17" t="s">
        <v>113</v>
      </c>
      <c r="D20" s="18" t="s">
        <v>19</v>
      </c>
      <c r="E20" s="18" t="s">
        <v>24</v>
      </c>
      <c r="F20" s="18"/>
      <c r="G20" s="1" t="b">
        <v>0</v>
      </c>
      <c r="H20" s="1">
        <v>0.84</v>
      </c>
      <c r="I20" s="45"/>
      <c r="L20" s="1">
        <v>930</v>
      </c>
      <c r="M20" s="45">
        <f t="shared" si="4"/>
        <v>36.614173228346459</v>
      </c>
      <c r="N20" s="3">
        <v>0.214</v>
      </c>
      <c r="O20" s="3">
        <v>0</v>
      </c>
      <c r="R20" s="1">
        <v>640</v>
      </c>
      <c r="S20" s="45">
        <f t="shared" si="5"/>
        <v>25.196850393700789</v>
      </c>
      <c r="T20" s="1">
        <v>13</v>
      </c>
      <c r="U20" s="47">
        <v>1.35E-2</v>
      </c>
      <c r="V20" s="47">
        <v>2.92</v>
      </c>
      <c r="W20" s="45">
        <f t="shared" si="6"/>
        <v>640</v>
      </c>
      <c r="X20" s="45">
        <f t="shared" si="0"/>
        <v>641</v>
      </c>
      <c r="Y20" s="4">
        <f t="shared" si="7"/>
        <v>0.24760583268216926</v>
      </c>
      <c r="Z20" s="1">
        <f t="shared" si="1"/>
        <v>1.157036601318548</v>
      </c>
      <c r="AA20" s="45">
        <f t="shared" si="2"/>
        <v>640</v>
      </c>
      <c r="AB20" s="45">
        <f t="shared" si="3"/>
        <v>641</v>
      </c>
      <c r="AC20" s="1">
        <v>0.4</v>
      </c>
      <c r="AD20" s="1">
        <v>5</v>
      </c>
      <c r="AH20"/>
      <c r="AI20">
        <f t="shared" si="9"/>
        <v>0</v>
      </c>
      <c r="AK20" s="1" t="s">
        <v>250</v>
      </c>
      <c r="AM20" s="1" t="s">
        <v>195</v>
      </c>
      <c r="AO20" s="1" t="s">
        <v>279</v>
      </c>
      <c r="AP20" s="17" t="s">
        <v>113</v>
      </c>
      <c r="AQ20" s="17" t="s">
        <v>124</v>
      </c>
      <c r="AR20" s="18" t="s">
        <v>24</v>
      </c>
      <c r="AS20" s="45" t="s">
        <v>320</v>
      </c>
      <c r="AT20" s="45" t="s">
        <v>337</v>
      </c>
    </row>
    <row r="21" spans="1:47">
      <c r="A21" s="18" t="s">
        <v>65</v>
      </c>
      <c r="B21" s="18" t="s">
        <v>135</v>
      </c>
      <c r="C21" s="18" t="s">
        <v>116</v>
      </c>
      <c r="D21" s="18" t="s">
        <v>19</v>
      </c>
      <c r="E21" s="18" t="s">
        <v>25</v>
      </c>
      <c r="G21" s="1" t="b">
        <v>0</v>
      </c>
      <c r="H21" s="1">
        <v>0.9</v>
      </c>
      <c r="I21" s="45"/>
      <c r="J21" s="1">
        <v>0.87</v>
      </c>
      <c r="L21" s="1">
        <v>1232</v>
      </c>
      <c r="M21" s="45">
        <f t="shared" si="4"/>
        <v>48.503937007874022</v>
      </c>
      <c r="N21" s="3">
        <v>0.307</v>
      </c>
      <c r="O21" s="3">
        <v>-0.77</v>
      </c>
      <c r="Q21" s="45">
        <v>289</v>
      </c>
      <c r="R21" s="1">
        <f>Q21*H21</f>
        <v>260.10000000000002</v>
      </c>
      <c r="S21" s="45">
        <f t="shared" si="5"/>
        <v>10.240157480314963</v>
      </c>
      <c r="T21" s="1">
        <v>7</v>
      </c>
      <c r="U21" s="47">
        <v>2.7099999999999999E-2</v>
      </c>
      <c r="V21" s="47">
        <v>2.88598</v>
      </c>
      <c r="W21" s="45">
        <f t="shared" si="6"/>
        <v>260.10000000000002</v>
      </c>
      <c r="X21" s="45">
        <f t="shared" si="0"/>
        <v>261.10000000000002</v>
      </c>
      <c r="Y21" s="4">
        <f t="shared" si="7"/>
        <v>0.45983940355260006</v>
      </c>
      <c r="Z21" s="1">
        <f t="shared" si="1"/>
        <v>1.4978482200410426</v>
      </c>
      <c r="AA21" s="45">
        <f t="shared" si="2"/>
        <v>260.10000000000002</v>
      </c>
      <c r="AB21" s="45">
        <f t="shared" si="3"/>
        <v>261.10000000000002</v>
      </c>
      <c r="AC21" s="1">
        <v>0.4</v>
      </c>
      <c r="AD21" s="1">
        <v>5</v>
      </c>
      <c r="AI21" s="1">
        <f t="shared" si="9"/>
        <v>0</v>
      </c>
      <c r="AM21" s="1" t="s">
        <v>194</v>
      </c>
      <c r="AN21" s="1" t="s">
        <v>201</v>
      </c>
      <c r="AO21" s="1" t="s">
        <v>280</v>
      </c>
      <c r="AP21" s="18" t="s">
        <v>116</v>
      </c>
      <c r="AQ21" s="18" t="s">
        <v>135</v>
      </c>
      <c r="AR21" s="18" t="s">
        <v>25</v>
      </c>
      <c r="AS21" s="45" t="s">
        <v>306</v>
      </c>
      <c r="AT21" s="45" t="s">
        <v>338</v>
      </c>
    </row>
    <row r="22" spans="1:47">
      <c r="A22" s="18" t="s">
        <v>65</v>
      </c>
      <c r="B22" s="18" t="s">
        <v>138</v>
      </c>
      <c r="C22" s="18" t="s">
        <v>117</v>
      </c>
      <c r="D22" s="18" t="s">
        <v>19</v>
      </c>
      <c r="E22" s="18" t="s">
        <v>26</v>
      </c>
      <c r="G22" s="18" t="b">
        <v>0</v>
      </c>
      <c r="I22" s="45">
        <v>1272</v>
      </c>
      <c r="L22" s="1">
        <f>-1.773+(0.88*I22)</f>
        <v>1117.587</v>
      </c>
      <c r="M22" s="45">
        <f t="shared" si="4"/>
        <v>43.999488188976379</v>
      </c>
      <c r="N22" s="3">
        <v>0.22720000000000001</v>
      </c>
      <c r="O22" s="3">
        <v>-0.79310000000000003</v>
      </c>
      <c r="Q22" s="45">
        <v>910</v>
      </c>
      <c r="R22" s="1">
        <f>-1.773+(0.88*Q22)</f>
        <v>799.02699999999993</v>
      </c>
      <c r="S22" s="45">
        <f t="shared" si="5"/>
        <v>31.45775590551181</v>
      </c>
      <c r="T22" s="1">
        <v>15</v>
      </c>
      <c r="U22" s="47">
        <v>2.4E-2</v>
      </c>
      <c r="V22" s="47">
        <v>2.86</v>
      </c>
      <c r="W22" s="45">
        <f t="shared" si="6"/>
        <v>799.02699999999993</v>
      </c>
      <c r="X22" s="45">
        <f t="shared" si="0"/>
        <v>800.02699999999993</v>
      </c>
      <c r="Y22" s="4">
        <f t="shared" si="7"/>
        <v>0.21459172165788004</v>
      </c>
      <c r="Z22" s="1">
        <f t="shared" si="1"/>
        <v>0.94450581715616211</v>
      </c>
      <c r="AA22" s="45">
        <f t="shared" si="2"/>
        <v>799.02699999999993</v>
      </c>
      <c r="AB22" s="45">
        <f t="shared" si="3"/>
        <v>800.02699999999993</v>
      </c>
      <c r="AC22" s="1">
        <v>0.4</v>
      </c>
      <c r="AD22" s="1">
        <v>5</v>
      </c>
      <c r="AH22" s="1">
        <v>0.14000000000000001</v>
      </c>
      <c r="AI22" s="1">
        <f t="shared" si="9"/>
        <v>0.65240168128759246</v>
      </c>
      <c r="AJ22" s="1">
        <v>36</v>
      </c>
      <c r="AM22" s="1" t="s">
        <v>194</v>
      </c>
      <c r="AN22" s="1" t="s">
        <v>201</v>
      </c>
      <c r="AO22" s="1" t="s">
        <v>281</v>
      </c>
      <c r="AP22" s="18" t="s">
        <v>117</v>
      </c>
      <c r="AQ22" s="18" t="s">
        <v>138</v>
      </c>
      <c r="AR22" s="18" t="s">
        <v>26</v>
      </c>
      <c r="AS22" s="45" t="s">
        <v>321</v>
      </c>
      <c r="AT22" s="45" t="s">
        <v>339</v>
      </c>
    </row>
    <row r="23" spans="1:47">
      <c r="A23" s="18" t="s">
        <v>75</v>
      </c>
      <c r="B23" s="17" t="s">
        <v>129</v>
      </c>
      <c r="C23" s="17" t="s">
        <v>162</v>
      </c>
      <c r="D23" s="18" t="s">
        <v>27</v>
      </c>
      <c r="E23" s="18" t="s">
        <v>28</v>
      </c>
      <c r="G23" s="1" t="b">
        <v>0</v>
      </c>
      <c r="H23" s="1">
        <v>0.92</v>
      </c>
      <c r="I23" s="45"/>
      <c r="J23" s="1">
        <v>0.78</v>
      </c>
      <c r="K23" s="1">
        <v>211</v>
      </c>
      <c r="L23" s="1">
        <f>K23/J23*H23</f>
        <v>248.87179487179486</v>
      </c>
      <c r="M23" s="45">
        <f t="shared" si="4"/>
        <v>9.7981021603068843</v>
      </c>
      <c r="N23" s="3">
        <v>0.14749999999999999</v>
      </c>
      <c r="O23" s="3">
        <v>-4.4786000000000001</v>
      </c>
      <c r="Q23" s="45">
        <v>175</v>
      </c>
      <c r="R23" s="1">
        <f>Q23*H23</f>
        <v>161</v>
      </c>
      <c r="S23" s="45">
        <f t="shared" si="5"/>
        <v>6.3385826771653546</v>
      </c>
      <c r="T23" s="1">
        <v>27</v>
      </c>
      <c r="U23" s="47">
        <v>2.7689999999999999E-2</v>
      </c>
      <c r="V23" s="47">
        <v>3.0033599999999998</v>
      </c>
      <c r="W23" s="45">
        <f t="shared" si="6"/>
        <v>161</v>
      </c>
      <c r="X23" s="45">
        <f t="shared" si="0"/>
        <v>162</v>
      </c>
      <c r="Y23" s="4">
        <f t="shared" si="7"/>
        <v>0.11921762314326668</v>
      </c>
      <c r="Z23" s="1">
        <f t="shared" si="1"/>
        <v>0.80825507215774028</v>
      </c>
      <c r="AA23" s="45">
        <f t="shared" si="2"/>
        <v>161</v>
      </c>
      <c r="AB23" s="45">
        <f t="shared" si="3"/>
        <v>162</v>
      </c>
      <c r="AC23" s="1">
        <v>0.4</v>
      </c>
      <c r="AD23" s="1">
        <v>5</v>
      </c>
      <c r="AH23">
        <v>0.04</v>
      </c>
      <c r="AI23">
        <f t="shared" si="9"/>
        <v>0.33552086466219039</v>
      </c>
      <c r="AJ23" s="1">
        <v>0.69</v>
      </c>
      <c r="AM23" s="1" t="s">
        <v>194</v>
      </c>
      <c r="AN23" s="1" t="s">
        <v>201</v>
      </c>
      <c r="AO23" s="1" t="s">
        <v>282</v>
      </c>
      <c r="AP23" s="17" t="s">
        <v>162</v>
      </c>
      <c r="AQ23" s="17" t="s">
        <v>129</v>
      </c>
      <c r="AR23" s="18" t="s">
        <v>28</v>
      </c>
      <c r="AS23" s="45" t="s">
        <v>308</v>
      </c>
      <c r="AT23" s="45" t="s">
        <v>329</v>
      </c>
    </row>
    <row r="24" spans="1:47">
      <c r="A24" s="18" t="s">
        <v>64</v>
      </c>
      <c r="B24" s="18" t="s">
        <v>71</v>
      </c>
      <c r="C24" s="18" t="s">
        <v>72</v>
      </c>
      <c r="D24" s="18" t="s">
        <v>29</v>
      </c>
      <c r="E24" s="18" t="s">
        <v>30</v>
      </c>
      <c r="F24" s="18"/>
      <c r="G24" s="1" t="b">
        <v>0</v>
      </c>
      <c r="H24" s="1">
        <v>0.92</v>
      </c>
      <c r="I24" s="45"/>
      <c r="J24" s="1">
        <v>0.81</v>
      </c>
      <c r="L24" s="1">
        <v>765</v>
      </c>
      <c r="M24" s="45">
        <f t="shared" si="4"/>
        <v>30.118110236220474</v>
      </c>
      <c r="N24" s="3">
        <v>0.13600000000000001</v>
      </c>
      <c r="O24" s="3">
        <v>0</v>
      </c>
      <c r="R24" s="1">
        <v>450</v>
      </c>
      <c r="S24" s="45">
        <f t="shared" si="5"/>
        <v>17.716535433070867</v>
      </c>
      <c r="T24" s="1">
        <v>32</v>
      </c>
      <c r="U24" s="47">
        <v>1.1800000000000001E-5</v>
      </c>
      <c r="V24" s="47">
        <v>3.0430000000000001</v>
      </c>
      <c r="W24" s="45">
        <f t="shared" si="6"/>
        <v>450</v>
      </c>
      <c r="X24" s="45">
        <f t="shared" si="0"/>
        <v>451</v>
      </c>
      <c r="Y24" s="4">
        <f t="shared" si="7"/>
        <v>0.10058986952713127</v>
      </c>
      <c r="Z24" s="1">
        <f t="shared" si="1"/>
        <v>0.73963139358184748</v>
      </c>
      <c r="AA24" s="45">
        <f t="shared" si="2"/>
        <v>450</v>
      </c>
      <c r="AB24" s="45">
        <f t="shared" si="3"/>
        <v>451</v>
      </c>
      <c r="AC24" s="1">
        <v>0.4</v>
      </c>
      <c r="AD24" s="1">
        <v>5</v>
      </c>
      <c r="AH24">
        <v>0.23</v>
      </c>
      <c r="AI24">
        <f t="shared" si="9"/>
        <v>2.2865125591793718</v>
      </c>
      <c r="AJ24" s="1">
        <v>0.23</v>
      </c>
      <c r="AK24" s="1" t="s">
        <v>248</v>
      </c>
      <c r="AM24" s="1" t="s">
        <v>195</v>
      </c>
      <c r="AO24" s="1" t="s">
        <v>283</v>
      </c>
      <c r="AP24" s="18" t="s">
        <v>72</v>
      </c>
      <c r="AQ24" s="18" t="s">
        <v>71</v>
      </c>
      <c r="AR24" s="18" t="s">
        <v>30</v>
      </c>
      <c r="AS24" s="45" t="s">
        <v>319</v>
      </c>
      <c r="AT24" s="45" t="s">
        <v>340</v>
      </c>
    </row>
    <row r="25" spans="1:47">
      <c r="A25" s="18" t="s">
        <v>64</v>
      </c>
      <c r="B25" s="17" t="s">
        <v>125</v>
      </c>
      <c r="C25" s="17" t="s">
        <v>186</v>
      </c>
      <c r="D25" s="18" t="s">
        <v>29</v>
      </c>
      <c r="E25" s="18" t="s">
        <v>31</v>
      </c>
      <c r="F25" s="18"/>
      <c r="G25" s="1" t="b">
        <v>0</v>
      </c>
      <c r="H25" s="1">
        <v>0.97</v>
      </c>
      <c r="I25" s="45">
        <v>340</v>
      </c>
      <c r="J25" s="1">
        <v>0.83</v>
      </c>
      <c r="L25" s="1">
        <f>I25*H25</f>
        <v>329.8</v>
      </c>
      <c r="M25" s="45">
        <f t="shared" si="4"/>
        <v>12.984251968503939</v>
      </c>
      <c r="N25" s="3">
        <v>0.28999999999999998</v>
      </c>
      <c r="O25" s="3">
        <v>-1.37</v>
      </c>
      <c r="Q25" s="45">
        <v>200</v>
      </c>
      <c r="R25" s="1">
        <f>Q25*H25</f>
        <v>194</v>
      </c>
      <c r="S25" s="45">
        <f t="shared" si="5"/>
        <v>7.6377952755905518</v>
      </c>
      <c r="T25" s="1">
        <v>8</v>
      </c>
      <c r="U25" s="47">
        <v>8.4200000000000004E-3</v>
      </c>
      <c r="V25" s="47">
        <v>3.2469600000000001</v>
      </c>
      <c r="W25" s="45">
        <f t="shared" si="6"/>
        <v>194</v>
      </c>
      <c r="X25" s="45">
        <f t="shared" si="0"/>
        <v>195</v>
      </c>
      <c r="Y25" s="4">
        <f t="shared" si="7"/>
        <v>0.40235947810852507</v>
      </c>
      <c r="Z25" s="1">
        <f t="shared" si="1"/>
        <v>1.3874464762362935</v>
      </c>
      <c r="AA25" s="45">
        <f t="shared" si="2"/>
        <v>194</v>
      </c>
      <c r="AB25" s="45">
        <f t="shared" si="3"/>
        <v>195</v>
      </c>
      <c r="AC25" s="1">
        <v>0.4</v>
      </c>
      <c r="AD25" s="1">
        <v>5</v>
      </c>
      <c r="AH25">
        <v>0.36</v>
      </c>
      <c r="AI25">
        <f t="shared" si="9"/>
        <v>0.894722305765841</v>
      </c>
      <c r="AJ25" s="1">
        <v>0.63</v>
      </c>
      <c r="AM25" s="1" t="s">
        <v>195</v>
      </c>
      <c r="AO25" s="1" t="s">
        <v>284</v>
      </c>
      <c r="AP25" s="17" t="s">
        <v>186</v>
      </c>
      <c r="AQ25" s="17" t="s">
        <v>125</v>
      </c>
      <c r="AR25" s="18" t="s">
        <v>31</v>
      </c>
      <c r="AS25" s="45" t="s">
        <v>322</v>
      </c>
      <c r="AT25" s="45" t="s">
        <v>326</v>
      </c>
    </row>
    <row r="26" spans="1:47">
      <c r="A26" s="18" t="s">
        <v>142</v>
      </c>
      <c r="B26" s="17" t="s">
        <v>126</v>
      </c>
      <c r="C26" s="19" t="s">
        <v>114</v>
      </c>
      <c r="D26" s="18" t="s">
        <v>32</v>
      </c>
      <c r="E26" s="18" t="s">
        <v>33</v>
      </c>
      <c r="F26" s="18"/>
      <c r="G26" s="1" t="b">
        <v>0</v>
      </c>
      <c r="H26" s="1">
        <v>0.91</v>
      </c>
      <c r="I26" s="45">
        <v>609</v>
      </c>
      <c r="J26" s="1">
        <v>0.87</v>
      </c>
      <c r="L26" s="1">
        <f>I26*H26</f>
        <v>554.19000000000005</v>
      </c>
      <c r="M26" s="45">
        <f t="shared" si="4"/>
        <v>21.818503937007879</v>
      </c>
      <c r="N26" s="3">
        <v>0.3</v>
      </c>
      <c r="O26" s="3">
        <v>-0.14000000000000001</v>
      </c>
      <c r="Q26" s="45">
        <v>325</v>
      </c>
      <c r="R26" s="1">
        <f>Q26*H26</f>
        <v>295.75</v>
      </c>
      <c r="S26" s="45">
        <f t="shared" si="5"/>
        <v>11.643700787401576</v>
      </c>
      <c r="T26" s="1">
        <v>13</v>
      </c>
      <c r="U26" s="47">
        <v>1.085E-2</v>
      </c>
      <c r="V26" s="47">
        <v>3.089</v>
      </c>
      <c r="W26" s="45">
        <f t="shared" si="6"/>
        <v>295.75</v>
      </c>
      <c r="X26" s="45">
        <f t="shared" si="0"/>
        <v>296.75</v>
      </c>
      <c r="Y26" s="4">
        <f t="shared" si="7"/>
        <v>0.24760583268216926</v>
      </c>
      <c r="Z26" s="1">
        <f t="shared" si="1"/>
        <v>0.82535277560723086</v>
      </c>
      <c r="AA26" s="45">
        <f t="shared" si="2"/>
        <v>295.75</v>
      </c>
      <c r="AB26" s="45">
        <f t="shared" si="3"/>
        <v>296.75</v>
      </c>
      <c r="AC26" s="1">
        <v>0.4</v>
      </c>
      <c r="AD26" s="1">
        <v>5</v>
      </c>
      <c r="AE26" s="1">
        <f>25.4*AF26</f>
        <v>279.39999999999998</v>
      </c>
      <c r="AF26" s="1">
        <v>11</v>
      </c>
      <c r="AG26" s="1" t="s">
        <v>258</v>
      </c>
      <c r="AH26"/>
      <c r="AI26">
        <f t="shared" si="9"/>
        <v>0</v>
      </c>
      <c r="AM26" s="1" t="s">
        <v>195</v>
      </c>
      <c r="AO26" s="1" t="s">
        <v>285</v>
      </c>
      <c r="AP26" s="19" t="s">
        <v>114</v>
      </c>
      <c r="AQ26" s="17" t="s">
        <v>126</v>
      </c>
      <c r="AR26" s="18" t="s">
        <v>33</v>
      </c>
      <c r="AS26" s="45" t="s">
        <v>314</v>
      </c>
      <c r="AT26" s="45" t="s">
        <v>332</v>
      </c>
      <c r="AU26" s="1" t="s">
        <v>307</v>
      </c>
    </row>
    <row r="27" spans="1:47">
      <c r="A27" s="18" t="s">
        <v>63</v>
      </c>
      <c r="B27" s="17" t="s">
        <v>127</v>
      </c>
      <c r="C27" s="17" t="s">
        <v>191</v>
      </c>
      <c r="D27" s="18" t="s">
        <v>34</v>
      </c>
      <c r="E27" s="18" t="s">
        <v>35</v>
      </c>
      <c r="F27" s="18"/>
      <c r="G27" s="1" t="b">
        <v>0</v>
      </c>
      <c r="H27" s="1">
        <v>0.92</v>
      </c>
      <c r="I27" s="45"/>
      <c r="L27" s="1">
        <v>342</v>
      </c>
      <c r="M27" s="45">
        <f t="shared" si="4"/>
        <v>13.464566929133859</v>
      </c>
      <c r="N27" s="3">
        <v>0.56399999999999995</v>
      </c>
      <c r="O27" s="3">
        <v>-0.36</v>
      </c>
      <c r="R27" s="1">
        <v>183</v>
      </c>
      <c r="S27" s="45">
        <f t="shared" si="5"/>
        <v>7.2047244094488194</v>
      </c>
      <c r="T27" s="1">
        <v>6</v>
      </c>
      <c r="U27" s="47">
        <v>8.6999999999999994E-3</v>
      </c>
      <c r="V27" s="47">
        <v>3.21</v>
      </c>
      <c r="W27" s="45">
        <f t="shared" si="6"/>
        <v>183</v>
      </c>
      <c r="X27" s="45">
        <f t="shared" si="0"/>
        <v>184</v>
      </c>
      <c r="Y27" s="4">
        <f t="shared" si="7"/>
        <v>0.53647930414470013</v>
      </c>
      <c r="Z27" s="1">
        <f t="shared" si="1"/>
        <v>0.95120443997287263</v>
      </c>
      <c r="AA27" s="45">
        <f t="shared" si="2"/>
        <v>183</v>
      </c>
      <c r="AB27" s="45">
        <f t="shared" si="3"/>
        <v>184</v>
      </c>
      <c r="AC27" s="1">
        <v>0.4</v>
      </c>
      <c r="AD27" s="1">
        <v>5</v>
      </c>
      <c r="AE27" s="1">
        <f>25.4*AF27</f>
        <v>177.79999999999998</v>
      </c>
      <c r="AF27" s="1">
        <v>7</v>
      </c>
      <c r="AG27" s="1" t="s">
        <v>256</v>
      </c>
      <c r="AH27">
        <v>0.42</v>
      </c>
      <c r="AI27">
        <f t="shared" si="9"/>
        <v>0.78288201754511089</v>
      </c>
      <c r="AJ27" s="1">
        <v>0.61</v>
      </c>
      <c r="AM27" s="1" t="s">
        <v>195</v>
      </c>
      <c r="AO27" s="1" t="s">
        <v>286</v>
      </c>
      <c r="AP27" s="17" t="s">
        <v>191</v>
      </c>
      <c r="AQ27" s="17" t="s">
        <v>127</v>
      </c>
      <c r="AR27" s="18" t="s">
        <v>35</v>
      </c>
      <c r="AS27" s="45" t="s">
        <v>323</v>
      </c>
      <c r="AT27" s="45" t="s">
        <v>326</v>
      </c>
      <c r="AU27" s="1" t="s">
        <v>323</v>
      </c>
    </row>
    <row r="28" spans="1:47">
      <c r="A28" s="18" t="s">
        <v>63</v>
      </c>
      <c r="B28" s="17" t="s">
        <v>128</v>
      </c>
      <c r="C28" s="17" t="s">
        <v>190</v>
      </c>
      <c r="D28" s="18" t="s">
        <v>34</v>
      </c>
      <c r="E28" s="18" t="s">
        <v>36</v>
      </c>
      <c r="F28" s="18"/>
      <c r="G28" s="1" t="b">
        <v>0</v>
      </c>
      <c r="H28" s="1">
        <v>0.85</v>
      </c>
      <c r="I28" s="45"/>
      <c r="L28" s="1">
        <v>227</v>
      </c>
      <c r="M28" s="45">
        <f t="shared" si="4"/>
        <v>8.9370078740157481</v>
      </c>
      <c r="N28" s="3">
        <v>1.3</v>
      </c>
      <c r="O28" s="3">
        <v>-1.1000000000000001</v>
      </c>
      <c r="R28" s="1">
        <v>175</v>
      </c>
      <c r="S28" s="45">
        <f t="shared" si="5"/>
        <v>6.8897637795275593</v>
      </c>
      <c r="T28" s="1">
        <v>5</v>
      </c>
      <c r="U28" s="47">
        <v>1.67E-2</v>
      </c>
      <c r="V28" s="47">
        <v>2.96</v>
      </c>
      <c r="W28" s="45">
        <f t="shared" si="6"/>
        <v>175</v>
      </c>
      <c r="X28" s="45">
        <f t="shared" si="0"/>
        <v>176</v>
      </c>
      <c r="Y28" s="4">
        <f t="shared" si="7"/>
        <v>0.64377516497364007</v>
      </c>
      <c r="Z28" s="1">
        <f t="shared" si="1"/>
        <v>0.49521166536433847</v>
      </c>
      <c r="AA28" s="45">
        <f t="shared" si="2"/>
        <v>175</v>
      </c>
      <c r="AB28" s="45">
        <f t="shared" si="3"/>
        <v>176</v>
      </c>
      <c r="AC28" s="1">
        <v>0.4</v>
      </c>
      <c r="AD28" s="1">
        <v>5</v>
      </c>
      <c r="AH28">
        <v>0.01</v>
      </c>
      <c r="AI28">
        <f t="shared" si="9"/>
        <v>1.5533373363990298E-2</v>
      </c>
      <c r="AJ28" s="1">
        <v>0.99</v>
      </c>
      <c r="AM28" s="1" t="s">
        <v>195</v>
      </c>
      <c r="AO28" s="1" t="s">
        <v>287</v>
      </c>
      <c r="AP28" s="17" t="s">
        <v>190</v>
      </c>
      <c r="AQ28" s="17" t="s">
        <v>128</v>
      </c>
      <c r="AR28" s="18" t="s">
        <v>36</v>
      </c>
      <c r="AS28" s="45" t="s">
        <v>323</v>
      </c>
      <c r="AT28" s="45" t="s">
        <v>341</v>
      </c>
    </row>
    <row r="29" spans="1:47">
      <c r="A29" s="18" t="s">
        <v>63</v>
      </c>
      <c r="B29" s="18" t="s">
        <v>133</v>
      </c>
      <c r="C29" s="18" t="s">
        <v>38</v>
      </c>
      <c r="D29" s="18" t="s">
        <v>34</v>
      </c>
      <c r="E29" s="18" t="s">
        <v>37</v>
      </c>
      <c r="F29" s="1" t="s">
        <v>175</v>
      </c>
      <c r="G29" s="1" t="b">
        <v>0</v>
      </c>
      <c r="H29" s="1">
        <v>0.9</v>
      </c>
      <c r="I29" s="45"/>
      <c r="L29" s="1">
        <v>303</v>
      </c>
      <c r="M29" s="45">
        <f t="shared" si="4"/>
        <v>11.929133858267717</v>
      </c>
      <c r="N29" s="3">
        <v>0.75555000000000005</v>
      </c>
      <c r="O29" s="3">
        <v>-0.13500000000000001</v>
      </c>
      <c r="R29" s="1">
        <v>145</v>
      </c>
      <c r="S29" s="45">
        <f t="shared" si="5"/>
        <v>5.7086614173228352</v>
      </c>
      <c r="T29" s="1">
        <v>5</v>
      </c>
      <c r="U29" s="47">
        <v>1.136E-2</v>
      </c>
      <c r="V29" s="47">
        <v>3.21082</v>
      </c>
      <c r="W29" s="45">
        <f t="shared" si="6"/>
        <v>145</v>
      </c>
      <c r="X29" s="45">
        <f t="shared" si="0"/>
        <v>146</v>
      </c>
      <c r="Y29" s="4">
        <f t="shared" si="7"/>
        <v>0.64377516497364007</v>
      </c>
      <c r="Z29" s="1">
        <f t="shared" si="1"/>
        <v>0.85206163056533657</v>
      </c>
      <c r="AA29" s="45">
        <f t="shared" si="2"/>
        <v>145</v>
      </c>
      <c r="AB29" s="45">
        <f t="shared" si="3"/>
        <v>146</v>
      </c>
      <c r="AC29" s="1">
        <v>0.4</v>
      </c>
      <c r="AD29" s="1">
        <v>5</v>
      </c>
      <c r="AE29" s="1">
        <f>25.4*AF29</f>
        <v>177.79999999999998</v>
      </c>
      <c r="AF29" s="1">
        <v>7</v>
      </c>
      <c r="AG29" s="1" t="s">
        <v>256</v>
      </c>
      <c r="AI29" s="1">
        <f t="shared" si="9"/>
        <v>0</v>
      </c>
      <c r="AK29" s="1" t="s">
        <v>205</v>
      </c>
      <c r="AL29" s="1" t="s">
        <v>204</v>
      </c>
      <c r="AN29" s="1" t="s">
        <v>206</v>
      </c>
      <c r="AO29" s="1" t="s">
        <v>288</v>
      </c>
      <c r="AP29" s="18" t="s">
        <v>38</v>
      </c>
      <c r="AQ29" s="18" t="s">
        <v>133</v>
      </c>
      <c r="AR29" s="18" t="s">
        <v>37</v>
      </c>
      <c r="AS29" s="45" t="s">
        <v>308</v>
      </c>
      <c r="AT29" s="45" t="s">
        <v>342</v>
      </c>
      <c r="AU29" s="1" t="s">
        <v>323</v>
      </c>
    </row>
    <row r="30" spans="1:47">
      <c r="A30" s="18" t="s">
        <v>63</v>
      </c>
      <c r="B30" s="18" t="s">
        <v>134</v>
      </c>
      <c r="C30" s="18" t="s">
        <v>165</v>
      </c>
      <c r="D30" s="18" t="s">
        <v>34</v>
      </c>
      <c r="E30" s="18" t="s">
        <v>39</v>
      </c>
      <c r="G30" s="1" t="b">
        <v>0</v>
      </c>
      <c r="H30" s="1">
        <v>0.9</v>
      </c>
      <c r="I30" s="45"/>
      <c r="L30" s="1">
        <v>492</v>
      </c>
      <c r="M30" s="45">
        <f t="shared" si="4"/>
        <v>19.370078740157481</v>
      </c>
      <c r="N30" s="3">
        <v>0.53800000000000003</v>
      </c>
      <c r="O30" s="3">
        <v>-0.44600000000000001</v>
      </c>
      <c r="R30" s="1">
        <v>238</v>
      </c>
      <c r="S30" s="45">
        <f t="shared" si="5"/>
        <v>9.3700787401574814</v>
      </c>
      <c r="T30" s="1">
        <v>6</v>
      </c>
      <c r="U30" s="47">
        <v>1.136E-2</v>
      </c>
      <c r="V30" s="47">
        <v>3.21082</v>
      </c>
      <c r="W30" s="45">
        <f t="shared" si="6"/>
        <v>238</v>
      </c>
      <c r="X30" s="45">
        <f t="shared" si="0"/>
        <v>239</v>
      </c>
      <c r="Y30" s="4">
        <f t="shared" si="7"/>
        <v>0.53647930414470013</v>
      </c>
      <c r="Z30" s="1">
        <f t="shared" si="1"/>
        <v>0.99717342777825302</v>
      </c>
      <c r="AA30" s="45">
        <f t="shared" si="2"/>
        <v>238</v>
      </c>
      <c r="AB30" s="45">
        <f t="shared" si="3"/>
        <v>239</v>
      </c>
      <c r="AC30" s="1">
        <v>0.4</v>
      </c>
      <c r="AD30" s="1">
        <v>5</v>
      </c>
      <c r="AE30" s="1">
        <f>25.4*AF30</f>
        <v>254</v>
      </c>
      <c r="AF30" s="1">
        <v>10</v>
      </c>
      <c r="AG30" s="1" t="s">
        <v>257</v>
      </c>
      <c r="AH30" s="1">
        <v>1.32</v>
      </c>
      <c r="AI30" s="1">
        <f t="shared" si="9"/>
        <v>2.4604863408560629</v>
      </c>
      <c r="AJ30" s="1">
        <v>0.14000000000000001</v>
      </c>
      <c r="AM30" s="1" t="s">
        <v>194</v>
      </c>
      <c r="AN30" s="1" t="s">
        <v>201</v>
      </c>
      <c r="AO30" s="1" t="s">
        <v>289</v>
      </c>
      <c r="AP30" s="18" t="s">
        <v>165</v>
      </c>
      <c r="AQ30" s="18" t="s">
        <v>134</v>
      </c>
      <c r="AR30" s="18" t="s">
        <v>39</v>
      </c>
      <c r="AS30" s="45" t="s">
        <v>324</v>
      </c>
      <c r="AT30" s="45" t="s">
        <v>343</v>
      </c>
      <c r="AU30" s="1" t="s">
        <v>306</v>
      </c>
    </row>
    <row r="31" spans="1:47">
      <c r="A31" s="18" t="s">
        <v>61</v>
      </c>
      <c r="B31" s="18" t="s">
        <v>196</v>
      </c>
      <c r="C31" s="18" t="s">
        <v>197</v>
      </c>
      <c r="D31" s="18" t="s">
        <v>40</v>
      </c>
      <c r="E31" s="1" t="s">
        <v>84</v>
      </c>
      <c r="F31" s="18" t="s">
        <v>175</v>
      </c>
      <c r="G31" s="18" t="b">
        <v>1</v>
      </c>
      <c r="H31" s="1">
        <v>1</v>
      </c>
      <c r="I31" s="45"/>
      <c r="L31" s="1">
        <v>532</v>
      </c>
      <c r="M31" s="45">
        <f t="shared" si="4"/>
        <v>20.944881889763781</v>
      </c>
      <c r="N31" s="3">
        <v>0.22500000000000001</v>
      </c>
      <c r="O31" s="3">
        <v>-1.48</v>
      </c>
      <c r="R31" s="1">
        <v>350</v>
      </c>
      <c r="S31" s="45">
        <f t="shared" si="5"/>
        <v>13.779527559055119</v>
      </c>
      <c r="T31" s="1">
        <v>20</v>
      </c>
      <c r="U31" s="47">
        <v>1.3599999999999999E-2</v>
      </c>
      <c r="V31" s="47">
        <v>3.109</v>
      </c>
      <c r="W31" s="45">
        <f t="shared" si="6"/>
        <v>350</v>
      </c>
      <c r="X31" s="45">
        <f t="shared" si="0"/>
        <v>351</v>
      </c>
      <c r="Y31" s="4">
        <f t="shared" si="7"/>
        <v>0.16094379124341002</v>
      </c>
      <c r="Z31" s="1">
        <f t="shared" si="1"/>
        <v>0.71530573885960003</v>
      </c>
      <c r="AA31" s="45">
        <f t="shared" si="2"/>
        <v>350</v>
      </c>
      <c r="AB31" s="45">
        <f t="shared" si="3"/>
        <v>351</v>
      </c>
      <c r="AC31" s="1">
        <v>0.4</v>
      </c>
      <c r="AD31" s="1">
        <v>5</v>
      </c>
      <c r="AE31" s="1">
        <f>25.4*AF31</f>
        <v>304.79999999999995</v>
      </c>
      <c r="AF31" s="1">
        <v>12</v>
      </c>
      <c r="AG31" s="1" t="s">
        <v>259</v>
      </c>
      <c r="AK31" s="1" t="s">
        <v>237</v>
      </c>
      <c r="AN31" s="1" t="s">
        <v>228</v>
      </c>
      <c r="AO31" s="1" t="s">
        <v>290</v>
      </c>
      <c r="AP31" s="18" t="s">
        <v>197</v>
      </c>
      <c r="AQ31" s="18" t="s">
        <v>196</v>
      </c>
      <c r="AR31" s="1" t="s">
        <v>84</v>
      </c>
      <c r="AS31" s="45" t="s">
        <v>315</v>
      </c>
      <c r="AT31" s="45" t="s">
        <v>344</v>
      </c>
      <c r="AU31" s="1" t="s">
        <v>342</v>
      </c>
    </row>
    <row r="32" spans="1:47">
      <c r="A32" s="18" t="s">
        <v>61</v>
      </c>
      <c r="B32" s="18" t="s">
        <v>118</v>
      </c>
      <c r="C32" s="18" t="s">
        <v>43</v>
      </c>
      <c r="D32" s="18" t="s">
        <v>40</v>
      </c>
      <c r="E32" s="18" t="s">
        <v>41</v>
      </c>
      <c r="F32" s="18"/>
      <c r="G32" s="1" t="b">
        <v>1</v>
      </c>
      <c r="H32" s="1">
        <v>1</v>
      </c>
      <c r="I32" s="45"/>
      <c r="J32" s="1">
        <v>0.87</v>
      </c>
      <c r="K32" s="1">
        <v>256</v>
      </c>
      <c r="L32" s="1">
        <f>K32/J32*H32</f>
        <v>294.25287356321837</v>
      </c>
      <c r="M32" s="45">
        <f t="shared" si="4"/>
        <v>11.584758801701511</v>
      </c>
      <c r="N32" s="3">
        <v>0.442</v>
      </c>
      <c r="O32" s="3">
        <v>-0.75600000000000001</v>
      </c>
      <c r="R32" s="1">
        <v>170</v>
      </c>
      <c r="S32" s="45">
        <f t="shared" si="5"/>
        <v>6.6929133858267722</v>
      </c>
      <c r="T32" s="1">
        <v>10</v>
      </c>
      <c r="U32" s="47">
        <v>2.4309999999999998E-2</v>
      </c>
      <c r="V32" s="47">
        <v>2.9693100000000001</v>
      </c>
      <c r="W32" s="45">
        <f t="shared" si="6"/>
        <v>170</v>
      </c>
      <c r="X32" s="45">
        <f t="shared" si="0"/>
        <v>171</v>
      </c>
      <c r="Y32" s="4">
        <f t="shared" si="7"/>
        <v>0.32188758248682003</v>
      </c>
      <c r="Z32" s="1">
        <f t="shared" si="1"/>
        <v>0.7282524490652037</v>
      </c>
      <c r="AA32" s="45">
        <f t="shared" si="2"/>
        <v>170</v>
      </c>
      <c r="AB32" s="45">
        <f t="shared" si="3"/>
        <v>171</v>
      </c>
      <c r="AC32" s="1">
        <v>0.4</v>
      </c>
      <c r="AD32" s="1">
        <v>5</v>
      </c>
      <c r="AH32"/>
      <c r="AI32">
        <f>AH32/Y32</f>
        <v>0</v>
      </c>
      <c r="AK32" s="1" t="s">
        <v>249</v>
      </c>
      <c r="AM32" s="1" t="s">
        <v>195</v>
      </c>
      <c r="AO32" s="1" t="s">
        <v>291</v>
      </c>
      <c r="AP32" s="18" t="s">
        <v>43</v>
      </c>
      <c r="AQ32" s="18" t="s">
        <v>118</v>
      </c>
      <c r="AR32" s="18" t="s">
        <v>41</v>
      </c>
      <c r="AS32" s="45" t="s">
        <v>323</v>
      </c>
      <c r="AT32" s="45" t="s">
        <v>314</v>
      </c>
    </row>
    <row r="33" spans="1:47">
      <c r="A33" s="18" t="s">
        <v>61</v>
      </c>
      <c r="B33" s="18" t="s">
        <v>198</v>
      </c>
      <c r="C33" s="18" t="s">
        <v>43</v>
      </c>
      <c r="D33" s="18" t="s">
        <v>40</v>
      </c>
      <c r="E33" s="1" t="s">
        <v>60</v>
      </c>
      <c r="F33" s="18" t="s">
        <v>175</v>
      </c>
      <c r="G33" s="18" t="b">
        <v>1</v>
      </c>
      <c r="H33" s="1">
        <v>1</v>
      </c>
      <c r="I33" s="45"/>
      <c r="L33" s="1">
        <v>344</v>
      </c>
      <c r="M33" s="45">
        <f t="shared" si="4"/>
        <v>13.543307086614174</v>
      </c>
      <c r="N33" s="3">
        <v>0.4</v>
      </c>
      <c r="O33" s="3">
        <v>-0.13</v>
      </c>
      <c r="R33" s="1">
        <v>172</v>
      </c>
      <c r="S33" s="45">
        <f t="shared" si="5"/>
        <v>6.771653543307087</v>
      </c>
      <c r="T33" s="1">
        <v>11</v>
      </c>
      <c r="U33" s="47">
        <v>2.2200000000000001E-2</v>
      </c>
      <c r="V33" s="47">
        <v>2.9710000000000001</v>
      </c>
      <c r="W33" s="45">
        <f t="shared" si="6"/>
        <v>172</v>
      </c>
      <c r="X33" s="45">
        <f t="shared" si="0"/>
        <v>173</v>
      </c>
      <c r="Y33" s="4">
        <f t="shared" si="7"/>
        <v>0.29262507498801821</v>
      </c>
      <c r="Z33" s="1">
        <f t="shared" si="1"/>
        <v>0.73156268747004549</v>
      </c>
      <c r="AA33" s="45">
        <f t="shared" si="2"/>
        <v>172</v>
      </c>
      <c r="AB33" s="45">
        <f t="shared" si="3"/>
        <v>173</v>
      </c>
      <c r="AC33" s="1">
        <v>0.4</v>
      </c>
      <c r="AD33" s="1">
        <v>5</v>
      </c>
      <c r="AE33" s="1">
        <f>25.4*AF33</f>
        <v>304.79999999999995</v>
      </c>
      <c r="AF33" s="1">
        <v>12</v>
      </c>
      <c r="AG33" s="1" t="s">
        <v>259</v>
      </c>
      <c r="AK33" s="1" t="s">
        <v>238</v>
      </c>
      <c r="AO33" s="1" t="s">
        <v>296</v>
      </c>
      <c r="AP33" s="18" t="s">
        <v>43</v>
      </c>
      <c r="AQ33" s="18" t="s">
        <v>198</v>
      </c>
      <c r="AR33" s="1" t="s">
        <v>60</v>
      </c>
      <c r="AS33" s="45" t="s">
        <v>323</v>
      </c>
      <c r="AT33" s="45" t="s">
        <v>345</v>
      </c>
      <c r="AU33" s="1" t="s">
        <v>342</v>
      </c>
    </row>
    <row r="34" spans="1:47">
      <c r="A34" s="18" t="s">
        <v>61</v>
      </c>
      <c r="B34" s="18" t="s">
        <v>136</v>
      </c>
      <c r="C34" s="18" t="s">
        <v>43</v>
      </c>
      <c r="D34" s="18" t="s">
        <v>40</v>
      </c>
      <c r="E34" s="18" t="s">
        <v>42</v>
      </c>
      <c r="F34" s="18" t="s">
        <v>239</v>
      </c>
      <c r="G34" s="18" t="b">
        <v>1</v>
      </c>
      <c r="H34" s="1">
        <v>0.97</v>
      </c>
      <c r="I34" s="45"/>
      <c r="J34" s="1">
        <v>0.78</v>
      </c>
      <c r="L34" s="1">
        <v>327</v>
      </c>
      <c r="M34" s="45">
        <f t="shared" si="4"/>
        <v>12.874015748031496</v>
      </c>
      <c r="N34" s="3">
        <v>0.48599999999999999</v>
      </c>
      <c r="O34" s="3">
        <v>-0.01</v>
      </c>
      <c r="R34" s="1">
        <v>139</v>
      </c>
      <c r="S34" s="45">
        <f t="shared" si="5"/>
        <v>5.4724409448818898</v>
      </c>
      <c r="T34" s="1">
        <v>6</v>
      </c>
      <c r="U34" s="47">
        <v>1.0449999999999999E-2</v>
      </c>
      <c r="V34" s="47">
        <v>3.3187099999999998</v>
      </c>
      <c r="W34" s="45">
        <f t="shared" si="6"/>
        <v>139</v>
      </c>
      <c r="X34" s="45">
        <f t="shared" si="0"/>
        <v>140</v>
      </c>
      <c r="Y34" s="4">
        <f t="shared" si="7"/>
        <v>0.53647930414470013</v>
      </c>
      <c r="Z34" s="1">
        <f t="shared" si="1"/>
        <v>1.1038668809561731</v>
      </c>
      <c r="AA34" s="45">
        <f t="shared" si="2"/>
        <v>139</v>
      </c>
      <c r="AB34" s="45">
        <f t="shared" si="3"/>
        <v>140</v>
      </c>
      <c r="AC34" s="1">
        <v>0.4</v>
      </c>
      <c r="AD34" s="1">
        <v>5</v>
      </c>
      <c r="AE34" s="1">
        <f>25.4*AF34</f>
        <v>304.79999999999995</v>
      </c>
      <c r="AF34" s="1">
        <v>12</v>
      </c>
      <c r="AG34" s="1" t="s">
        <v>259</v>
      </c>
      <c r="AH34" s="1">
        <v>0.16</v>
      </c>
      <c r="AI34" s="1">
        <f>AH34/Y34</f>
        <v>0.29824076858861365</v>
      </c>
      <c r="AJ34" s="1">
        <v>0.77</v>
      </c>
      <c r="AK34" s="1" t="s">
        <v>237</v>
      </c>
      <c r="AL34" s="1" t="s">
        <v>246</v>
      </c>
      <c r="AM34" s="1" t="s">
        <v>194</v>
      </c>
      <c r="AN34" s="1" t="s">
        <v>247</v>
      </c>
      <c r="AO34" s="1" t="s">
        <v>292</v>
      </c>
      <c r="AP34" s="18" t="s">
        <v>43</v>
      </c>
      <c r="AQ34" s="18" t="s">
        <v>136</v>
      </c>
      <c r="AR34" s="18" t="s">
        <v>42</v>
      </c>
      <c r="AS34" s="45" t="s">
        <v>325</v>
      </c>
      <c r="AT34" s="45" t="s">
        <v>326</v>
      </c>
      <c r="AU34" s="1" t="s">
        <v>342</v>
      </c>
    </row>
    <row r="35" spans="1:47">
      <c r="A35" s="18" t="s">
        <v>61</v>
      </c>
      <c r="B35" s="18" t="s">
        <v>137</v>
      </c>
      <c r="C35" s="18" t="s">
        <v>187</v>
      </c>
      <c r="D35" s="18" t="s">
        <v>40</v>
      </c>
      <c r="E35" s="18" t="s">
        <v>44</v>
      </c>
      <c r="F35" s="1" t="s">
        <v>175</v>
      </c>
      <c r="G35" s="18" t="b">
        <v>1</v>
      </c>
      <c r="H35" s="1">
        <v>0.91</v>
      </c>
      <c r="I35" s="45"/>
      <c r="L35" s="1">
        <v>535</v>
      </c>
      <c r="M35" s="45">
        <f t="shared" si="4"/>
        <v>21.062992125984252</v>
      </c>
      <c r="N35" s="3">
        <v>0.41</v>
      </c>
      <c r="O35" s="3">
        <v>0.12</v>
      </c>
      <c r="R35" s="1">
        <v>350</v>
      </c>
      <c r="S35" s="45">
        <f t="shared" si="5"/>
        <v>13.779527559055119</v>
      </c>
      <c r="T35" s="1">
        <v>20</v>
      </c>
      <c r="U35" s="47">
        <v>1.3599999999999999E-2</v>
      </c>
      <c r="V35" s="47">
        <v>3.109</v>
      </c>
      <c r="W35" s="45">
        <f t="shared" si="6"/>
        <v>350</v>
      </c>
      <c r="X35" s="45">
        <f t="shared" si="0"/>
        <v>351</v>
      </c>
      <c r="Y35" s="4">
        <f t="shared" si="7"/>
        <v>0.16094379124341002</v>
      </c>
      <c r="Z35" s="1">
        <f t="shared" si="1"/>
        <v>0.39254583230100004</v>
      </c>
      <c r="AA35" s="45">
        <f t="shared" si="2"/>
        <v>350</v>
      </c>
      <c r="AB35" s="45">
        <f t="shared" si="3"/>
        <v>351</v>
      </c>
      <c r="AC35" s="1">
        <v>0.4</v>
      </c>
      <c r="AD35" s="1">
        <v>5</v>
      </c>
      <c r="AE35" s="1">
        <f>25.4*AF35</f>
        <v>304.79999999999995</v>
      </c>
      <c r="AF35" s="1">
        <v>12</v>
      </c>
      <c r="AG35" s="1" t="s">
        <v>259</v>
      </c>
      <c r="AH35" s="1">
        <v>0.2</v>
      </c>
      <c r="AI35" s="1">
        <f>AH35/Y35</f>
        <v>1.2426698691192239</v>
      </c>
      <c r="AJ35" s="1">
        <v>0.27</v>
      </c>
      <c r="AK35" s="1" t="s">
        <v>237</v>
      </c>
      <c r="AO35" s="1" t="s">
        <v>293</v>
      </c>
      <c r="AP35" s="18" t="s">
        <v>187</v>
      </c>
      <c r="AQ35" s="18" t="s">
        <v>137</v>
      </c>
      <c r="AR35" s="18" t="s">
        <v>44</v>
      </c>
      <c r="AS35" s="45" t="s">
        <v>315</v>
      </c>
      <c r="AT35" s="45" t="s">
        <v>344</v>
      </c>
      <c r="AU35" s="1" t="s">
        <v>342</v>
      </c>
    </row>
    <row r="36" spans="1:47">
      <c r="A36" s="18" t="s">
        <v>74</v>
      </c>
      <c r="B36" s="17" t="s">
        <v>122</v>
      </c>
      <c r="C36" s="17" t="s">
        <v>112</v>
      </c>
      <c r="D36" s="18" t="s">
        <v>45</v>
      </c>
      <c r="E36" s="18" t="s">
        <v>46</v>
      </c>
      <c r="F36" s="18"/>
      <c r="G36" s="1" t="b">
        <v>1</v>
      </c>
      <c r="H36" s="1">
        <v>1</v>
      </c>
      <c r="I36" s="45">
        <v>506</v>
      </c>
      <c r="J36" s="1">
        <v>0.82</v>
      </c>
      <c r="L36" s="1">
        <f>I36*H36</f>
        <v>506</v>
      </c>
      <c r="M36" s="45">
        <f t="shared" si="4"/>
        <v>19.921259842519685</v>
      </c>
      <c r="N36" s="3">
        <v>7.4999999999999997E-2</v>
      </c>
      <c r="O36" s="3">
        <v>-6.5</v>
      </c>
      <c r="P36" s="1">
        <v>220</v>
      </c>
      <c r="R36" s="1">
        <f>P36/J36*H36</f>
        <v>268.29268292682929</v>
      </c>
      <c r="S36" s="45">
        <f t="shared" si="5"/>
        <v>10.562704052237374</v>
      </c>
      <c r="T36" s="1">
        <v>25</v>
      </c>
      <c r="U36" s="47">
        <v>0.02</v>
      </c>
      <c r="V36" s="47">
        <v>2.99</v>
      </c>
      <c r="W36" s="45">
        <f t="shared" si="6"/>
        <v>268.29268292682929</v>
      </c>
      <c r="X36" s="45">
        <f t="shared" si="0"/>
        <v>269.29268292682929</v>
      </c>
      <c r="Y36" s="4">
        <f t="shared" si="7"/>
        <v>0.12875503299472801</v>
      </c>
      <c r="Z36" s="1">
        <f t="shared" si="1"/>
        <v>1.7167337732630403</v>
      </c>
      <c r="AA36" s="45">
        <f t="shared" si="2"/>
        <v>268.29268292682929</v>
      </c>
      <c r="AB36" s="45">
        <f t="shared" si="3"/>
        <v>269.29268292682929</v>
      </c>
      <c r="AC36" s="1">
        <v>0.4</v>
      </c>
      <c r="AD36" s="1">
        <v>5</v>
      </c>
      <c r="AH36">
        <v>0.01</v>
      </c>
      <c r="AI36">
        <f>AH36/Y36</f>
        <v>7.7666866819951483E-2</v>
      </c>
      <c r="AJ36" s="1">
        <v>0.99</v>
      </c>
      <c r="AM36" s="1" t="s">
        <v>195</v>
      </c>
      <c r="AO36" s="1" t="s">
        <v>294</v>
      </c>
      <c r="AP36" s="17" t="s">
        <v>112</v>
      </c>
      <c r="AQ36" s="17" t="s">
        <v>122</v>
      </c>
      <c r="AR36" s="18" t="s">
        <v>46</v>
      </c>
      <c r="AS36" s="45" t="s">
        <v>307</v>
      </c>
      <c r="AT36" s="45" t="s">
        <v>312</v>
      </c>
    </row>
    <row r="37" spans="1:47">
      <c r="A37" s="18" t="s">
        <v>141</v>
      </c>
      <c r="B37" s="18" t="s">
        <v>139</v>
      </c>
      <c r="C37" s="18" t="s">
        <v>163</v>
      </c>
      <c r="D37" s="18" t="s">
        <v>47</v>
      </c>
      <c r="E37" s="18" t="s">
        <v>48</v>
      </c>
      <c r="G37" s="18" t="b">
        <v>0</v>
      </c>
      <c r="H37" s="1">
        <v>0.89</v>
      </c>
      <c r="I37" s="45"/>
      <c r="L37" s="1">
        <v>1236</v>
      </c>
      <c r="M37" s="45">
        <f t="shared" si="4"/>
        <v>48.661417322834652</v>
      </c>
      <c r="N37" s="3">
        <v>0.26</v>
      </c>
      <c r="O37" s="3">
        <v>-0.71</v>
      </c>
      <c r="R37" s="1">
        <v>780</v>
      </c>
      <c r="S37" s="45">
        <f t="shared" si="5"/>
        <v>30.708661417322837</v>
      </c>
      <c r="T37" s="1">
        <v>19</v>
      </c>
      <c r="U37" s="47">
        <v>6.1700000000000001E-3</v>
      </c>
      <c r="V37" s="47">
        <v>3.0109499999999998</v>
      </c>
      <c r="W37" s="45">
        <f t="shared" si="6"/>
        <v>780</v>
      </c>
      <c r="X37" s="45">
        <f t="shared" si="0"/>
        <v>781</v>
      </c>
      <c r="Y37" s="4">
        <f t="shared" si="7"/>
        <v>0.16941451709832633</v>
      </c>
      <c r="Z37" s="1">
        <f t="shared" si="1"/>
        <v>0.65159429653202439</v>
      </c>
      <c r="AA37" s="45">
        <f t="shared" si="2"/>
        <v>780</v>
      </c>
      <c r="AB37" s="45">
        <f t="shared" si="3"/>
        <v>781</v>
      </c>
      <c r="AC37" s="1">
        <v>0.4</v>
      </c>
      <c r="AD37" s="1">
        <v>5</v>
      </c>
      <c r="AM37" s="1" t="s">
        <v>194</v>
      </c>
      <c r="AN37" s="1" t="s">
        <v>201</v>
      </c>
      <c r="AO37" s="1" t="s">
        <v>295</v>
      </c>
      <c r="AP37" s="18" t="s">
        <v>163</v>
      </c>
      <c r="AQ37" s="18" t="s">
        <v>139</v>
      </c>
      <c r="AR37" s="18" t="s">
        <v>48</v>
      </c>
      <c r="AS37" s="45" t="s">
        <v>321</v>
      </c>
      <c r="AT37" s="45" t="s">
        <v>338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5A89-C954-A94F-8D3C-CE4743919E74}">
  <dimension ref="A1:AN37"/>
  <sheetViews>
    <sheetView topLeftCell="B1" zoomScale="103" workbookViewId="0">
      <selection activeCell="O4" sqref="O4"/>
    </sheetView>
  </sheetViews>
  <sheetFormatPr baseColWidth="10" defaultColWidth="14.1640625" defaultRowHeight="16"/>
  <cols>
    <col min="1" max="5" width="14.1640625" style="1"/>
    <col min="6" max="12" width="14.1640625" style="1" customWidth="1"/>
    <col min="13" max="13" width="14.33203125" style="1" customWidth="1"/>
    <col min="14" max="29" width="14.1640625" style="1" customWidth="1"/>
    <col min="30" max="16384" width="14.1640625" style="1"/>
  </cols>
  <sheetData>
    <row r="1" spans="1:40">
      <c r="A1" s="18" t="s">
        <v>143</v>
      </c>
      <c r="B1" s="18" t="s">
        <v>144</v>
      </c>
      <c r="C1" s="18" t="s">
        <v>145</v>
      </c>
      <c r="D1" s="18" t="s">
        <v>146</v>
      </c>
      <c r="E1" s="18" t="s">
        <v>147</v>
      </c>
      <c r="F1" s="18" t="s">
        <v>168</v>
      </c>
      <c r="G1" s="1" t="s">
        <v>240</v>
      </c>
      <c r="H1" s="1" t="s">
        <v>180</v>
      </c>
      <c r="I1" s="1" t="s">
        <v>1</v>
      </c>
      <c r="J1" s="1" t="s">
        <v>181</v>
      </c>
      <c r="K1" s="1" t="s">
        <v>2</v>
      </c>
      <c r="L1" s="2" t="s">
        <v>49</v>
      </c>
      <c r="M1" s="2" t="s">
        <v>3</v>
      </c>
      <c r="N1" s="2" t="s">
        <v>90</v>
      </c>
      <c r="O1" s="1" t="s">
        <v>4</v>
      </c>
      <c r="P1" s="1" t="s">
        <v>5</v>
      </c>
      <c r="Q1" s="2" t="s">
        <v>6</v>
      </c>
      <c r="R1" s="2" t="s">
        <v>253</v>
      </c>
      <c r="S1" s="2" t="s">
        <v>182</v>
      </c>
      <c r="T1" s="2" t="s">
        <v>149</v>
      </c>
      <c r="U1" s="2" t="s">
        <v>150</v>
      </c>
      <c r="V1" s="2" t="s">
        <v>50</v>
      </c>
      <c r="W1" s="2" t="s">
        <v>51</v>
      </c>
      <c r="X1" s="2" t="s">
        <v>93</v>
      </c>
      <c r="Y1" s="2" t="s">
        <v>148</v>
      </c>
      <c r="Z1" s="16" t="s">
        <v>52</v>
      </c>
      <c r="AA1" s="16" t="s">
        <v>53</v>
      </c>
      <c r="AB1" s="2" t="s">
        <v>54</v>
      </c>
      <c r="AC1" s="2" t="s">
        <v>55</v>
      </c>
      <c r="AD1" s="1" t="s">
        <v>251</v>
      </c>
      <c r="AE1" s="1" t="s">
        <v>252</v>
      </c>
      <c r="AF1" s="1" t="s">
        <v>254</v>
      </c>
      <c r="AG1" s="13" t="s">
        <v>57</v>
      </c>
      <c r="AH1" s="13" t="s">
        <v>58</v>
      </c>
      <c r="AI1" s="13" t="s">
        <v>151</v>
      </c>
      <c r="AJ1" s="7" t="s">
        <v>169</v>
      </c>
      <c r="AK1" s="7" t="s">
        <v>170</v>
      </c>
      <c r="AL1" s="7" t="s">
        <v>171</v>
      </c>
      <c r="AM1" s="7" t="s">
        <v>200</v>
      </c>
      <c r="AN1" s="1" t="s">
        <v>301</v>
      </c>
    </row>
    <row r="2" spans="1:40">
      <c r="A2" s="18" t="s">
        <v>62</v>
      </c>
      <c r="B2" s="17" t="s">
        <v>66</v>
      </c>
      <c r="C2" s="18" t="s">
        <v>67</v>
      </c>
      <c r="D2" s="18" t="s">
        <v>7</v>
      </c>
      <c r="E2" s="18" t="s">
        <v>8</v>
      </c>
      <c r="F2" s="18"/>
      <c r="G2" s="1" t="b">
        <v>0</v>
      </c>
      <c r="J2" s="1">
        <v>0.76</v>
      </c>
      <c r="K2" s="1">
        <v>276</v>
      </c>
      <c r="L2" s="45">
        <v>363</v>
      </c>
      <c r="M2" s="3">
        <v>0.25</v>
      </c>
      <c r="N2" s="3">
        <v>-0.38</v>
      </c>
      <c r="P2" s="1">
        <v>210</v>
      </c>
      <c r="Q2" s="45">
        <v>276</v>
      </c>
      <c r="R2" s="45">
        <f t="shared" ref="R2:R37" si="0">Q2/25.4</f>
        <v>10.866141732283465</v>
      </c>
      <c r="S2" s="1">
        <v>35</v>
      </c>
      <c r="T2" s="47">
        <v>2.5059999999999999E-2</v>
      </c>
      <c r="U2" s="47">
        <v>3.03193</v>
      </c>
      <c r="V2" s="45">
        <f t="shared" ref="V2:V37" si="1">Q2</f>
        <v>276</v>
      </c>
      <c r="W2" s="45">
        <f t="shared" ref="W2:W37" si="2">V2+1</f>
        <v>277</v>
      </c>
      <c r="X2" s="4">
        <f>-(LN(0.04))/S2</f>
        <v>9.196788071052002E-2</v>
      </c>
      <c r="Y2" s="1">
        <f t="shared" ref="Y2:Y37" si="3">X2/M2</f>
        <v>0.36787152284208008</v>
      </c>
      <c r="Z2" s="45">
        <f t="shared" ref="Z2:Z37" si="4">V2</f>
        <v>276</v>
      </c>
      <c r="AA2" s="45">
        <f t="shared" ref="AA2:AA37" si="5">Z2+1</f>
        <v>277</v>
      </c>
      <c r="AB2" s="1">
        <v>0.4</v>
      </c>
      <c r="AC2" s="1">
        <v>5</v>
      </c>
      <c r="AG2">
        <v>0.27</v>
      </c>
      <c r="AH2">
        <f>AG2/X2</f>
        <v>2.9358075657941662</v>
      </c>
      <c r="AI2" s="1">
        <v>0.16</v>
      </c>
      <c r="AL2" s="1" t="s">
        <v>195</v>
      </c>
      <c r="AN2" s="1" t="s">
        <v>265</v>
      </c>
    </row>
    <row r="3" spans="1:40">
      <c r="A3" s="18" t="s">
        <v>62</v>
      </c>
      <c r="B3" s="18" t="s">
        <v>68</v>
      </c>
      <c r="C3" s="18" t="s">
        <v>69</v>
      </c>
      <c r="D3" s="18" t="s">
        <v>7</v>
      </c>
      <c r="E3" s="18" t="s">
        <v>9</v>
      </c>
      <c r="F3" s="18"/>
      <c r="G3" s="1" t="b">
        <v>0</v>
      </c>
      <c r="J3" s="1">
        <v>0.83</v>
      </c>
      <c r="K3" s="1">
        <v>308</v>
      </c>
      <c r="L3" s="45">
        <v>371</v>
      </c>
      <c r="M3" s="3">
        <v>0.29599999999999999</v>
      </c>
      <c r="N3" s="3">
        <v>-0.28999999999999998</v>
      </c>
      <c r="P3" s="1">
        <v>234</v>
      </c>
      <c r="Q3" s="45">
        <v>282</v>
      </c>
      <c r="R3" s="45">
        <f t="shared" si="0"/>
        <v>11.102362204724409</v>
      </c>
      <c r="S3" s="1">
        <v>28</v>
      </c>
      <c r="T3" s="47">
        <v>2.5100000000000001E-2</v>
      </c>
      <c r="U3" s="47">
        <v>3.032</v>
      </c>
      <c r="V3" s="45">
        <f t="shared" si="1"/>
        <v>282</v>
      </c>
      <c r="W3" s="45">
        <f t="shared" si="2"/>
        <v>283</v>
      </c>
      <c r="X3" s="4">
        <f>-(LN(0.04))/S3</f>
        <v>0.11495985088815001</v>
      </c>
      <c r="Y3" s="1">
        <f t="shared" si="3"/>
        <v>0.38837787462212847</v>
      </c>
      <c r="Z3" s="45">
        <f t="shared" si="4"/>
        <v>282</v>
      </c>
      <c r="AA3" s="45">
        <f t="shared" si="5"/>
        <v>283</v>
      </c>
      <c r="AB3" s="1">
        <v>0.4</v>
      </c>
      <c r="AC3" s="1">
        <v>5</v>
      </c>
      <c r="AG3">
        <v>0.18</v>
      </c>
      <c r="AH3">
        <f>AG3/X3</f>
        <v>1.5657640350902218</v>
      </c>
      <c r="AI3" s="1">
        <v>0.32</v>
      </c>
      <c r="AL3" s="1" t="s">
        <v>195</v>
      </c>
      <c r="AN3" s="1" t="s">
        <v>266</v>
      </c>
    </row>
    <row r="4" spans="1:40">
      <c r="A4" s="18" t="s">
        <v>62</v>
      </c>
      <c r="B4" s="18" t="s">
        <v>173</v>
      </c>
      <c r="C4" s="18" t="s">
        <v>172</v>
      </c>
      <c r="D4" s="18" t="s">
        <v>7</v>
      </c>
      <c r="E4" s="18" t="s">
        <v>97</v>
      </c>
      <c r="F4" s="1" t="s">
        <v>175</v>
      </c>
      <c r="G4" s="1" t="b">
        <v>0</v>
      </c>
      <c r="H4" s="1">
        <v>0.87</v>
      </c>
      <c r="L4" s="45">
        <v>203</v>
      </c>
      <c r="M4" s="3">
        <v>1.4308000000000001</v>
      </c>
      <c r="N4" s="3">
        <v>5.11E-2</v>
      </c>
      <c r="O4" s="1">
        <v>156</v>
      </c>
      <c r="Q4" s="45">
        <f>O4/H4</f>
        <v>179.31034482758622</v>
      </c>
      <c r="R4" s="45">
        <f t="shared" si="0"/>
        <v>7.0594623947868591</v>
      </c>
      <c r="S4" s="46"/>
      <c r="T4" s="47">
        <v>8.3059999999999995E-2</v>
      </c>
      <c r="U4" s="47">
        <v>2.56968</v>
      </c>
      <c r="V4" s="45">
        <f t="shared" si="1"/>
        <v>179.31034482758622</v>
      </c>
      <c r="W4" s="45">
        <f t="shared" si="2"/>
        <v>180.31034482758622</v>
      </c>
      <c r="X4" s="4">
        <f>(4.118*(M4)^0.73)*(L4^-0.33)</f>
        <v>0.92637167984683455</v>
      </c>
      <c r="Y4" s="1">
        <f t="shared" si="3"/>
        <v>0.64745015365308534</v>
      </c>
      <c r="Z4" s="45">
        <f t="shared" si="4"/>
        <v>179.31034482758622</v>
      </c>
      <c r="AA4" s="45">
        <f t="shared" si="5"/>
        <v>180.31034482758622</v>
      </c>
      <c r="AB4" s="1">
        <v>0.4</v>
      </c>
      <c r="AC4" s="1">
        <v>5</v>
      </c>
      <c r="AD4" s="1">
        <f>25.4*AE4</f>
        <v>127</v>
      </c>
      <c r="AE4" s="1">
        <v>5</v>
      </c>
      <c r="AF4" s="1" t="s">
        <v>260</v>
      </c>
      <c r="AJ4" s="1" t="s">
        <v>99</v>
      </c>
      <c r="AK4" s="18" t="s">
        <v>176</v>
      </c>
      <c r="AN4" s="1" t="s">
        <v>267</v>
      </c>
    </row>
    <row r="5" spans="1:40">
      <c r="A5" s="18" t="s">
        <v>62</v>
      </c>
      <c r="B5" s="18" t="s">
        <v>70</v>
      </c>
      <c r="C5" s="18" t="s">
        <v>67</v>
      </c>
      <c r="D5" s="18" t="s">
        <v>7</v>
      </c>
      <c r="E5" s="18" t="s">
        <v>10</v>
      </c>
      <c r="F5" s="18"/>
      <c r="G5" s="1" t="b">
        <v>0</v>
      </c>
      <c r="J5" s="1">
        <v>0.74</v>
      </c>
      <c r="K5" s="1">
        <v>426</v>
      </c>
      <c r="L5" s="45">
        <v>576</v>
      </c>
      <c r="M5" s="3">
        <v>0.28699999999999998</v>
      </c>
      <c r="N5" s="3">
        <v>-0.21</v>
      </c>
      <c r="P5" s="1">
        <v>367</v>
      </c>
      <c r="Q5" s="45">
        <v>496</v>
      </c>
      <c r="R5" s="45">
        <f t="shared" si="0"/>
        <v>19.527559055118111</v>
      </c>
      <c r="S5" s="1">
        <v>34</v>
      </c>
      <c r="T5" s="47">
        <v>2.673E-2</v>
      </c>
      <c r="U5" s="47">
        <v>2.9844900000000001</v>
      </c>
      <c r="V5" s="45">
        <f t="shared" si="1"/>
        <v>496</v>
      </c>
      <c r="W5" s="45">
        <f t="shared" si="2"/>
        <v>497</v>
      </c>
      <c r="X5" s="4">
        <f t="shared" ref="X5:X37" si="6">-(LN(0.04))/S5</f>
        <v>9.4672818378476492E-2</v>
      </c>
      <c r="Y5" s="1">
        <f t="shared" si="3"/>
        <v>0.32987044731176479</v>
      </c>
      <c r="Z5" s="45">
        <f t="shared" si="4"/>
        <v>496</v>
      </c>
      <c r="AA5" s="45">
        <f t="shared" si="5"/>
        <v>497</v>
      </c>
      <c r="AB5" s="1">
        <v>0.4</v>
      </c>
      <c r="AC5" s="1">
        <v>5</v>
      </c>
      <c r="AG5"/>
      <c r="AH5">
        <f t="shared" ref="AH5:AH13" si="7">AG5/X5</f>
        <v>0</v>
      </c>
      <c r="AL5" s="1" t="s">
        <v>195</v>
      </c>
      <c r="AN5" s="1" t="s">
        <v>268</v>
      </c>
    </row>
    <row r="6" spans="1:40">
      <c r="A6" s="18" t="s">
        <v>62</v>
      </c>
      <c r="B6" s="18" t="s">
        <v>123</v>
      </c>
      <c r="C6" s="18" t="s">
        <v>12</v>
      </c>
      <c r="D6" s="18" t="s">
        <v>7</v>
      </c>
      <c r="E6" s="18" t="s">
        <v>11</v>
      </c>
      <c r="G6" s="18" t="b">
        <v>0</v>
      </c>
      <c r="K6" s="1">
        <v>145.19999999999999</v>
      </c>
      <c r="L6" s="45">
        <v>188</v>
      </c>
      <c r="M6" s="3">
        <v>0.42299999999999999</v>
      </c>
      <c r="N6" s="3">
        <v>-0.51</v>
      </c>
      <c r="Q6" s="45">
        <v>89.36</v>
      </c>
      <c r="R6" s="45">
        <f t="shared" si="0"/>
        <v>3.5181102362204726</v>
      </c>
      <c r="S6" s="1">
        <v>39</v>
      </c>
      <c r="T6" s="47">
        <v>2.2000000000000001E-3</v>
      </c>
      <c r="U6" s="47">
        <v>3</v>
      </c>
      <c r="V6" s="45">
        <f t="shared" si="1"/>
        <v>89.36</v>
      </c>
      <c r="W6" s="45">
        <f t="shared" si="2"/>
        <v>90.36</v>
      </c>
      <c r="X6" s="4">
        <f t="shared" si="6"/>
        <v>8.2535277560723097E-2</v>
      </c>
      <c r="Y6" s="1">
        <f t="shared" si="3"/>
        <v>0.19511885948161489</v>
      </c>
      <c r="Z6" s="45">
        <f t="shared" si="4"/>
        <v>89.36</v>
      </c>
      <c r="AA6" s="45">
        <f t="shared" si="5"/>
        <v>90.36</v>
      </c>
      <c r="AB6" s="1">
        <v>0.4</v>
      </c>
      <c r="AC6" s="1">
        <v>5</v>
      </c>
      <c r="AH6" s="1">
        <f t="shared" si="7"/>
        <v>0</v>
      </c>
      <c r="AJ6" s="1" t="s">
        <v>82</v>
      </c>
      <c r="AN6" s="1" t="s">
        <v>269</v>
      </c>
    </row>
    <row r="7" spans="1:40">
      <c r="A7" s="18" t="s">
        <v>62</v>
      </c>
      <c r="B7" s="18" t="s">
        <v>123</v>
      </c>
      <c r="C7" s="18" t="s">
        <v>12</v>
      </c>
      <c r="D7" s="18" t="s">
        <v>7</v>
      </c>
      <c r="E7" s="18" t="s">
        <v>242</v>
      </c>
      <c r="F7" s="1" t="s">
        <v>175</v>
      </c>
      <c r="G7" s="18" t="b">
        <v>0</v>
      </c>
      <c r="H7" s="1">
        <v>0.94</v>
      </c>
      <c r="I7" s="1">
        <v>114.64</v>
      </c>
      <c r="L7" s="45">
        <f>I7/H7</f>
        <v>121.95744680851064</v>
      </c>
      <c r="M7" s="3">
        <v>0.65529599999999999</v>
      </c>
      <c r="N7" s="3">
        <v>-1.28111</v>
      </c>
      <c r="O7" s="1">
        <v>84</v>
      </c>
      <c r="Q7" s="45">
        <f>O7/H7</f>
        <v>89.361702127659584</v>
      </c>
      <c r="R7" s="45">
        <f t="shared" si="0"/>
        <v>3.5181772491204564</v>
      </c>
      <c r="S7" s="1">
        <v>18</v>
      </c>
      <c r="T7" s="47">
        <v>2.2000000000000001E-3</v>
      </c>
      <c r="U7" s="47">
        <v>3</v>
      </c>
      <c r="V7" s="45">
        <f t="shared" si="1"/>
        <v>89.361702127659584</v>
      </c>
      <c r="W7" s="45">
        <f t="shared" si="2"/>
        <v>90.361702127659584</v>
      </c>
      <c r="X7" s="4">
        <f t="shared" si="6"/>
        <v>0.17882643471490003</v>
      </c>
      <c r="Y7" s="1">
        <f t="shared" si="3"/>
        <v>0.27289413442917404</v>
      </c>
      <c r="Z7" s="45">
        <f t="shared" si="4"/>
        <v>89.361702127659584</v>
      </c>
      <c r="AA7" s="45">
        <f t="shared" si="5"/>
        <v>90.361702127659584</v>
      </c>
      <c r="AB7" s="1">
        <v>0.4</v>
      </c>
      <c r="AC7" s="1">
        <v>5</v>
      </c>
      <c r="AH7" s="1">
        <f t="shared" si="7"/>
        <v>0</v>
      </c>
      <c r="AJ7" s="1" t="s">
        <v>199</v>
      </c>
      <c r="AN7" s="1" t="s">
        <v>297</v>
      </c>
    </row>
    <row r="8" spans="1:40">
      <c r="A8" s="18" t="s">
        <v>62</v>
      </c>
      <c r="B8" s="18" t="s">
        <v>123</v>
      </c>
      <c r="C8" s="18" t="s">
        <v>12</v>
      </c>
      <c r="D8" s="18" t="s">
        <v>7</v>
      </c>
      <c r="E8" s="18" t="s">
        <v>241</v>
      </c>
      <c r="F8" s="1" t="s">
        <v>174</v>
      </c>
      <c r="G8" s="18" t="b">
        <v>0</v>
      </c>
      <c r="H8" s="1">
        <v>0.94</v>
      </c>
      <c r="I8" s="1">
        <v>145.94999999999999</v>
      </c>
      <c r="L8" s="45">
        <f>I8/H8</f>
        <v>155.2659574468085</v>
      </c>
      <c r="M8" s="3">
        <v>0.50989600000000002</v>
      </c>
      <c r="N8" s="3">
        <v>-1.0541499999999999</v>
      </c>
      <c r="O8" s="1">
        <v>100</v>
      </c>
      <c r="Q8" s="45">
        <f>O8/H8</f>
        <v>106.38297872340426</v>
      </c>
      <c r="R8" s="45">
        <f t="shared" si="0"/>
        <v>4.1883062489529239</v>
      </c>
      <c r="S8" s="1">
        <v>18</v>
      </c>
      <c r="T8" s="47">
        <v>2.2000000000000001E-3</v>
      </c>
      <c r="U8" s="47">
        <v>3</v>
      </c>
      <c r="V8" s="45">
        <f t="shared" si="1"/>
        <v>106.38297872340426</v>
      </c>
      <c r="W8" s="45">
        <f t="shared" si="2"/>
        <v>107.38297872340426</v>
      </c>
      <c r="X8" s="4">
        <f t="shared" si="6"/>
        <v>0.17882643471490003</v>
      </c>
      <c r="Y8" s="1">
        <f t="shared" si="3"/>
        <v>0.35071158572512834</v>
      </c>
      <c r="Z8" s="45">
        <f t="shared" si="4"/>
        <v>106.38297872340426</v>
      </c>
      <c r="AA8" s="45">
        <f t="shared" si="5"/>
        <v>107.38297872340426</v>
      </c>
      <c r="AB8" s="1">
        <v>0.4</v>
      </c>
      <c r="AC8" s="1">
        <v>5</v>
      </c>
      <c r="AH8" s="1">
        <f t="shared" si="7"/>
        <v>0</v>
      </c>
      <c r="AJ8" s="1" t="s">
        <v>199</v>
      </c>
      <c r="AN8" s="1" t="s">
        <v>298</v>
      </c>
    </row>
    <row r="9" spans="1:40">
      <c r="A9" s="18" t="s">
        <v>62</v>
      </c>
      <c r="B9" s="17" t="s">
        <v>130</v>
      </c>
      <c r="C9" s="17" t="s">
        <v>115</v>
      </c>
      <c r="D9" s="18" t="s">
        <v>7</v>
      </c>
      <c r="E9" s="18" t="s">
        <v>13</v>
      </c>
      <c r="G9" s="1" t="b">
        <v>0</v>
      </c>
      <c r="J9" s="1">
        <v>0.93</v>
      </c>
      <c r="K9" s="1">
        <v>304</v>
      </c>
      <c r="L9" s="45">
        <v>327</v>
      </c>
      <c r="M9" s="3">
        <v>0.40200000000000002</v>
      </c>
      <c r="N9" s="3">
        <v>-0.21</v>
      </c>
      <c r="P9" s="1">
        <v>250</v>
      </c>
      <c r="Q9" s="45">
        <v>269</v>
      </c>
      <c r="R9" s="45">
        <f t="shared" si="0"/>
        <v>10.590551181102363</v>
      </c>
      <c r="S9" s="1">
        <v>25</v>
      </c>
      <c r="T9" s="47">
        <v>1.065E-2</v>
      </c>
      <c r="U9" s="47">
        <v>3.2429700000000001</v>
      </c>
      <c r="V9" s="45">
        <f t="shared" si="1"/>
        <v>269</v>
      </c>
      <c r="W9" s="45">
        <f t="shared" si="2"/>
        <v>270</v>
      </c>
      <c r="X9" s="4">
        <f t="shared" si="6"/>
        <v>0.12875503299472801</v>
      </c>
      <c r="Y9" s="1">
        <f t="shared" si="3"/>
        <v>0.32028615172817915</v>
      </c>
      <c r="Z9" s="45">
        <f t="shared" si="4"/>
        <v>269</v>
      </c>
      <c r="AA9" s="45">
        <f t="shared" si="5"/>
        <v>270</v>
      </c>
      <c r="AB9" s="1">
        <v>0.4</v>
      </c>
      <c r="AC9" s="1">
        <v>5</v>
      </c>
      <c r="AD9" s="1">
        <f>25.4*AE9</f>
        <v>355.59999999999997</v>
      </c>
      <c r="AE9" s="1">
        <v>14</v>
      </c>
      <c r="AF9" s="1" t="s">
        <v>255</v>
      </c>
      <c r="AG9">
        <v>0.11</v>
      </c>
      <c r="AH9">
        <f t="shared" si="7"/>
        <v>0.85433553501946635</v>
      </c>
      <c r="AI9" s="1">
        <v>0.45</v>
      </c>
      <c r="AL9" s="1" t="s">
        <v>194</v>
      </c>
      <c r="AM9" s="1" t="s">
        <v>201</v>
      </c>
      <c r="AN9" s="1" t="s">
        <v>270</v>
      </c>
    </row>
    <row r="10" spans="1:40">
      <c r="A10" s="18" t="s">
        <v>62</v>
      </c>
      <c r="B10" s="17" t="s">
        <v>131</v>
      </c>
      <c r="C10" s="17" t="s">
        <v>185</v>
      </c>
      <c r="D10" s="18" t="s">
        <v>7</v>
      </c>
      <c r="E10" s="18" t="s">
        <v>15</v>
      </c>
      <c r="G10" s="1" t="b">
        <v>0</v>
      </c>
      <c r="J10" s="1">
        <v>0.88</v>
      </c>
      <c r="K10" s="1">
        <v>527</v>
      </c>
      <c r="L10" s="45">
        <v>599</v>
      </c>
      <c r="M10" s="3">
        <v>0.221</v>
      </c>
      <c r="N10" s="3">
        <v>-0.22</v>
      </c>
      <c r="P10" s="1">
        <v>450</v>
      </c>
      <c r="Q10" s="45">
        <v>511</v>
      </c>
      <c r="R10" s="45">
        <f t="shared" si="0"/>
        <v>20.118110236220474</v>
      </c>
      <c r="S10" s="1">
        <v>44</v>
      </c>
      <c r="T10" s="47">
        <v>4.24E-2</v>
      </c>
      <c r="U10" s="47">
        <v>2.8540000000000001</v>
      </c>
      <c r="V10" s="45">
        <f t="shared" si="1"/>
        <v>511</v>
      </c>
      <c r="W10" s="45">
        <f t="shared" si="2"/>
        <v>512</v>
      </c>
      <c r="X10" s="4">
        <f t="shared" si="6"/>
        <v>7.3156268747004552E-2</v>
      </c>
      <c r="Y10" s="1">
        <f t="shared" si="3"/>
        <v>0.33102384048418348</v>
      </c>
      <c r="Z10" s="45">
        <f t="shared" si="4"/>
        <v>511</v>
      </c>
      <c r="AA10" s="45">
        <f t="shared" si="5"/>
        <v>512</v>
      </c>
      <c r="AB10" s="1">
        <v>0.4</v>
      </c>
      <c r="AC10" s="1">
        <v>5</v>
      </c>
      <c r="AD10" s="1">
        <f>25.4*AE10</f>
        <v>406.4</v>
      </c>
      <c r="AE10" s="1">
        <v>16</v>
      </c>
      <c r="AF10" s="1" t="s">
        <v>261</v>
      </c>
      <c r="AG10">
        <v>0.13</v>
      </c>
      <c r="AH10">
        <f t="shared" si="7"/>
        <v>1.7770179128404902</v>
      </c>
      <c r="AI10" s="1">
        <v>0.23</v>
      </c>
      <c r="AL10" s="1" t="s">
        <v>194</v>
      </c>
      <c r="AM10" s="1" t="s">
        <v>201</v>
      </c>
      <c r="AN10" s="1" t="s">
        <v>271</v>
      </c>
    </row>
    <row r="11" spans="1:40">
      <c r="A11" s="18" t="s">
        <v>62</v>
      </c>
      <c r="B11" s="17" t="s">
        <v>132</v>
      </c>
      <c r="C11" s="17" t="s">
        <v>189</v>
      </c>
      <c r="D11" s="18" t="s">
        <v>7</v>
      </c>
      <c r="E11" s="18" t="s">
        <v>16</v>
      </c>
      <c r="G11" s="1" t="b">
        <v>0</v>
      </c>
      <c r="H11" s="1">
        <v>1</v>
      </c>
      <c r="I11" s="1">
        <v>256</v>
      </c>
      <c r="L11" s="45">
        <v>256</v>
      </c>
      <c r="M11" s="3">
        <v>0.34079999999999999</v>
      </c>
      <c r="N11" s="3">
        <v>-0.66</v>
      </c>
      <c r="O11" s="1">
        <v>199</v>
      </c>
      <c r="Q11" s="45">
        <v>199</v>
      </c>
      <c r="R11" s="45">
        <f t="shared" si="0"/>
        <v>7.8346456692913389</v>
      </c>
      <c r="S11" s="1">
        <v>25</v>
      </c>
      <c r="T11" s="47">
        <v>4.9700000000000001E-2</v>
      </c>
      <c r="U11" s="47">
        <v>2.839</v>
      </c>
      <c r="V11" s="45">
        <f t="shared" si="1"/>
        <v>199</v>
      </c>
      <c r="W11" s="45">
        <f t="shared" si="2"/>
        <v>200</v>
      </c>
      <c r="X11" s="4">
        <f t="shared" si="6"/>
        <v>0.12875503299472801</v>
      </c>
      <c r="Y11" s="1">
        <f t="shared" si="3"/>
        <v>0.37780232686246484</v>
      </c>
      <c r="Z11" s="45">
        <f t="shared" si="4"/>
        <v>199</v>
      </c>
      <c r="AA11" s="45">
        <f t="shared" si="5"/>
        <v>200</v>
      </c>
      <c r="AB11" s="1">
        <v>0.4</v>
      </c>
      <c r="AC11" s="1">
        <v>5</v>
      </c>
      <c r="AG11">
        <v>0.21</v>
      </c>
      <c r="AH11">
        <f t="shared" si="7"/>
        <v>1.6310042032189811</v>
      </c>
      <c r="AI11" s="1">
        <v>0.3</v>
      </c>
      <c r="AL11" s="1" t="s">
        <v>194</v>
      </c>
      <c r="AM11" s="1" t="s">
        <v>201</v>
      </c>
      <c r="AN11" s="1" t="s">
        <v>272</v>
      </c>
    </row>
    <row r="12" spans="1:40">
      <c r="A12" s="18" t="s">
        <v>62</v>
      </c>
      <c r="B12" s="18" t="s">
        <v>164</v>
      </c>
      <c r="C12" s="18" t="s">
        <v>14</v>
      </c>
      <c r="D12" s="18" t="s">
        <v>7</v>
      </c>
      <c r="E12" s="18" t="s">
        <v>244</v>
      </c>
      <c r="F12" s="1" t="s">
        <v>174</v>
      </c>
      <c r="G12" s="1" t="b">
        <v>0</v>
      </c>
      <c r="H12" s="1">
        <v>1</v>
      </c>
      <c r="I12" s="1">
        <v>476</v>
      </c>
      <c r="L12" s="45">
        <f>I12/H12</f>
        <v>476</v>
      </c>
      <c r="M12" s="3">
        <v>0.46</v>
      </c>
      <c r="N12" s="3">
        <v>-0.11</v>
      </c>
      <c r="O12" s="1">
        <v>301</v>
      </c>
      <c r="Q12" s="45">
        <f>O12/H12</f>
        <v>301</v>
      </c>
      <c r="R12" s="45">
        <f t="shared" si="0"/>
        <v>11.850393700787402</v>
      </c>
      <c r="S12" s="1">
        <v>50</v>
      </c>
      <c r="T12" s="47">
        <v>1.788E-2</v>
      </c>
      <c r="U12" s="47">
        <v>3.03545</v>
      </c>
      <c r="V12" s="45">
        <f t="shared" si="1"/>
        <v>301</v>
      </c>
      <c r="W12" s="45">
        <f t="shared" si="2"/>
        <v>302</v>
      </c>
      <c r="X12" s="4">
        <f t="shared" si="6"/>
        <v>6.4377516497364007E-2</v>
      </c>
      <c r="Y12" s="1">
        <f t="shared" si="3"/>
        <v>0.13995112282035654</v>
      </c>
      <c r="Z12" s="45">
        <f t="shared" si="4"/>
        <v>301</v>
      </c>
      <c r="AA12" s="45">
        <f t="shared" si="5"/>
        <v>302</v>
      </c>
      <c r="AB12" s="1">
        <v>0.4</v>
      </c>
      <c r="AC12" s="1">
        <v>5</v>
      </c>
      <c r="AD12" s="1">
        <f>25.4*AE12</f>
        <v>355.59999999999997</v>
      </c>
      <c r="AE12" s="1">
        <v>14</v>
      </c>
      <c r="AF12" s="1" t="s">
        <v>255</v>
      </c>
      <c r="AG12" s="1">
        <v>0.25</v>
      </c>
      <c r="AH12" s="1">
        <f t="shared" si="7"/>
        <v>3.8833433409975742</v>
      </c>
      <c r="AI12" s="1">
        <v>0.08</v>
      </c>
      <c r="AJ12" s="1" t="s">
        <v>202</v>
      </c>
      <c r="AM12" s="1" t="s">
        <v>203</v>
      </c>
      <c r="AN12" s="1" t="s">
        <v>299</v>
      </c>
    </row>
    <row r="13" spans="1:40">
      <c r="A13" s="18" t="s">
        <v>62</v>
      </c>
      <c r="B13" s="18" t="s">
        <v>164</v>
      </c>
      <c r="C13" s="18" t="s">
        <v>14</v>
      </c>
      <c r="D13" s="18" t="s">
        <v>7</v>
      </c>
      <c r="E13" s="18" t="s">
        <v>245</v>
      </c>
      <c r="F13" s="1" t="s">
        <v>175</v>
      </c>
      <c r="G13" s="1" t="b">
        <v>0</v>
      </c>
      <c r="H13" s="1">
        <v>1</v>
      </c>
      <c r="I13" s="1">
        <v>480</v>
      </c>
      <c r="L13" s="45">
        <f>I13/H13</f>
        <v>480</v>
      </c>
      <c r="M13" s="3">
        <v>0.43</v>
      </c>
      <c r="N13" s="3">
        <v>-0.14000000000000001</v>
      </c>
      <c r="O13" s="1">
        <v>355</v>
      </c>
      <c r="Q13" s="45">
        <f>O13/H13</f>
        <v>355</v>
      </c>
      <c r="R13" s="45">
        <f t="shared" si="0"/>
        <v>13.976377952755906</v>
      </c>
      <c r="S13" s="1">
        <v>50</v>
      </c>
      <c r="T13" s="47">
        <v>1.788E-2</v>
      </c>
      <c r="U13" s="47">
        <v>3.03545</v>
      </c>
      <c r="V13" s="45">
        <f t="shared" si="1"/>
        <v>355</v>
      </c>
      <c r="W13" s="45">
        <f t="shared" si="2"/>
        <v>356</v>
      </c>
      <c r="X13" s="4">
        <f t="shared" si="6"/>
        <v>6.4377516497364007E-2</v>
      </c>
      <c r="Y13" s="1">
        <f t="shared" si="3"/>
        <v>0.14971515464503257</v>
      </c>
      <c r="Z13" s="45">
        <f t="shared" si="4"/>
        <v>355</v>
      </c>
      <c r="AA13" s="45">
        <f t="shared" si="5"/>
        <v>356</v>
      </c>
      <c r="AB13" s="1">
        <v>0.4</v>
      </c>
      <c r="AC13" s="1">
        <v>5</v>
      </c>
      <c r="AD13" s="1">
        <f>25.4*AE13</f>
        <v>355.59999999999997</v>
      </c>
      <c r="AE13" s="1">
        <v>14</v>
      </c>
      <c r="AF13" s="1" t="s">
        <v>255</v>
      </c>
      <c r="AG13" s="1">
        <v>0.25</v>
      </c>
      <c r="AH13" s="1">
        <f t="shared" si="7"/>
        <v>3.8833433409975742</v>
      </c>
      <c r="AI13" s="1">
        <v>0.08</v>
      </c>
      <c r="AJ13" s="1" t="s">
        <v>202</v>
      </c>
      <c r="AM13" s="1" t="s">
        <v>203</v>
      </c>
      <c r="AN13" s="1" t="s">
        <v>300</v>
      </c>
    </row>
    <row r="14" spans="1:40">
      <c r="A14" s="18" t="s">
        <v>177</v>
      </c>
      <c r="B14" s="18" t="s">
        <v>192</v>
      </c>
      <c r="C14" s="17" t="s">
        <v>179</v>
      </c>
      <c r="D14" s="18" t="s">
        <v>262</v>
      </c>
      <c r="E14" s="18" t="s">
        <v>76</v>
      </c>
      <c r="F14" s="18"/>
      <c r="G14" s="1" t="b">
        <v>0</v>
      </c>
      <c r="L14" s="45">
        <f>10*67.26</f>
        <v>672.6</v>
      </c>
      <c r="M14" s="3">
        <v>0.18</v>
      </c>
      <c r="N14" s="3">
        <v>-0.68</v>
      </c>
      <c r="Q14" s="45">
        <f>((41+43.7)/2)*10</f>
        <v>423.5</v>
      </c>
      <c r="R14" s="45">
        <f t="shared" si="0"/>
        <v>16.673228346456693</v>
      </c>
      <c r="S14" s="1">
        <v>14</v>
      </c>
      <c r="T14" s="47">
        <v>0.01</v>
      </c>
      <c r="U14" s="47">
        <v>3.04</v>
      </c>
      <c r="V14" s="45">
        <f t="shared" si="1"/>
        <v>423.5</v>
      </c>
      <c r="W14" s="45">
        <f t="shared" si="2"/>
        <v>424.5</v>
      </c>
      <c r="X14" s="4">
        <f t="shared" si="6"/>
        <v>0.22991970177630003</v>
      </c>
      <c r="Y14" s="1">
        <f t="shared" si="3"/>
        <v>1.2773316765350002</v>
      </c>
      <c r="Z14" s="45">
        <f t="shared" si="4"/>
        <v>423.5</v>
      </c>
      <c r="AA14" s="45">
        <f t="shared" si="5"/>
        <v>424.5</v>
      </c>
      <c r="AB14" s="1">
        <v>0.4</v>
      </c>
      <c r="AC14" s="1">
        <v>5</v>
      </c>
      <c r="AD14" s="1">
        <f>25.4*AE14</f>
        <v>355.59999999999997</v>
      </c>
      <c r="AE14" s="1">
        <v>14</v>
      </c>
      <c r="AF14" s="1" t="s">
        <v>255</v>
      </c>
      <c r="AJ14" s="1" t="s">
        <v>78</v>
      </c>
      <c r="AK14" s="1" t="s">
        <v>193</v>
      </c>
      <c r="AN14" s="1" t="s">
        <v>273</v>
      </c>
    </row>
    <row r="15" spans="1:40">
      <c r="A15" s="18" t="s">
        <v>177</v>
      </c>
      <c r="B15" s="17" t="s">
        <v>178</v>
      </c>
      <c r="C15" s="17" t="s">
        <v>179</v>
      </c>
      <c r="D15" s="18" t="s">
        <v>262</v>
      </c>
      <c r="E15" s="18" t="s">
        <v>77</v>
      </c>
      <c r="F15" s="18"/>
      <c r="G15" s="1" t="b">
        <v>0</v>
      </c>
      <c r="L15" s="45">
        <f>10*56.39</f>
        <v>563.9</v>
      </c>
      <c r="M15" s="3">
        <v>0.26</v>
      </c>
      <c r="N15" s="3">
        <v>-0.49</v>
      </c>
      <c r="Q15" s="45">
        <f>((45.9+40.4)/2)*10</f>
        <v>431.5</v>
      </c>
      <c r="R15" s="45">
        <f t="shared" si="0"/>
        <v>16.988188976377955</v>
      </c>
      <c r="S15" s="1">
        <v>11</v>
      </c>
      <c r="T15" s="47">
        <v>0.01</v>
      </c>
      <c r="U15" s="47">
        <v>3.02</v>
      </c>
      <c r="V15" s="45">
        <f t="shared" si="1"/>
        <v>431.5</v>
      </c>
      <c r="W15" s="45">
        <f t="shared" si="2"/>
        <v>432.5</v>
      </c>
      <c r="X15" s="4">
        <f t="shared" si="6"/>
        <v>0.29262507498801821</v>
      </c>
      <c r="Y15" s="1">
        <f t="shared" si="3"/>
        <v>1.1254810576462237</v>
      </c>
      <c r="Z15" s="45">
        <f t="shared" si="4"/>
        <v>431.5</v>
      </c>
      <c r="AA15" s="45">
        <f t="shared" si="5"/>
        <v>432.5</v>
      </c>
      <c r="AB15" s="1">
        <v>0.4</v>
      </c>
      <c r="AC15" s="1">
        <v>5</v>
      </c>
      <c r="AJ15" s="1" t="s">
        <v>78</v>
      </c>
      <c r="AK15" s="1" t="s">
        <v>193</v>
      </c>
      <c r="AN15" s="1" t="s">
        <v>274</v>
      </c>
    </row>
    <row r="16" spans="1:40">
      <c r="A16" s="18" t="s">
        <v>65</v>
      </c>
      <c r="B16" s="17" t="s">
        <v>73</v>
      </c>
      <c r="C16" s="17" t="s">
        <v>188</v>
      </c>
      <c r="D16" s="18" t="s">
        <v>19</v>
      </c>
      <c r="E16" s="18" t="s">
        <v>20</v>
      </c>
      <c r="F16" s="18"/>
      <c r="G16" s="1" t="b">
        <v>0</v>
      </c>
      <c r="J16" s="1">
        <v>0.87</v>
      </c>
      <c r="K16" s="1">
        <v>1838</v>
      </c>
      <c r="L16" s="45">
        <v>2113</v>
      </c>
      <c r="M16" s="3">
        <v>0.111</v>
      </c>
      <c r="N16" s="3">
        <v>9.7000000000000003E-2</v>
      </c>
      <c r="P16" s="1">
        <v>700</v>
      </c>
      <c r="Q16" s="45">
        <v>805</v>
      </c>
      <c r="R16" s="45">
        <f t="shared" si="0"/>
        <v>31.692913385826774</v>
      </c>
      <c r="S16" s="1">
        <v>11</v>
      </c>
      <c r="T16" s="47">
        <v>2.7300000000000001E-2</v>
      </c>
      <c r="U16" s="47">
        <v>2.9129999999999998</v>
      </c>
      <c r="V16" s="45">
        <f t="shared" si="1"/>
        <v>805</v>
      </c>
      <c r="W16" s="45">
        <f t="shared" si="2"/>
        <v>806</v>
      </c>
      <c r="X16" s="4">
        <f t="shared" si="6"/>
        <v>0.29262507498801821</v>
      </c>
      <c r="Y16" s="1">
        <f t="shared" si="3"/>
        <v>2.6362619368289928</v>
      </c>
      <c r="Z16" s="45">
        <f t="shared" si="4"/>
        <v>805</v>
      </c>
      <c r="AA16" s="45">
        <f t="shared" si="5"/>
        <v>806</v>
      </c>
      <c r="AB16" s="1">
        <v>0.4</v>
      </c>
      <c r="AC16" s="1">
        <v>5</v>
      </c>
      <c r="AD16" s="1">
        <f>25.4*AE16</f>
        <v>254</v>
      </c>
      <c r="AE16" s="1">
        <v>10</v>
      </c>
      <c r="AF16" s="1" t="s">
        <v>257</v>
      </c>
      <c r="AG16">
        <v>0.3</v>
      </c>
      <c r="AH16">
        <f t="shared" ref="AH16:AH30" si="8">AG16/X16</f>
        <v>1.0252026420233595</v>
      </c>
      <c r="AI16" s="1">
        <v>0.21</v>
      </c>
      <c r="AL16" s="1" t="s">
        <v>195</v>
      </c>
      <c r="AN16" s="1" t="s">
        <v>275</v>
      </c>
    </row>
    <row r="17" spans="1:40">
      <c r="A17" s="18" t="s">
        <v>65</v>
      </c>
      <c r="B17" s="17" t="s">
        <v>119</v>
      </c>
      <c r="C17" s="17" t="s">
        <v>167</v>
      </c>
      <c r="D17" s="18" t="s">
        <v>19</v>
      </c>
      <c r="E17" s="18" t="s">
        <v>21</v>
      </c>
      <c r="F17" s="18"/>
      <c r="G17" s="1" t="b">
        <v>0</v>
      </c>
      <c r="H17" s="1">
        <v>0.94</v>
      </c>
      <c r="I17" s="1">
        <v>822</v>
      </c>
      <c r="L17" s="45">
        <v>874</v>
      </c>
      <c r="M17" s="3">
        <v>0.12</v>
      </c>
      <c r="N17" s="3">
        <v>0</v>
      </c>
      <c r="O17" s="1">
        <v>370</v>
      </c>
      <c r="Q17" s="45">
        <v>394</v>
      </c>
      <c r="R17" s="45">
        <f t="shared" si="0"/>
        <v>15.511811023622048</v>
      </c>
      <c r="S17" s="1">
        <v>12</v>
      </c>
      <c r="T17" s="47">
        <v>1.9800000000000002E-2</v>
      </c>
      <c r="U17" s="47">
        <v>3.0009999999999999</v>
      </c>
      <c r="V17" s="45">
        <f t="shared" si="1"/>
        <v>394</v>
      </c>
      <c r="W17" s="45">
        <f t="shared" si="2"/>
        <v>395</v>
      </c>
      <c r="X17" s="4">
        <f t="shared" si="6"/>
        <v>0.26823965207235007</v>
      </c>
      <c r="Y17" s="1">
        <f t="shared" si="3"/>
        <v>2.2353304339362507</v>
      </c>
      <c r="Z17" s="45">
        <f t="shared" si="4"/>
        <v>394</v>
      </c>
      <c r="AA17" s="45">
        <f t="shared" si="5"/>
        <v>395</v>
      </c>
      <c r="AB17" s="1">
        <v>0.4</v>
      </c>
      <c r="AC17" s="1">
        <v>5</v>
      </c>
      <c r="AD17" s="1">
        <f>25.4*AE17</f>
        <v>254</v>
      </c>
      <c r="AE17" s="1">
        <v>10</v>
      </c>
      <c r="AF17" s="1" t="s">
        <v>257</v>
      </c>
      <c r="AG17"/>
      <c r="AH17">
        <f t="shared" si="8"/>
        <v>0</v>
      </c>
      <c r="AL17" s="1" t="s">
        <v>195</v>
      </c>
      <c r="AN17" s="1" t="s">
        <v>276</v>
      </c>
    </row>
    <row r="18" spans="1:40">
      <c r="A18" s="18" t="s">
        <v>65</v>
      </c>
      <c r="B18" s="17" t="s">
        <v>120</v>
      </c>
      <c r="C18" s="17" t="s">
        <v>184</v>
      </c>
      <c r="D18" s="18" t="s">
        <v>19</v>
      </c>
      <c r="E18" s="18" t="s">
        <v>22</v>
      </c>
      <c r="F18" s="18"/>
      <c r="G18" s="1" t="b">
        <v>0</v>
      </c>
      <c r="J18" s="1">
        <v>0.84</v>
      </c>
      <c r="K18" s="1">
        <v>897</v>
      </c>
      <c r="L18" s="45">
        <v>1068</v>
      </c>
      <c r="M18" s="3">
        <v>0.23300000000000001</v>
      </c>
      <c r="N18" s="3">
        <v>-4.3999999999999997E-2</v>
      </c>
      <c r="P18" s="1">
        <v>400</v>
      </c>
      <c r="Q18" s="45">
        <v>476</v>
      </c>
      <c r="R18" s="45">
        <f t="shared" si="0"/>
        <v>18.740157480314963</v>
      </c>
      <c r="S18" s="1">
        <v>7</v>
      </c>
      <c r="T18" s="47">
        <v>2.4199999999999999E-2</v>
      </c>
      <c r="U18" s="47">
        <v>2.9409999999999998</v>
      </c>
      <c r="V18" s="45">
        <f t="shared" si="1"/>
        <v>476</v>
      </c>
      <c r="W18" s="45">
        <f t="shared" si="2"/>
        <v>477</v>
      </c>
      <c r="X18" s="4">
        <f t="shared" si="6"/>
        <v>0.45983940355260006</v>
      </c>
      <c r="Y18" s="1">
        <f t="shared" si="3"/>
        <v>1.9735596718995709</v>
      </c>
      <c r="Z18" s="45">
        <f t="shared" si="4"/>
        <v>476</v>
      </c>
      <c r="AA18" s="45">
        <f t="shared" si="5"/>
        <v>477</v>
      </c>
      <c r="AB18" s="1">
        <v>0.4</v>
      </c>
      <c r="AC18" s="1">
        <v>5</v>
      </c>
      <c r="AD18" s="1">
        <f>25.4*AE18</f>
        <v>254</v>
      </c>
      <c r="AE18" s="1">
        <v>10</v>
      </c>
      <c r="AF18" s="1" t="s">
        <v>257</v>
      </c>
      <c r="AG18">
        <v>0.16</v>
      </c>
      <c r="AH18">
        <f t="shared" si="8"/>
        <v>0.34794756335338267</v>
      </c>
      <c r="AI18" s="1">
        <v>0.65</v>
      </c>
      <c r="AL18" s="1" t="s">
        <v>195</v>
      </c>
      <c r="AN18" s="1" t="s">
        <v>277</v>
      </c>
    </row>
    <row r="19" spans="1:40">
      <c r="A19" s="18" t="s">
        <v>65</v>
      </c>
      <c r="B19" s="17" t="s">
        <v>121</v>
      </c>
      <c r="C19" s="17" t="s">
        <v>183</v>
      </c>
      <c r="D19" s="18" t="s">
        <v>19</v>
      </c>
      <c r="E19" s="18" t="s">
        <v>23</v>
      </c>
      <c r="F19" s="18"/>
      <c r="G19" s="1" t="b">
        <v>0</v>
      </c>
      <c r="H19" s="1">
        <v>0.9</v>
      </c>
      <c r="I19" s="1">
        <v>800</v>
      </c>
      <c r="J19" s="1">
        <v>0.83</v>
      </c>
      <c r="L19" s="45">
        <v>889</v>
      </c>
      <c r="M19" s="3">
        <v>0.24</v>
      </c>
      <c r="N19" s="3">
        <v>0</v>
      </c>
      <c r="P19" s="1">
        <v>420</v>
      </c>
      <c r="Q19" s="45">
        <v>506</v>
      </c>
      <c r="R19" s="45">
        <f t="shared" si="0"/>
        <v>19.921259842519685</v>
      </c>
      <c r="S19" s="1">
        <v>11</v>
      </c>
      <c r="T19" s="47">
        <v>1.9800000000000002E-2</v>
      </c>
      <c r="U19" s="47">
        <v>2.9860000000000002</v>
      </c>
      <c r="V19" s="45">
        <f t="shared" si="1"/>
        <v>506</v>
      </c>
      <c r="W19" s="45">
        <f t="shared" si="2"/>
        <v>507</v>
      </c>
      <c r="X19" s="4">
        <f t="shared" si="6"/>
        <v>0.29262507498801821</v>
      </c>
      <c r="Y19" s="1">
        <f t="shared" si="3"/>
        <v>1.2192711457834093</v>
      </c>
      <c r="Z19" s="45">
        <f t="shared" si="4"/>
        <v>506</v>
      </c>
      <c r="AA19" s="45">
        <f t="shared" si="5"/>
        <v>507</v>
      </c>
      <c r="AB19" s="1">
        <v>0.4</v>
      </c>
      <c r="AC19" s="1">
        <v>5</v>
      </c>
      <c r="AD19" s="1">
        <f>25.4*AE19</f>
        <v>254</v>
      </c>
      <c r="AE19" s="1">
        <v>10</v>
      </c>
      <c r="AF19" s="1" t="s">
        <v>257</v>
      </c>
      <c r="AG19"/>
      <c r="AH19">
        <f t="shared" si="8"/>
        <v>0</v>
      </c>
      <c r="AL19" s="1" t="s">
        <v>195</v>
      </c>
      <c r="AN19" s="1" t="s">
        <v>278</v>
      </c>
    </row>
    <row r="20" spans="1:40">
      <c r="A20" s="18" t="s">
        <v>65</v>
      </c>
      <c r="B20" s="17" t="s">
        <v>124</v>
      </c>
      <c r="C20" s="17" t="s">
        <v>113</v>
      </c>
      <c r="D20" s="18" t="s">
        <v>19</v>
      </c>
      <c r="E20" s="18" t="s">
        <v>24</v>
      </c>
      <c r="F20" s="18"/>
      <c r="G20" s="1" t="b">
        <v>0</v>
      </c>
      <c r="H20" s="1">
        <v>0.84</v>
      </c>
      <c r="I20" s="1">
        <v>930</v>
      </c>
      <c r="L20" s="45">
        <v>1107</v>
      </c>
      <c r="M20" s="3">
        <v>0.214</v>
      </c>
      <c r="N20" s="3">
        <v>0</v>
      </c>
      <c r="O20" s="1">
        <v>640</v>
      </c>
      <c r="Q20" s="45">
        <v>762</v>
      </c>
      <c r="R20" s="45">
        <f t="shared" si="0"/>
        <v>30</v>
      </c>
      <c r="S20" s="1">
        <v>13</v>
      </c>
      <c r="T20" s="47">
        <v>1.35E-2</v>
      </c>
      <c r="U20" s="47">
        <v>2.92</v>
      </c>
      <c r="V20" s="45">
        <f t="shared" si="1"/>
        <v>762</v>
      </c>
      <c r="W20" s="45">
        <f t="shared" si="2"/>
        <v>763</v>
      </c>
      <c r="X20" s="4">
        <f t="shared" si="6"/>
        <v>0.24760583268216926</v>
      </c>
      <c r="Y20" s="1">
        <f t="shared" si="3"/>
        <v>1.157036601318548</v>
      </c>
      <c r="Z20" s="45">
        <f t="shared" si="4"/>
        <v>762</v>
      </c>
      <c r="AA20" s="45">
        <f t="shared" si="5"/>
        <v>763</v>
      </c>
      <c r="AB20" s="1">
        <v>0.4</v>
      </c>
      <c r="AC20" s="1">
        <v>5</v>
      </c>
      <c r="AG20"/>
      <c r="AH20">
        <f t="shared" si="8"/>
        <v>0</v>
      </c>
      <c r="AJ20" s="1" t="s">
        <v>250</v>
      </c>
      <c r="AL20" s="1" t="s">
        <v>195</v>
      </c>
      <c r="AN20" s="1" t="s">
        <v>279</v>
      </c>
    </row>
    <row r="21" spans="1:40">
      <c r="A21" s="18" t="s">
        <v>65</v>
      </c>
      <c r="B21" s="18" t="s">
        <v>135</v>
      </c>
      <c r="C21" s="18" t="s">
        <v>116</v>
      </c>
      <c r="D21" s="18" t="s">
        <v>19</v>
      </c>
      <c r="E21" s="18" t="s">
        <v>25</v>
      </c>
      <c r="G21" s="1" t="b">
        <v>0</v>
      </c>
      <c r="H21" s="1">
        <v>0.9</v>
      </c>
      <c r="I21" s="1">
        <v>1232</v>
      </c>
      <c r="L21" s="45">
        <v>1369</v>
      </c>
      <c r="M21" s="3">
        <v>0.307</v>
      </c>
      <c r="N21" s="3">
        <v>-0.77</v>
      </c>
      <c r="Q21" s="45">
        <v>289</v>
      </c>
      <c r="R21" s="45">
        <f t="shared" si="0"/>
        <v>11.377952755905513</v>
      </c>
      <c r="S21" s="1">
        <v>7</v>
      </c>
      <c r="T21" s="47">
        <v>2.7099999999999999E-2</v>
      </c>
      <c r="U21" s="47">
        <v>2.88598</v>
      </c>
      <c r="V21" s="45">
        <f t="shared" si="1"/>
        <v>289</v>
      </c>
      <c r="W21" s="45">
        <f t="shared" si="2"/>
        <v>290</v>
      </c>
      <c r="X21" s="4">
        <f t="shared" si="6"/>
        <v>0.45983940355260006</v>
      </c>
      <c r="Y21" s="1">
        <f t="shared" si="3"/>
        <v>1.4978482200410426</v>
      </c>
      <c r="Z21" s="45">
        <f t="shared" si="4"/>
        <v>289</v>
      </c>
      <c r="AA21" s="45">
        <f t="shared" si="5"/>
        <v>290</v>
      </c>
      <c r="AB21" s="1">
        <v>0.4</v>
      </c>
      <c r="AC21" s="1">
        <v>5</v>
      </c>
      <c r="AH21" s="1">
        <f t="shared" si="8"/>
        <v>0</v>
      </c>
      <c r="AL21" s="1" t="s">
        <v>194</v>
      </c>
      <c r="AM21" s="1" t="s">
        <v>201</v>
      </c>
      <c r="AN21" s="1" t="s">
        <v>280</v>
      </c>
    </row>
    <row r="22" spans="1:40">
      <c r="A22" s="18" t="s">
        <v>65</v>
      </c>
      <c r="B22" s="18" t="s">
        <v>138</v>
      </c>
      <c r="C22" s="18" t="s">
        <v>117</v>
      </c>
      <c r="D22" s="18" t="s">
        <v>19</v>
      </c>
      <c r="E22" s="18" t="s">
        <v>26</v>
      </c>
      <c r="G22" s="18" t="b">
        <v>0</v>
      </c>
      <c r="L22" s="45">
        <v>1272</v>
      </c>
      <c r="M22" s="3">
        <v>0.22720000000000001</v>
      </c>
      <c r="N22" s="3">
        <v>-0.79310000000000003</v>
      </c>
      <c r="Q22" s="45">
        <v>910</v>
      </c>
      <c r="R22" s="45">
        <f t="shared" si="0"/>
        <v>35.826771653543311</v>
      </c>
      <c r="S22" s="1">
        <v>15</v>
      </c>
      <c r="T22" s="47">
        <v>2.4E-2</v>
      </c>
      <c r="U22" s="47">
        <v>2.86</v>
      </c>
      <c r="V22" s="45">
        <f t="shared" si="1"/>
        <v>910</v>
      </c>
      <c r="W22" s="45">
        <f t="shared" si="2"/>
        <v>911</v>
      </c>
      <c r="X22" s="4">
        <f t="shared" si="6"/>
        <v>0.21459172165788004</v>
      </c>
      <c r="Y22" s="1">
        <f t="shared" si="3"/>
        <v>0.94450581715616211</v>
      </c>
      <c r="Z22" s="45">
        <f t="shared" si="4"/>
        <v>910</v>
      </c>
      <c r="AA22" s="45">
        <f t="shared" si="5"/>
        <v>911</v>
      </c>
      <c r="AB22" s="1">
        <v>0.4</v>
      </c>
      <c r="AC22" s="1">
        <v>5</v>
      </c>
      <c r="AG22" s="1">
        <v>0.14000000000000001</v>
      </c>
      <c r="AH22" s="1">
        <f t="shared" si="8"/>
        <v>0.65240168128759246</v>
      </c>
      <c r="AI22" s="1">
        <v>36</v>
      </c>
      <c r="AL22" s="1" t="s">
        <v>194</v>
      </c>
      <c r="AM22" s="1" t="s">
        <v>201</v>
      </c>
      <c r="AN22" s="1" t="s">
        <v>281</v>
      </c>
    </row>
    <row r="23" spans="1:40">
      <c r="A23" s="18" t="s">
        <v>75</v>
      </c>
      <c r="B23" s="17" t="s">
        <v>129</v>
      </c>
      <c r="C23" s="17" t="s">
        <v>162</v>
      </c>
      <c r="D23" s="18" t="s">
        <v>27</v>
      </c>
      <c r="E23" s="18" t="s">
        <v>28</v>
      </c>
      <c r="G23" s="1" t="b">
        <v>0</v>
      </c>
      <c r="J23" s="1">
        <v>0.78</v>
      </c>
      <c r="K23" s="1">
        <v>211</v>
      </c>
      <c r="L23" s="45">
        <v>271</v>
      </c>
      <c r="M23" s="3">
        <v>0.14749999999999999</v>
      </c>
      <c r="N23" s="3">
        <v>-4.4786000000000001</v>
      </c>
      <c r="Q23" s="45">
        <v>175</v>
      </c>
      <c r="R23" s="45">
        <f t="shared" si="0"/>
        <v>6.8897637795275593</v>
      </c>
      <c r="S23" s="1">
        <v>27</v>
      </c>
      <c r="T23" s="47">
        <v>2.7689999999999999E-2</v>
      </c>
      <c r="U23" s="47">
        <v>3.0033599999999998</v>
      </c>
      <c r="V23" s="45">
        <f t="shared" si="1"/>
        <v>175</v>
      </c>
      <c r="W23" s="45">
        <f t="shared" si="2"/>
        <v>176</v>
      </c>
      <c r="X23" s="4">
        <f t="shared" si="6"/>
        <v>0.11921762314326668</v>
      </c>
      <c r="Y23" s="1">
        <f t="shared" si="3"/>
        <v>0.80825507215774028</v>
      </c>
      <c r="Z23" s="45">
        <f t="shared" si="4"/>
        <v>175</v>
      </c>
      <c r="AA23" s="45">
        <f t="shared" si="5"/>
        <v>176</v>
      </c>
      <c r="AB23" s="1">
        <v>0.4</v>
      </c>
      <c r="AC23" s="1">
        <v>5</v>
      </c>
      <c r="AG23">
        <v>0.04</v>
      </c>
      <c r="AH23">
        <f t="shared" si="8"/>
        <v>0.33552086466219039</v>
      </c>
      <c r="AI23" s="1">
        <v>0.69</v>
      </c>
      <c r="AL23" s="1" t="s">
        <v>194</v>
      </c>
      <c r="AM23" s="1" t="s">
        <v>201</v>
      </c>
      <c r="AN23" s="1" t="s">
        <v>282</v>
      </c>
    </row>
    <row r="24" spans="1:40">
      <c r="A24" s="18" t="s">
        <v>64</v>
      </c>
      <c r="B24" s="18" t="s">
        <v>71</v>
      </c>
      <c r="C24" s="18" t="s">
        <v>72</v>
      </c>
      <c r="D24" s="18" t="s">
        <v>29</v>
      </c>
      <c r="E24" s="18" t="s">
        <v>30</v>
      </c>
      <c r="F24" s="18"/>
      <c r="G24" s="1" t="b">
        <v>0</v>
      </c>
      <c r="H24" s="1">
        <v>0.92</v>
      </c>
      <c r="I24" s="1">
        <v>765</v>
      </c>
      <c r="L24" s="45">
        <v>831</v>
      </c>
      <c r="M24" s="3">
        <v>0.13600000000000001</v>
      </c>
      <c r="N24" s="3">
        <v>0</v>
      </c>
      <c r="O24" s="1">
        <v>450</v>
      </c>
      <c r="Q24" s="45">
        <v>489</v>
      </c>
      <c r="R24" s="45">
        <f t="shared" si="0"/>
        <v>19.251968503937007</v>
      </c>
      <c r="S24" s="1">
        <v>32</v>
      </c>
      <c r="T24" s="47">
        <v>1.1800000000000001E-5</v>
      </c>
      <c r="U24" s="47">
        <v>3.0430000000000001</v>
      </c>
      <c r="V24" s="45">
        <f t="shared" si="1"/>
        <v>489</v>
      </c>
      <c r="W24" s="45">
        <f t="shared" si="2"/>
        <v>490</v>
      </c>
      <c r="X24" s="4">
        <f t="shared" si="6"/>
        <v>0.10058986952713127</v>
      </c>
      <c r="Y24" s="1">
        <f t="shared" si="3"/>
        <v>0.73963139358184748</v>
      </c>
      <c r="Z24" s="45">
        <f t="shared" si="4"/>
        <v>489</v>
      </c>
      <c r="AA24" s="45">
        <f t="shared" si="5"/>
        <v>490</v>
      </c>
      <c r="AB24" s="1">
        <v>0.4</v>
      </c>
      <c r="AC24" s="1">
        <v>5</v>
      </c>
      <c r="AG24">
        <v>0.23</v>
      </c>
      <c r="AH24">
        <f t="shared" si="8"/>
        <v>2.2865125591793718</v>
      </c>
      <c r="AI24" s="1">
        <v>0.23</v>
      </c>
      <c r="AJ24" s="1" t="s">
        <v>248</v>
      </c>
      <c r="AL24" s="1" t="s">
        <v>195</v>
      </c>
      <c r="AN24" s="1" t="s">
        <v>283</v>
      </c>
    </row>
    <row r="25" spans="1:40">
      <c r="A25" s="18" t="s">
        <v>64</v>
      </c>
      <c r="B25" s="17" t="s">
        <v>125</v>
      </c>
      <c r="C25" s="17" t="s">
        <v>186</v>
      </c>
      <c r="D25" s="18" t="s">
        <v>29</v>
      </c>
      <c r="E25" s="18" t="s">
        <v>31</v>
      </c>
      <c r="F25" s="18"/>
      <c r="G25" s="1" t="b">
        <v>0</v>
      </c>
      <c r="L25" s="45">
        <v>340</v>
      </c>
      <c r="M25" s="3">
        <v>0.28999999999999998</v>
      </c>
      <c r="N25" s="3">
        <v>-1.37</v>
      </c>
      <c r="Q25" s="45">
        <v>200</v>
      </c>
      <c r="R25" s="45">
        <f t="shared" si="0"/>
        <v>7.8740157480314963</v>
      </c>
      <c r="S25" s="1">
        <v>8</v>
      </c>
      <c r="T25" s="47">
        <v>8.4200000000000004E-3</v>
      </c>
      <c r="U25" s="47">
        <v>3.2469600000000001</v>
      </c>
      <c r="V25" s="45">
        <f t="shared" si="1"/>
        <v>200</v>
      </c>
      <c r="W25" s="45">
        <f t="shared" si="2"/>
        <v>201</v>
      </c>
      <c r="X25" s="4">
        <f t="shared" si="6"/>
        <v>0.40235947810852507</v>
      </c>
      <c r="Y25" s="1">
        <f t="shared" si="3"/>
        <v>1.3874464762362935</v>
      </c>
      <c r="Z25" s="45">
        <f t="shared" si="4"/>
        <v>200</v>
      </c>
      <c r="AA25" s="45">
        <f t="shared" si="5"/>
        <v>201</v>
      </c>
      <c r="AB25" s="1">
        <v>0.4</v>
      </c>
      <c r="AC25" s="1">
        <v>5</v>
      </c>
      <c r="AG25">
        <v>0.36</v>
      </c>
      <c r="AH25">
        <f t="shared" si="8"/>
        <v>0.894722305765841</v>
      </c>
      <c r="AI25" s="1">
        <v>0.63</v>
      </c>
      <c r="AL25" s="1" t="s">
        <v>195</v>
      </c>
      <c r="AN25" s="1" t="s">
        <v>284</v>
      </c>
    </row>
    <row r="26" spans="1:40">
      <c r="A26" s="18" t="s">
        <v>142</v>
      </c>
      <c r="B26" s="17" t="s">
        <v>126</v>
      </c>
      <c r="C26" s="19" t="s">
        <v>114</v>
      </c>
      <c r="D26" s="18" t="s">
        <v>32</v>
      </c>
      <c r="E26" s="18" t="s">
        <v>33</v>
      </c>
      <c r="F26" s="18"/>
      <c r="G26" s="1" t="b">
        <v>0</v>
      </c>
      <c r="L26" s="45">
        <v>609</v>
      </c>
      <c r="M26" s="3">
        <v>0.3</v>
      </c>
      <c r="N26" s="3">
        <v>-0.14000000000000001</v>
      </c>
      <c r="Q26" s="45">
        <v>325</v>
      </c>
      <c r="R26" s="45">
        <f t="shared" si="0"/>
        <v>12.795275590551181</v>
      </c>
      <c r="S26" s="1">
        <v>13</v>
      </c>
      <c r="T26" s="47">
        <v>1.085E-2</v>
      </c>
      <c r="U26" s="47">
        <v>3.089</v>
      </c>
      <c r="V26" s="45">
        <f t="shared" si="1"/>
        <v>325</v>
      </c>
      <c r="W26" s="45">
        <f t="shared" si="2"/>
        <v>326</v>
      </c>
      <c r="X26" s="4">
        <f t="shared" si="6"/>
        <v>0.24760583268216926</v>
      </c>
      <c r="Y26" s="1">
        <f t="shared" si="3"/>
        <v>0.82535277560723086</v>
      </c>
      <c r="Z26" s="45">
        <f t="shared" si="4"/>
        <v>325</v>
      </c>
      <c r="AA26" s="45">
        <f t="shared" si="5"/>
        <v>326</v>
      </c>
      <c r="AB26" s="1">
        <v>0.4</v>
      </c>
      <c r="AC26" s="1">
        <v>5</v>
      </c>
      <c r="AD26" s="1">
        <f>25.4*AE26</f>
        <v>279.39999999999998</v>
      </c>
      <c r="AE26" s="1">
        <v>11</v>
      </c>
      <c r="AF26" s="1" t="s">
        <v>258</v>
      </c>
      <c r="AG26"/>
      <c r="AH26">
        <f t="shared" si="8"/>
        <v>0</v>
      </c>
      <c r="AL26" s="1" t="s">
        <v>195</v>
      </c>
      <c r="AN26" s="1" t="s">
        <v>285</v>
      </c>
    </row>
    <row r="27" spans="1:40">
      <c r="A27" s="18" t="s">
        <v>63</v>
      </c>
      <c r="B27" s="17" t="s">
        <v>127</v>
      </c>
      <c r="C27" s="17" t="s">
        <v>191</v>
      </c>
      <c r="D27" s="18" t="s">
        <v>34</v>
      </c>
      <c r="E27" s="18" t="s">
        <v>35</v>
      </c>
      <c r="F27" s="18"/>
      <c r="G27" s="1" t="b">
        <v>0</v>
      </c>
      <c r="H27" s="1">
        <v>0.92</v>
      </c>
      <c r="I27" s="1">
        <v>342</v>
      </c>
      <c r="L27" s="45">
        <v>372</v>
      </c>
      <c r="M27" s="3">
        <v>0.56399999999999995</v>
      </c>
      <c r="N27" s="3">
        <v>-0.36</v>
      </c>
      <c r="O27" s="1">
        <v>183</v>
      </c>
      <c r="Q27" s="45">
        <v>199</v>
      </c>
      <c r="R27" s="45">
        <f t="shared" si="0"/>
        <v>7.8346456692913389</v>
      </c>
      <c r="S27" s="1">
        <v>6</v>
      </c>
      <c r="T27" s="47">
        <v>8.6999999999999994E-3</v>
      </c>
      <c r="U27" s="47">
        <v>3.21</v>
      </c>
      <c r="V27" s="45">
        <f t="shared" si="1"/>
        <v>199</v>
      </c>
      <c r="W27" s="45">
        <f t="shared" si="2"/>
        <v>200</v>
      </c>
      <c r="X27" s="4">
        <f t="shared" si="6"/>
        <v>0.53647930414470013</v>
      </c>
      <c r="Y27" s="1">
        <f t="shared" si="3"/>
        <v>0.95120443997287263</v>
      </c>
      <c r="Z27" s="45">
        <f t="shared" si="4"/>
        <v>199</v>
      </c>
      <c r="AA27" s="45">
        <f t="shared" si="5"/>
        <v>200</v>
      </c>
      <c r="AB27" s="1">
        <v>0.4</v>
      </c>
      <c r="AC27" s="1">
        <v>5</v>
      </c>
      <c r="AD27" s="1">
        <f>25.4*AE27</f>
        <v>177.79999999999998</v>
      </c>
      <c r="AE27" s="1">
        <v>7</v>
      </c>
      <c r="AF27" s="1" t="s">
        <v>256</v>
      </c>
      <c r="AG27">
        <v>0.42</v>
      </c>
      <c r="AH27">
        <f t="shared" si="8"/>
        <v>0.78288201754511089</v>
      </c>
      <c r="AI27" s="1">
        <v>0.61</v>
      </c>
      <c r="AL27" s="1" t="s">
        <v>195</v>
      </c>
      <c r="AN27" s="1" t="s">
        <v>286</v>
      </c>
    </row>
    <row r="28" spans="1:40">
      <c r="A28" s="18" t="s">
        <v>63</v>
      </c>
      <c r="B28" s="17" t="s">
        <v>128</v>
      </c>
      <c r="C28" s="17" t="s">
        <v>190</v>
      </c>
      <c r="D28" s="18" t="s">
        <v>34</v>
      </c>
      <c r="E28" s="18" t="s">
        <v>36</v>
      </c>
      <c r="F28" s="18"/>
      <c r="G28" s="1" t="b">
        <v>0</v>
      </c>
      <c r="H28" s="1">
        <v>0.85</v>
      </c>
      <c r="I28" s="1">
        <v>227</v>
      </c>
      <c r="L28" s="45">
        <v>267</v>
      </c>
      <c r="M28" s="3">
        <v>1.3</v>
      </c>
      <c r="N28" s="3">
        <v>-1.1000000000000001</v>
      </c>
      <c r="O28" s="1">
        <v>175</v>
      </c>
      <c r="Q28" s="45">
        <v>206</v>
      </c>
      <c r="R28" s="45">
        <f t="shared" si="0"/>
        <v>8.1102362204724407</v>
      </c>
      <c r="S28" s="1">
        <v>5</v>
      </c>
      <c r="T28" s="47">
        <v>1.67E-2</v>
      </c>
      <c r="U28" s="47">
        <v>2.96</v>
      </c>
      <c r="V28" s="45">
        <f t="shared" si="1"/>
        <v>206</v>
      </c>
      <c r="W28" s="45">
        <f t="shared" si="2"/>
        <v>207</v>
      </c>
      <c r="X28" s="4">
        <f t="shared" si="6"/>
        <v>0.64377516497364007</v>
      </c>
      <c r="Y28" s="1">
        <f t="shared" si="3"/>
        <v>0.49521166536433847</v>
      </c>
      <c r="Z28" s="45">
        <f t="shared" si="4"/>
        <v>206</v>
      </c>
      <c r="AA28" s="45">
        <f t="shared" si="5"/>
        <v>207</v>
      </c>
      <c r="AB28" s="1">
        <v>0.4</v>
      </c>
      <c r="AC28" s="1">
        <v>5</v>
      </c>
      <c r="AG28">
        <v>0.01</v>
      </c>
      <c r="AH28">
        <f t="shared" si="8"/>
        <v>1.5533373363990298E-2</v>
      </c>
      <c r="AI28" s="1">
        <v>0.99</v>
      </c>
      <c r="AL28" s="1" t="s">
        <v>195</v>
      </c>
      <c r="AN28" s="1" t="s">
        <v>287</v>
      </c>
    </row>
    <row r="29" spans="1:40">
      <c r="A29" s="18" t="s">
        <v>63</v>
      </c>
      <c r="B29" s="18" t="s">
        <v>133</v>
      </c>
      <c r="C29" s="18" t="s">
        <v>38</v>
      </c>
      <c r="D29" s="18" t="s">
        <v>34</v>
      </c>
      <c r="E29" s="18" t="s">
        <v>37</v>
      </c>
      <c r="F29" s="1" t="s">
        <v>175</v>
      </c>
      <c r="G29" s="1" t="b">
        <v>0</v>
      </c>
      <c r="H29" s="1">
        <v>0.9</v>
      </c>
      <c r="I29" s="1">
        <v>303</v>
      </c>
      <c r="L29" s="45">
        <v>337</v>
      </c>
      <c r="M29" s="3">
        <v>0.75555000000000005</v>
      </c>
      <c r="N29" s="3">
        <v>-0.13500000000000001</v>
      </c>
      <c r="O29" s="1">
        <v>145</v>
      </c>
      <c r="Q29" s="45">
        <f>O29/H29</f>
        <v>161.11111111111111</v>
      </c>
      <c r="R29" s="45">
        <f t="shared" si="0"/>
        <v>6.3429571303587053</v>
      </c>
      <c r="S29" s="1">
        <v>5</v>
      </c>
      <c r="T29" s="47">
        <v>1.136E-2</v>
      </c>
      <c r="U29" s="47">
        <v>3.21082</v>
      </c>
      <c r="V29" s="45">
        <f t="shared" si="1"/>
        <v>161.11111111111111</v>
      </c>
      <c r="W29" s="45">
        <f t="shared" si="2"/>
        <v>162.11111111111111</v>
      </c>
      <c r="X29" s="4">
        <f t="shared" si="6"/>
        <v>0.64377516497364007</v>
      </c>
      <c r="Y29" s="1">
        <f t="shared" si="3"/>
        <v>0.85206163056533657</v>
      </c>
      <c r="Z29" s="45">
        <f t="shared" si="4"/>
        <v>161.11111111111111</v>
      </c>
      <c r="AA29" s="45">
        <f t="shared" si="5"/>
        <v>162.11111111111111</v>
      </c>
      <c r="AB29" s="1">
        <v>0.4</v>
      </c>
      <c r="AC29" s="1">
        <v>5</v>
      </c>
      <c r="AD29" s="1">
        <f>25.4*AE29</f>
        <v>177.79999999999998</v>
      </c>
      <c r="AE29" s="1">
        <v>7</v>
      </c>
      <c r="AF29" s="1" t="s">
        <v>256</v>
      </c>
      <c r="AH29" s="1">
        <f t="shared" si="8"/>
        <v>0</v>
      </c>
      <c r="AJ29" s="1" t="s">
        <v>205</v>
      </c>
      <c r="AK29" s="1" t="s">
        <v>204</v>
      </c>
      <c r="AM29" s="1" t="s">
        <v>206</v>
      </c>
      <c r="AN29" s="1" t="s">
        <v>288</v>
      </c>
    </row>
    <row r="30" spans="1:40">
      <c r="A30" s="18" t="s">
        <v>63</v>
      </c>
      <c r="B30" s="18" t="s">
        <v>134</v>
      </c>
      <c r="C30" s="18" t="s">
        <v>165</v>
      </c>
      <c r="D30" s="18" t="s">
        <v>34</v>
      </c>
      <c r="E30" s="18" t="s">
        <v>39</v>
      </c>
      <c r="G30" s="1" t="b">
        <v>0</v>
      </c>
      <c r="H30" s="1">
        <v>0.9</v>
      </c>
      <c r="I30" s="1">
        <v>492</v>
      </c>
      <c r="L30" s="45">
        <v>547</v>
      </c>
      <c r="M30" s="3">
        <v>0.53800000000000003</v>
      </c>
      <c r="N30" s="3">
        <v>-0.44600000000000001</v>
      </c>
      <c r="O30" s="1">
        <v>238</v>
      </c>
      <c r="Q30" s="45">
        <v>264</v>
      </c>
      <c r="R30" s="45">
        <f t="shared" si="0"/>
        <v>10.393700787401576</v>
      </c>
      <c r="S30" s="1">
        <v>6</v>
      </c>
      <c r="T30" s="47">
        <v>1.136E-2</v>
      </c>
      <c r="U30" s="47">
        <v>3.21082</v>
      </c>
      <c r="V30" s="45">
        <f t="shared" si="1"/>
        <v>264</v>
      </c>
      <c r="W30" s="45">
        <f t="shared" si="2"/>
        <v>265</v>
      </c>
      <c r="X30" s="4">
        <f t="shared" si="6"/>
        <v>0.53647930414470013</v>
      </c>
      <c r="Y30" s="1">
        <f t="shared" si="3"/>
        <v>0.99717342777825302</v>
      </c>
      <c r="Z30" s="45">
        <f t="shared" si="4"/>
        <v>264</v>
      </c>
      <c r="AA30" s="45">
        <f t="shared" si="5"/>
        <v>265</v>
      </c>
      <c r="AB30" s="1">
        <v>0.4</v>
      </c>
      <c r="AC30" s="1">
        <v>5</v>
      </c>
      <c r="AD30" s="1">
        <f>25.4*AE30</f>
        <v>254</v>
      </c>
      <c r="AE30" s="1">
        <v>10</v>
      </c>
      <c r="AF30" s="1" t="s">
        <v>257</v>
      </c>
      <c r="AG30" s="1">
        <v>1.32</v>
      </c>
      <c r="AH30" s="1">
        <f t="shared" si="8"/>
        <v>2.4604863408560629</v>
      </c>
      <c r="AI30" s="1">
        <v>0.14000000000000001</v>
      </c>
      <c r="AL30" s="1" t="s">
        <v>194</v>
      </c>
      <c r="AM30" s="1" t="s">
        <v>201</v>
      </c>
      <c r="AN30" s="1" t="s">
        <v>289</v>
      </c>
    </row>
    <row r="31" spans="1:40">
      <c r="A31" s="18" t="s">
        <v>61</v>
      </c>
      <c r="B31" s="18" t="s">
        <v>196</v>
      </c>
      <c r="C31" s="18" t="s">
        <v>197</v>
      </c>
      <c r="D31" s="18" t="s">
        <v>40</v>
      </c>
      <c r="E31" s="1" t="s">
        <v>84</v>
      </c>
      <c r="F31" s="18" t="s">
        <v>175</v>
      </c>
      <c r="G31" s="18" t="b">
        <v>1</v>
      </c>
      <c r="H31" s="1">
        <v>1</v>
      </c>
      <c r="I31" s="1">
        <v>532</v>
      </c>
      <c r="L31" s="45">
        <f>I31/H31</f>
        <v>532</v>
      </c>
      <c r="M31" s="3">
        <v>0.22500000000000001</v>
      </c>
      <c r="N31" s="3">
        <v>-1.48</v>
      </c>
      <c r="O31" s="1">
        <v>350</v>
      </c>
      <c r="Q31" s="45">
        <f>O31/H31</f>
        <v>350</v>
      </c>
      <c r="R31" s="45">
        <f t="shared" si="0"/>
        <v>13.779527559055119</v>
      </c>
      <c r="S31" s="1">
        <v>20</v>
      </c>
      <c r="T31" s="47">
        <v>1.3599999999999999E-2</v>
      </c>
      <c r="U31" s="47">
        <v>3.109</v>
      </c>
      <c r="V31" s="45">
        <f t="shared" si="1"/>
        <v>350</v>
      </c>
      <c r="W31" s="45">
        <f t="shared" si="2"/>
        <v>351</v>
      </c>
      <c r="X31" s="4">
        <f t="shared" si="6"/>
        <v>0.16094379124341002</v>
      </c>
      <c r="Y31" s="1">
        <f t="shared" si="3"/>
        <v>0.71530573885960003</v>
      </c>
      <c r="Z31" s="45">
        <f t="shared" si="4"/>
        <v>350</v>
      </c>
      <c r="AA31" s="45">
        <f t="shared" si="5"/>
        <v>351</v>
      </c>
      <c r="AB31" s="1">
        <v>0.4</v>
      </c>
      <c r="AC31" s="1">
        <v>5</v>
      </c>
      <c r="AJ31" s="1" t="s">
        <v>237</v>
      </c>
      <c r="AM31" s="1" t="s">
        <v>228</v>
      </c>
      <c r="AN31" s="1" t="s">
        <v>290</v>
      </c>
    </row>
    <row r="32" spans="1:40">
      <c r="A32" s="18" t="s">
        <v>61</v>
      </c>
      <c r="B32" s="18" t="s">
        <v>118</v>
      </c>
      <c r="C32" s="18" t="s">
        <v>43</v>
      </c>
      <c r="D32" s="18" t="s">
        <v>40</v>
      </c>
      <c r="E32" s="18" t="s">
        <v>41</v>
      </c>
      <c r="F32" s="18"/>
      <c r="G32" s="1" t="b">
        <v>1</v>
      </c>
      <c r="H32" s="1">
        <v>1</v>
      </c>
      <c r="J32" s="1">
        <v>0.87</v>
      </c>
      <c r="K32" s="1">
        <v>256</v>
      </c>
      <c r="L32" s="45">
        <v>294</v>
      </c>
      <c r="M32" s="3">
        <v>0.442</v>
      </c>
      <c r="N32" s="3">
        <v>-0.75600000000000001</v>
      </c>
      <c r="O32" s="1">
        <v>170</v>
      </c>
      <c r="Q32" s="45">
        <v>170</v>
      </c>
      <c r="R32" s="45">
        <f t="shared" si="0"/>
        <v>6.6929133858267722</v>
      </c>
      <c r="S32" s="1">
        <v>10</v>
      </c>
      <c r="T32" s="47">
        <v>2.4309999999999998E-2</v>
      </c>
      <c r="U32" s="47">
        <v>2.9693100000000001</v>
      </c>
      <c r="V32" s="45">
        <f t="shared" si="1"/>
        <v>170</v>
      </c>
      <c r="W32" s="45">
        <f t="shared" si="2"/>
        <v>171</v>
      </c>
      <c r="X32" s="4">
        <f t="shared" si="6"/>
        <v>0.32188758248682003</v>
      </c>
      <c r="Y32" s="1">
        <f t="shared" si="3"/>
        <v>0.7282524490652037</v>
      </c>
      <c r="Z32" s="45">
        <f t="shared" si="4"/>
        <v>170</v>
      </c>
      <c r="AA32" s="45">
        <f t="shared" si="5"/>
        <v>171</v>
      </c>
      <c r="AB32" s="1">
        <v>0.4</v>
      </c>
      <c r="AC32" s="1">
        <v>5</v>
      </c>
      <c r="AG32"/>
      <c r="AH32">
        <f>AG32/X32</f>
        <v>0</v>
      </c>
      <c r="AJ32" s="1" t="s">
        <v>249</v>
      </c>
      <c r="AL32" s="1" t="s">
        <v>195</v>
      </c>
      <c r="AN32" s="1" t="s">
        <v>291</v>
      </c>
    </row>
    <row r="33" spans="1:40">
      <c r="A33" s="18" t="s">
        <v>61</v>
      </c>
      <c r="B33" s="18" t="s">
        <v>198</v>
      </c>
      <c r="C33" s="18" t="s">
        <v>43</v>
      </c>
      <c r="D33" s="18" t="s">
        <v>40</v>
      </c>
      <c r="E33" s="1" t="s">
        <v>60</v>
      </c>
      <c r="F33" s="18" t="s">
        <v>175</v>
      </c>
      <c r="G33" s="18" t="b">
        <v>1</v>
      </c>
      <c r="H33" s="1">
        <v>1</v>
      </c>
      <c r="I33" s="1">
        <v>344</v>
      </c>
      <c r="L33" s="45">
        <f>I33/H33</f>
        <v>344</v>
      </c>
      <c r="M33" s="3">
        <v>0.4</v>
      </c>
      <c r="N33" s="3">
        <v>-0.13</v>
      </c>
      <c r="O33" s="1">
        <v>172</v>
      </c>
      <c r="Q33" s="45">
        <f>O33/H33</f>
        <v>172</v>
      </c>
      <c r="R33" s="45">
        <f t="shared" si="0"/>
        <v>6.771653543307087</v>
      </c>
      <c r="S33" s="1">
        <v>11</v>
      </c>
      <c r="T33" s="47">
        <v>2.2200000000000001E-2</v>
      </c>
      <c r="U33" s="47">
        <v>2.9710000000000001</v>
      </c>
      <c r="V33" s="45">
        <f t="shared" si="1"/>
        <v>172</v>
      </c>
      <c r="W33" s="45">
        <f t="shared" si="2"/>
        <v>173</v>
      </c>
      <c r="X33" s="4">
        <f t="shared" si="6"/>
        <v>0.29262507498801821</v>
      </c>
      <c r="Y33" s="1">
        <f t="shared" si="3"/>
        <v>0.73156268747004549</v>
      </c>
      <c r="Z33" s="45">
        <f t="shared" si="4"/>
        <v>172</v>
      </c>
      <c r="AA33" s="45">
        <f t="shared" si="5"/>
        <v>173</v>
      </c>
      <c r="AB33" s="1">
        <v>0.4</v>
      </c>
      <c r="AC33" s="1">
        <v>5</v>
      </c>
      <c r="AD33" s="1">
        <f>25.4*AE33</f>
        <v>304.79999999999995</v>
      </c>
      <c r="AE33" s="1">
        <v>12</v>
      </c>
      <c r="AF33" s="1" t="s">
        <v>259</v>
      </c>
      <c r="AJ33" s="1" t="s">
        <v>238</v>
      </c>
      <c r="AN33" s="1" t="s">
        <v>296</v>
      </c>
    </row>
    <row r="34" spans="1:40">
      <c r="A34" s="18" t="s">
        <v>61</v>
      </c>
      <c r="B34" s="18" t="s">
        <v>136</v>
      </c>
      <c r="C34" s="18" t="s">
        <v>43</v>
      </c>
      <c r="D34" s="18" t="s">
        <v>40</v>
      </c>
      <c r="E34" s="18" t="s">
        <v>42</v>
      </c>
      <c r="F34" s="18" t="s">
        <v>239</v>
      </c>
      <c r="G34" s="18" t="b">
        <v>1</v>
      </c>
      <c r="H34" s="1">
        <v>0.97</v>
      </c>
      <c r="I34" s="1">
        <v>327</v>
      </c>
      <c r="L34" s="45">
        <f>I34/H34</f>
        <v>337.11340206185565</v>
      </c>
      <c r="M34" s="3">
        <v>0.48599999999999999</v>
      </c>
      <c r="N34" s="3">
        <v>-0.01</v>
      </c>
      <c r="O34" s="1">
        <v>139</v>
      </c>
      <c r="Q34" s="45">
        <f>O34/H34</f>
        <v>143.29896907216497</v>
      </c>
      <c r="R34" s="45">
        <f t="shared" si="0"/>
        <v>5.6416916957545267</v>
      </c>
      <c r="S34" s="1">
        <v>6</v>
      </c>
      <c r="T34" s="47">
        <v>1.0449999999999999E-2</v>
      </c>
      <c r="U34" s="47">
        <v>3.3187099999999998</v>
      </c>
      <c r="V34" s="45">
        <f t="shared" si="1"/>
        <v>143.29896907216497</v>
      </c>
      <c r="W34" s="45">
        <f t="shared" si="2"/>
        <v>144.29896907216497</v>
      </c>
      <c r="X34" s="4">
        <f t="shared" si="6"/>
        <v>0.53647930414470013</v>
      </c>
      <c r="Y34" s="1">
        <f t="shared" si="3"/>
        <v>1.1038668809561731</v>
      </c>
      <c r="Z34" s="45">
        <f t="shared" si="4"/>
        <v>143.29896907216497</v>
      </c>
      <c r="AA34" s="45">
        <f t="shared" si="5"/>
        <v>144.29896907216497</v>
      </c>
      <c r="AB34" s="1">
        <v>0.4</v>
      </c>
      <c r="AC34" s="1">
        <v>5</v>
      </c>
      <c r="AD34" s="1">
        <f>25.4*AE34</f>
        <v>304.79999999999995</v>
      </c>
      <c r="AE34" s="1">
        <v>12</v>
      </c>
      <c r="AF34" s="1" t="s">
        <v>259</v>
      </c>
      <c r="AG34" s="1">
        <v>0.16</v>
      </c>
      <c r="AH34" s="1">
        <f>AG34/X34</f>
        <v>0.29824076858861365</v>
      </c>
      <c r="AI34" s="1">
        <v>0.77</v>
      </c>
      <c r="AJ34" s="1" t="s">
        <v>237</v>
      </c>
      <c r="AK34" s="1" t="s">
        <v>246</v>
      </c>
      <c r="AL34" s="1" t="s">
        <v>194</v>
      </c>
      <c r="AM34" s="1" t="s">
        <v>247</v>
      </c>
      <c r="AN34" s="1" t="s">
        <v>292</v>
      </c>
    </row>
    <row r="35" spans="1:40">
      <c r="A35" s="18" t="s">
        <v>61</v>
      </c>
      <c r="B35" s="18" t="s">
        <v>137</v>
      </c>
      <c r="C35" s="18" t="s">
        <v>187</v>
      </c>
      <c r="D35" s="18" t="s">
        <v>40</v>
      </c>
      <c r="E35" s="18" t="s">
        <v>44</v>
      </c>
      <c r="F35" s="1" t="s">
        <v>175</v>
      </c>
      <c r="G35" s="18" t="b">
        <v>1</v>
      </c>
      <c r="H35" s="1">
        <v>0.91</v>
      </c>
      <c r="I35" s="1">
        <v>535</v>
      </c>
      <c r="L35" s="45">
        <f>I35/H35</f>
        <v>587.91208791208794</v>
      </c>
      <c r="M35" s="3">
        <v>0.41</v>
      </c>
      <c r="N35" s="3">
        <v>0.12</v>
      </c>
      <c r="O35" s="1">
        <v>350</v>
      </c>
      <c r="Q35" s="45">
        <f>O35/H35</f>
        <v>384.61538461538458</v>
      </c>
      <c r="R35" s="45">
        <f t="shared" si="0"/>
        <v>15.142337976983645</v>
      </c>
      <c r="S35" s="1">
        <v>20</v>
      </c>
      <c r="T35" s="47">
        <v>1.3599999999999999E-2</v>
      </c>
      <c r="U35" s="47">
        <v>3.109</v>
      </c>
      <c r="V35" s="45">
        <f t="shared" si="1"/>
        <v>384.61538461538458</v>
      </c>
      <c r="W35" s="45">
        <f t="shared" si="2"/>
        <v>385.61538461538458</v>
      </c>
      <c r="X35" s="4">
        <f t="shared" si="6"/>
        <v>0.16094379124341002</v>
      </c>
      <c r="Y35" s="1">
        <f t="shared" si="3"/>
        <v>0.39254583230100004</v>
      </c>
      <c r="Z35" s="45">
        <f t="shared" si="4"/>
        <v>384.61538461538458</v>
      </c>
      <c r="AA35" s="45">
        <f t="shared" si="5"/>
        <v>385.61538461538458</v>
      </c>
      <c r="AB35" s="1">
        <v>0.4</v>
      </c>
      <c r="AC35" s="1">
        <v>5</v>
      </c>
      <c r="AD35" s="1">
        <f>25.4*AE35</f>
        <v>304.79999999999995</v>
      </c>
      <c r="AE35" s="1">
        <v>12</v>
      </c>
      <c r="AF35" s="1" t="s">
        <v>259</v>
      </c>
      <c r="AG35" s="1">
        <v>0.2</v>
      </c>
      <c r="AH35" s="1">
        <f>AG35/X35</f>
        <v>1.2426698691192239</v>
      </c>
      <c r="AI35" s="1">
        <v>0.27</v>
      </c>
      <c r="AJ35" s="1" t="s">
        <v>237</v>
      </c>
      <c r="AN35" s="1" t="s">
        <v>293</v>
      </c>
    </row>
    <row r="36" spans="1:40">
      <c r="A36" s="18" t="s">
        <v>74</v>
      </c>
      <c r="B36" s="17" t="s">
        <v>122</v>
      </c>
      <c r="C36" s="17" t="s">
        <v>112</v>
      </c>
      <c r="D36" s="18" t="s">
        <v>45</v>
      </c>
      <c r="E36" s="18" t="s">
        <v>46</v>
      </c>
      <c r="F36" s="18"/>
      <c r="G36" s="1" t="b">
        <v>1</v>
      </c>
      <c r="J36" s="1">
        <v>0.82</v>
      </c>
      <c r="L36" s="45">
        <v>506</v>
      </c>
      <c r="M36" s="3">
        <v>7.4999999999999997E-2</v>
      </c>
      <c r="N36" s="3">
        <v>-6.5</v>
      </c>
      <c r="P36" s="1">
        <v>220</v>
      </c>
      <c r="Q36" s="45">
        <v>268</v>
      </c>
      <c r="R36" s="45">
        <f t="shared" si="0"/>
        <v>10.551181102362206</v>
      </c>
      <c r="S36" s="1">
        <v>25</v>
      </c>
      <c r="T36" s="47">
        <v>0.02</v>
      </c>
      <c r="U36" s="47">
        <v>2.99</v>
      </c>
      <c r="V36" s="45">
        <f t="shared" si="1"/>
        <v>268</v>
      </c>
      <c r="W36" s="45">
        <f t="shared" si="2"/>
        <v>269</v>
      </c>
      <c r="X36" s="4">
        <f t="shared" si="6"/>
        <v>0.12875503299472801</v>
      </c>
      <c r="Y36" s="1">
        <f t="shared" si="3"/>
        <v>1.7167337732630403</v>
      </c>
      <c r="Z36" s="45">
        <f t="shared" si="4"/>
        <v>268</v>
      </c>
      <c r="AA36" s="45">
        <f t="shared" si="5"/>
        <v>269</v>
      </c>
      <c r="AB36" s="1">
        <v>0.4</v>
      </c>
      <c r="AC36" s="1">
        <v>5</v>
      </c>
      <c r="AG36">
        <v>0.01</v>
      </c>
      <c r="AH36">
        <f>AG36/X36</f>
        <v>7.7666866819951483E-2</v>
      </c>
      <c r="AI36" s="1">
        <v>0.99</v>
      </c>
      <c r="AL36" s="1" t="s">
        <v>195</v>
      </c>
      <c r="AN36" s="1" t="s">
        <v>294</v>
      </c>
    </row>
    <row r="37" spans="1:40">
      <c r="A37" s="18" t="s">
        <v>141</v>
      </c>
      <c r="B37" s="18" t="s">
        <v>139</v>
      </c>
      <c r="C37" s="18" t="s">
        <v>163</v>
      </c>
      <c r="D37" s="18" t="s">
        <v>47</v>
      </c>
      <c r="E37" s="18" t="s">
        <v>48</v>
      </c>
      <c r="G37" s="18" t="b">
        <v>0</v>
      </c>
      <c r="H37" s="1">
        <v>0.89</v>
      </c>
      <c r="I37" s="1">
        <v>1236</v>
      </c>
      <c r="L37" s="45">
        <v>1389</v>
      </c>
      <c r="M37" s="3">
        <v>0.26</v>
      </c>
      <c r="N37" s="3">
        <v>-0.71</v>
      </c>
      <c r="O37" s="1">
        <v>780</v>
      </c>
      <c r="Q37" s="45">
        <v>876</v>
      </c>
      <c r="R37" s="45">
        <f t="shared" si="0"/>
        <v>34.488188976377955</v>
      </c>
      <c r="S37" s="1">
        <v>19</v>
      </c>
      <c r="T37" s="47">
        <v>6.1700000000000001E-3</v>
      </c>
      <c r="U37" s="47">
        <v>3.0109499999999998</v>
      </c>
      <c r="V37" s="45">
        <f t="shared" si="1"/>
        <v>876</v>
      </c>
      <c r="W37" s="45">
        <f t="shared" si="2"/>
        <v>877</v>
      </c>
      <c r="X37" s="4">
        <f t="shared" si="6"/>
        <v>0.16941451709832633</v>
      </c>
      <c r="Y37" s="1">
        <f t="shared" si="3"/>
        <v>0.65159429653202439</v>
      </c>
      <c r="Z37" s="45">
        <f t="shared" si="4"/>
        <v>876</v>
      </c>
      <c r="AA37" s="45">
        <f t="shared" si="5"/>
        <v>877</v>
      </c>
      <c r="AB37" s="1">
        <v>0.4</v>
      </c>
      <c r="AC37" s="1">
        <v>5</v>
      </c>
      <c r="AL37" s="1" t="s">
        <v>194</v>
      </c>
      <c r="AM37" s="1" t="s">
        <v>201</v>
      </c>
      <c r="AN37" s="1" t="s">
        <v>295</v>
      </c>
    </row>
  </sheetData>
  <sortState ref="A2:AM37">
    <sortCondition ref="D1"/>
  </sortState>
  <dataConsolid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FE605-41FE-CB4E-AAB5-16EDBBFA9E22}">
  <dimension ref="A1:AJ19"/>
  <sheetViews>
    <sheetView workbookViewId="0">
      <selection activeCell="A16" sqref="A16:XFD16"/>
    </sheetView>
  </sheetViews>
  <sheetFormatPr baseColWidth="10" defaultColWidth="14.1640625" defaultRowHeight="16"/>
  <cols>
    <col min="1" max="1" width="14.1640625" style="1"/>
    <col min="2" max="2" width="22.1640625" style="1" customWidth="1"/>
    <col min="3" max="3" width="14.33203125" style="1" customWidth="1"/>
    <col min="4" max="4" width="17.6640625" style="1" customWidth="1"/>
    <col min="5" max="6" width="26.5" style="1" customWidth="1"/>
    <col min="7" max="12" width="14.1640625" style="1"/>
    <col min="13" max="13" width="14.33203125" style="1" customWidth="1"/>
    <col min="14" max="16384" width="14.1640625" style="1"/>
  </cols>
  <sheetData>
    <row r="1" spans="1:36">
      <c r="A1" s="18" t="s">
        <v>143</v>
      </c>
      <c r="B1" s="18" t="s">
        <v>144</v>
      </c>
      <c r="C1" s="18" t="s">
        <v>145</v>
      </c>
      <c r="D1" s="18" t="s">
        <v>146</v>
      </c>
      <c r="E1" s="18" t="s">
        <v>147</v>
      </c>
      <c r="F1" s="18" t="s">
        <v>168</v>
      </c>
      <c r="G1" s="1" t="s">
        <v>240</v>
      </c>
      <c r="H1" s="1" t="s">
        <v>180</v>
      </c>
      <c r="I1" s="1" t="s">
        <v>1</v>
      </c>
      <c r="J1" s="1" t="s">
        <v>181</v>
      </c>
      <c r="K1" s="1" t="s">
        <v>2</v>
      </c>
      <c r="L1" s="2" t="s">
        <v>49</v>
      </c>
      <c r="M1" s="2" t="s">
        <v>3</v>
      </c>
      <c r="N1" s="2" t="s">
        <v>90</v>
      </c>
      <c r="O1" s="1" t="s">
        <v>4</v>
      </c>
      <c r="P1" s="1" t="s">
        <v>5</v>
      </c>
      <c r="Q1" s="2" t="s">
        <v>6</v>
      </c>
      <c r="R1" s="2" t="s">
        <v>182</v>
      </c>
      <c r="S1" s="2" t="s">
        <v>149</v>
      </c>
      <c r="T1" s="2" t="s">
        <v>150</v>
      </c>
      <c r="U1" s="2" t="s">
        <v>50</v>
      </c>
      <c r="V1" s="2" t="s">
        <v>51</v>
      </c>
      <c r="W1" s="2" t="s">
        <v>93</v>
      </c>
      <c r="X1" s="2" t="s">
        <v>148</v>
      </c>
      <c r="Y1" s="16" t="s">
        <v>52</v>
      </c>
      <c r="Z1" s="16" t="s">
        <v>53</v>
      </c>
      <c r="AA1" s="2" t="s">
        <v>54</v>
      </c>
      <c r="AB1" s="2" t="s">
        <v>55</v>
      </c>
      <c r="AC1" s="1" t="s">
        <v>56</v>
      </c>
      <c r="AD1" s="13" t="s">
        <v>57</v>
      </c>
      <c r="AE1" s="13" t="s">
        <v>58</v>
      </c>
      <c r="AF1" s="13" t="s">
        <v>151</v>
      </c>
      <c r="AG1" s="7" t="s">
        <v>169</v>
      </c>
      <c r="AH1" s="7" t="s">
        <v>170</v>
      </c>
      <c r="AI1" s="7" t="s">
        <v>171</v>
      </c>
      <c r="AJ1" s="7" t="s">
        <v>200</v>
      </c>
    </row>
    <row r="2" spans="1:36">
      <c r="A2" s="18" t="s">
        <v>62</v>
      </c>
      <c r="B2" s="17" t="s">
        <v>66</v>
      </c>
      <c r="C2" s="18" t="s">
        <v>67</v>
      </c>
      <c r="D2" s="18" t="s">
        <v>7</v>
      </c>
      <c r="E2" s="18" t="s">
        <v>8</v>
      </c>
      <c r="F2" s="18"/>
      <c r="G2" s="1" t="b">
        <v>0</v>
      </c>
      <c r="J2" s="1">
        <v>0.76</v>
      </c>
      <c r="K2" s="1">
        <v>276</v>
      </c>
      <c r="L2" s="1">
        <v>363</v>
      </c>
      <c r="M2" s="3">
        <v>0.25</v>
      </c>
      <c r="N2" s="3">
        <v>-0.38</v>
      </c>
      <c r="P2" s="1">
        <v>210</v>
      </c>
      <c r="Q2" s="1">
        <v>276</v>
      </c>
      <c r="R2" s="1">
        <v>35</v>
      </c>
      <c r="S2" s="5">
        <v>2.5059999999999999E-2</v>
      </c>
      <c r="T2" s="5">
        <v>3.03193</v>
      </c>
      <c r="U2" s="1">
        <f t="shared" ref="U2:U16" si="0">Q2</f>
        <v>276</v>
      </c>
      <c r="V2" s="1">
        <f t="shared" ref="V2:V16" si="1">U2+1</f>
        <v>277</v>
      </c>
      <c r="W2" s="6">
        <f t="shared" ref="W2:W16" si="2">-(LN(0.04))/R2</f>
        <v>9.196788071052002E-2</v>
      </c>
      <c r="X2" s="1">
        <f t="shared" ref="X2:X16" si="3">W2/M2</f>
        <v>0.36787152284208008</v>
      </c>
      <c r="Y2" s="1">
        <f>U2</f>
        <v>276</v>
      </c>
      <c r="Z2" s="1">
        <f t="shared" ref="Z2:Z16" si="4">Y2+1</f>
        <v>277</v>
      </c>
      <c r="AA2" s="1">
        <v>0.4</v>
      </c>
      <c r="AB2" s="1">
        <v>5</v>
      </c>
      <c r="AD2">
        <v>0.27</v>
      </c>
      <c r="AE2">
        <f t="shared" ref="AE2:AE16" si="5">AD2/W2</f>
        <v>2.9358075657941662</v>
      </c>
      <c r="AF2" s="1">
        <v>0.16</v>
      </c>
      <c r="AI2" s="1" t="s">
        <v>195</v>
      </c>
    </row>
    <row r="3" spans="1:36">
      <c r="A3" s="18" t="s">
        <v>62</v>
      </c>
      <c r="B3" s="18" t="s">
        <v>68</v>
      </c>
      <c r="C3" s="18" t="s">
        <v>69</v>
      </c>
      <c r="D3" s="18" t="s">
        <v>7</v>
      </c>
      <c r="E3" s="18" t="s">
        <v>9</v>
      </c>
      <c r="F3" s="18"/>
      <c r="G3" s="1" t="b">
        <v>0</v>
      </c>
      <c r="J3" s="1">
        <v>0.83</v>
      </c>
      <c r="K3" s="1">
        <v>308</v>
      </c>
      <c r="L3" s="1">
        <v>371</v>
      </c>
      <c r="M3" s="3">
        <v>0.29599999999999999</v>
      </c>
      <c r="N3" s="3">
        <v>-0.28999999999999998</v>
      </c>
      <c r="P3" s="1">
        <v>234</v>
      </c>
      <c r="Q3" s="1">
        <v>282</v>
      </c>
      <c r="R3" s="1">
        <v>28</v>
      </c>
      <c r="S3" s="5">
        <v>2.5100000000000001E-2</v>
      </c>
      <c r="T3" s="5">
        <v>3.032</v>
      </c>
      <c r="U3" s="1">
        <f t="shared" si="0"/>
        <v>282</v>
      </c>
      <c r="V3" s="1">
        <f t="shared" si="1"/>
        <v>283</v>
      </c>
      <c r="W3" s="6">
        <f t="shared" si="2"/>
        <v>0.11495985088815001</v>
      </c>
      <c r="X3" s="1">
        <f t="shared" si="3"/>
        <v>0.38837787462212847</v>
      </c>
      <c r="Y3" s="1">
        <f>U3</f>
        <v>282</v>
      </c>
      <c r="Z3" s="1">
        <f t="shared" si="4"/>
        <v>283</v>
      </c>
      <c r="AA3" s="1">
        <v>0.4</v>
      </c>
      <c r="AB3" s="1">
        <v>5</v>
      </c>
      <c r="AD3">
        <v>0.18</v>
      </c>
      <c r="AE3">
        <f t="shared" si="5"/>
        <v>1.5657640350902218</v>
      </c>
      <c r="AF3" s="1">
        <v>0.32</v>
      </c>
      <c r="AI3" s="1" t="s">
        <v>195</v>
      </c>
    </row>
    <row r="4" spans="1:36">
      <c r="A4" s="18" t="s">
        <v>62</v>
      </c>
      <c r="B4" s="18" t="s">
        <v>70</v>
      </c>
      <c r="C4" s="18" t="s">
        <v>67</v>
      </c>
      <c r="D4" s="18" t="s">
        <v>7</v>
      </c>
      <c r="E4" s="18" t="s">
        <v>10</v>
      </c>
      <c r="F4" s="18"/>
      <c r="G4" s="1" t="b">
        <v>0</v>
      </c>
      <c r="J4" s="1">
        <v>0.74</v>
      </c>
      <c r="K4" s="1">
        <v>426</v>
      </c>
      <c r="L4" s="1">
        <v>576</v>
      </c>
      <c r="M4" s="3">
        <v>0.28699999999999998</v>
      </c>
      <c r="N4" s="3">
        <v>-0.21</v>
      </c>
      <c r="P4" s="1">
        <v>367</v>
      </c>
      <c r="Q4" s="1">
        <v>496</v>
      </c>
      <c r="R4" s="1">
        <v>34</v>
      </c>
      <c r="S4" s="5">
        <v>2.673E-2</v>
      </c>
      <c r="T4" s="5">
        <v>2.9844900000000001</v>
      </c>
      <c r="U4" s="1">
        <f t="shared" si="0"/>
        <v>496</v>
      </c>
      <c r="V4" s="1">
        <f t="shared" si="1"/>
        <v>497</v>
      </c>
      <c r="W4" s="6">
        <f t="shared" si="2"/>
        <v>9.4672818378476492E-2</v>
      </c>
      <c r="X4" s="1">
        <f t="shared" si="3"/>
        <v>0.32987044731176479</v>
      </c>
      <c r="Y4" s="1">
        <f>U4</f>
        <v>496</v>
      </c>
      <c r="Z4" s="1">
        <f t="shared" si="4"/>
        <v>497</v>
      </c>
      <c r="AA4" s="1">
        <v>0.4</v>
      </c>
      <c r="AB4" s="1">
        <v>5</v>
      </c>
      <c r="AD4"/>
      <c r="AE4">
        <f t="shared" si="5"/>
        <v>0</v>
      </c>
      <c r="AI4" s="1" t="s">
        <v>195</v>
      </c>
    </row>
    <row r="5" spans="1:36">
      <c r="A5" s="18" t="s">
        <v>64</v>
      </c>
      <c r="B5" s="18" t="s">
        <v>71</v>
      </c>
      <c r="C5" s="18" t="s">
        <v>72</v>
      </c>
      <c r="D5" s="18" t="s">
        <v>29</v>
      </c>
      <c r="E5" s="18" t="s">
        <v>30</v>
      </c>
      <c r="F5" s="18"/>
      <c r="G5" s="1" t="b">
        <v>0</v>
      </c>
      <c r="H5" s="1">
        <v>0.92</v>
      </c>
      <c r="I5" s="1">
        <v>765</v>
      </c>
      <c r="L5" s="1">
        <v>831</v>
      </c>
      <c r="M5" s="3">
        <v>0.13600000000000001</v>
      </c>
      <c r="N5" s="3">
        <v>0</v>
      </c>
      <c r="O5" s="1">
        <v>450</v>
      </c>
      <c r="Q5" s="1">
        <v>489</v>
      </c>
      <c r="R5" s="1">
        <v>32</v>
      </c>
      <c r="S5" s="5">
        <v>1.1800000000000001E-5</v>
      </c>
      <c r="T5" s="5">
        <v>3.0430000000000001</v>
      </c>
      <c r="U5" s="1">
        <f t="shared" si="0"/>
        <v>489</v>
      </c>
      <c r="V5" s="1">
        <f t="shared" si="1"/>
        <v>490</v>
      </c>
      <c r="W5" s="6">
        <f t="shared" si="2"/>
        <v>0.10058986952713127</v>
      </c>
      <c r="X5" s="1">
        <f t="shared" si="3"/>
        <v>0.73963139358184748</v>
      </c>
      <c r="Y5" s="1">
        <f>U5</f>
        <v>489</v>
      </c>
      <c r="Z5" s="1">
        <f t="shared" si="4"/>
        <v>490</v>
      </c>
      <c r="AA5" s="1">
        <v>0.4</v>
      </c>
      <c r="AB5" s="1">
        <v>5</v>
      </c>
      <c r="AD5">
        <v>0.23</v>
      </c>
      <c r="AE5">
        <f t="shared" si="5"/>
        <v>2.2865125591793718</v>
      </c>
      <c r="AF5" s="1">
        <v>0.23</v>
      </c>
      <c r="AG5" s="1" t="s">
        <v>248</v>
      </c>
      <c r="AI5" s="1" t="s">
        <v>195</v>
      </c>
    </row>
    <row r="6" spans="1:36">
      <c r="A6" s="18" t="s">
        <v>65</v>
      </c>
      <c r="B6" s="17" t="s">
        <v>73</v>
      </c>
      <c r="C6" s="17" t="s">
        <v>188</v>
      </c>
      <c r="D6" s="18" t="s">
        <v>19</v>
      </c>
      <c r="E6" s="18" t="s">
        <v>20</v>
      </c>
      <c r="F6" s="18"/>
      <c r="G6" s="1" t="b">
        <v>0</v>
      </c>
      <c r="J6" s="1">
        <v>0.87</v>
      </c>
      <c r="K6" s="1">
        <v>1838</v>
      </c>
      <c r="L6" s="1">
        <v>2113</v>
      </c>
      <c r="M6" s="3">
        <v>0.111</v>
      </c>
      <c r="N6" s="3">
        <v>9.7000000000000003E-2</v>
      </c>
      <c r="P6" s="1">
        <v>700</v>
      </c>
      <c r="Q6" s="1">
        <v>805</v>
      </c>
      <c r="R6" s="1">
        <v>11</v>
      </c>
      <c r="S6" s="5">
        <v>2.7300000000000001E-2</v>
      </c>
      <c r="T6" s="5">
        <v>2.9129999999999998</v>
      </c>
      <c r="U6" s="1">
        <f t="shared" si="0"/>
        <v>805</v>
      </c>
      <c r="V6" s="1">
        <f t="shared" si="1"/>
        <v>806</v>
      </c>
      <c r="W6" s="6">
        <f t="shared" si="2"/>
        <v>0.29262507498801821</v>
      </c>
      <c r="X6" s="1">
        <f t="shared" si="3"/>
        <v>2.6362619368289928</v>
      </c>
      <c r="Y6" s="1">
        <f>10*25.4</f>
        <v>254</v>
      </c>
      <c r="Z6" s="1">
        <f t="shared" si="4"/>
        <v>255</v>
      </c>
      <c r="AA6" s="1">
        <v>0.4</v>
      </c>
      <c r="AB6" s="1">
        <v>5</v>
      </c>
      <c r="AC6" s="1">
        <v>254</v>
      </c>
      <c r="AD6">
        <v>0.3</v>
      </c>
      <c r="AE6">
        <f t="shared" si="5"/>
        <v>1.0252026420233595</v>
      </c>
      <c r="AF6" s="1">
        <v>0.21</v>
      </c>
      <c r="AI6" s="1" t="s">
        <v>195</v>
      </c>
    </row>
    <row r="7" spans="1:36">
      <c r="A7" s="18" t="s">
        <v>65</v>
      </c>
      <c r="B7" s="17" t="s">
        <v>119</v>
      </c>
      <c r="C7" s="17" t="s">
        <v>167</v>
      </c>
      <c r="D7" s="18" t="s">
        <v>19</v>
      </c>
      <c r="E7" s="18" t="s">
        <v>21</v>
      </c>
      <c r="F7" s="18"/>
      <c r="G7" s="1" t="b">
        <v>0</v>
      </c>
      <c r="H7" s="1">
        <v>0.94</v>
      </c>
      <c r="I7" s="1">
        <v>822</v>
      </c>
      <c r="L7" s="1">
        <v>874</v>
      </c>
      <c r="M7" s="3">
        <v>0.12</v>
      </c>
      <c r="N7" s="3">
        <v>0</v>
      </c>
      <c r="O7" s="1">
        <v>370</v>
      </c>
      <c r="Q7" s="1">
        <v>394</v>
      </c>
      <c r="R7" s="1">
        <v>12</v>
      </c>
      <c r="S7" s="5">
        <v>1.9800000000000002E-2</v>
      </c>
      <c r="T7" s="5">
        <v>3.0009999999999999</v>
      </c>
      <c r="U7" s="1">
        <f t="shared" si="0"/>
        <v>394</v>
      </c>
      <c r="V7" s="1">
        <f t="shared" si="1"/>
        <v>395</v>
      </c>
      <c r="W7" s="6">
        <f t="shared" si="2"/>
        <v>0.26823965207235007</v>
      </c>
      <c r="X7" s="1">
        <f t="shared" si="3"/>
        <v>2.2353304339362507</v>
      </c>
      <c r="Y7" s="1">
        <f>10*25.4</f>
        <v>254</v>
      </c>
      <c r="Z7" s="1">
        <f t="shared" si="4"/>
        <v>255</v>
      </c>
      <c r="AA7" s="1">
        <v>0.4</v>
      </c>
      <c r="AB7" s="1">
        <v>5</v>
      </c>
      <c r="AC7" s="1">
        <v>254</v>
      </c>
      <c r="AD7"/>
      <c r="AE7">
        <f t="shared" si="5"/>
        <v>0</v>
      </c>
      <c r="AI7" s="1" t="s">
        <v>195</v>
      </c>
    </row>
    <row r="8" spans="1:36">
      <c r="A8" s="18" t="s">
        <v>65</v>
      </c>
      <c r="B8" s="17" t="s">
        <v>120</v>
      </c>
      <c r="C8" s="17" t="s">
        <v>184</v>
      </c>
      <c r="D8" s="18" t="s">
        <v>19</v>
      </c>
      <c r="E8" s="18" t="s">
        <v>22</v>
      </c>
      <c r="F8" s="18"/>
      <c r="G8" s="1" t="b">
        <v>0</v>
      </c>
      <c r="J8" s="1">
        <v>0.84</v>
      </c>
      <c r="K8" s="1">
        <v>897</v>
      </c>
      <c r="L8" s="1">
        <v>1068</v>
      </c>
      <c r="M8" s="3">
        <v>0.23300000000000001</v>
      </c>
      <c r="N8" s="3">
        <v>-4.3999999999999997E-2</v>
      </c>
      <c r="P8" s="1">
        <v>400</v>
      </c>
      <c r="Q8" s="1">
        <v>476</v>
      </c>
      <c r="R8" s="1">
        <v>7</v>
      </c>
      <c r="S8" s="5">
        <v>2.4199999999999999E-2</v>
      </c>
      <c r="T8" s="5">
        <v>2.9409999999999998</v>
      </c>
      <c r="U8" s="1">
        <f t="shared" si="0"/>
        <v>476</v>
      </c>
      <c r="V8" s="1">
        <f t="shared" si="1"/>
        <v>477</v>
      </c>
      <c r="W8" s="6">
        <f t="shared" si="2"/>
        <v>0.45983940355260006</v>
      </c>
      <c r="X8" s="1">
        <f t="shared" si="3"/>
        <v>1.9735596718995709</v>
      </c>
      <c r="Y8" s="1">
        <f>10*25.4</f>
        <v>254</v>
      </c>
      <c r="Z8" s="1">
        <f t="shared" si="4"/>
        <v>255</v>
      </c>
      <c r="AA8" s="1">
        <v>0.4</v>
      </c>
      <c r="AB8" s="1">
        <v>5</v>
      </c>
      <c r="AC8" s="1">
        <v>254</v>
      </c>
      <c r="AD8">
        <v>0.16</v>
      </c>
      <c r="AE8">
        <f t="shared" si="5"/>
        <v>0.34794756335338267</v>
      </c>
      <c r="AF8" s="1">
        <v>0.65</v>
      </c>
      <c r="AI8" s="1" t="s">
        <v>195</v>
      </c>
    </row>
    <row r="9" spans="1:36">
      <c r="A9" s="18" t="s">
        <v>65</v>
      </c>
      <c r="B9" s="17" t="s">
        <v>121</v>
      </c>
      <c r="C9" s="17" t="s">
        <v>183</v>
      </c>
      <c r="D9" s="18" t="s">
        <v>19</v>
      </c>
      <c r="E9" s="18" t="s">
        <v>23</v>
      </c>
      <c r="F9" s="18"/>
      <c r="G9" s="1" t="b">
        <v>0</v>
      </c>
      <c r="H9" s="1">
        <v>0.9</v>
      </c>
      <c r="I9" s="1">
        <v>800</v>
      </c>
      <c r="J9" s="1">
        <v>0.83</v>
      </c>
      <c r="L9" s="1">
        <v>889</v>
      </c>
      <c r="M9" s="3">
        <v>0.24</v>
      </c>
      <c r="N9" s="3">
        <v>0</v>
      </c>
      <c r="P9" s="1">
        <v>420</v>
      </c>
      <c r="Q9" s="1">
        <v>506</v>
      </c>
      <c r="R9" s="1">
        <v>11</v>
      </c>
      <c r="S9" s="5">
        <v>1.9800000000000002E-2</v>
      </c>
      <c r="T9" s="5">
        <v>2.9860000000000002</v>
      </c>
      <c r="U9" s="1">
        <f t="shared" si="0"/>
        <v>506</v>
      </c>
      <c r="V9" s="1">
        <f t="shared" si="1"/>
        <v>507</v>
      </c>
      <c r="W9" s="6">
        <f t="shared" si="2"/>
        <v>0.29262507498801821</v>
      </c>
      <c r="X9" s="1">
        <f t="shared" si="3"/>
        <v>1.2192711457834093</v>
      </c>
      <c r="Y9" s="1">
        <f>10*25.4</f>
        <v>254</v>
      </c>
      <c r="Z9" s="1">
        <f t="shared" si="4"/>
        <v>255</v>
      </c>
      <c r="AA9" s="1">
        <v>0.4</v>
      </c>
      <c r="AB9" s="1">
        <v>5</v>
      </c>
      <c r="AC9" s="1">
        <v>254</v>
      </c>
      <c r="AD9"/>
      <c r="AE9">
        <f t="shared" si="5"/>
        <v>0</v>
      </c>
      <c r="AI9" s="1" t="s">
        <v>195</v>
      </c>
    </row>
    <row r="10" spans="1:36">
      <c r="A10" s="18" t="s">
        <v>74</v>
      </c>
      <c r="B10" s="17" t="s">
        <v>122</v>
      </c>
      <c r="C10" s="17" t="s">
        <v>112</v>
      </c>
      <c r="D10" s="18" t="s">
        <v>45</v>
      </c>
      <c r="E10" s="18" t="s">
        <v>46</v>
      </c>
      <c r="F10" s="18"/>
      <c r="G10" s="1" t="b">
        <v>1</v>
      </c>
      <c r="J10" s="1">
        <v>0.82</v>
      </c>
      <c r="L10" s="1">
        <v>506</v>
      </c>
      <c r="M10" s="3">
        <v>7.4999999999999997E-2</v>
      </c>
      <c r="N10" s="3">
        <v>-6.5</v>
      </c>
      <c r="P10" s="1">
        <v>220</v>
      </c>
      <c r="Q10" s="1">
        <v>268</v>
      </c>
      <c r="R10" s="1">
        <v>25</v>
      </c>
      <c r="S10" s="5">
        <v>0.02</v>
      </c>
      <c r="T10" s="5">
        <v>2.99</v>
      </c>
      <c r="U10" s="1">
        <f t="shared" si="0"/>
        <v>268</v>
      </c>
      <c r="V10" s="1">
        <f t="shared" si="1"/>
        <v>269</v>
      </c>
      <c r="W10" s="6">
        <f t="shared" si="2"/>
        <v>0.12875503299472801</v>
      </c>
      <c r="X10" s="1">
        <f t="shared" si="3"/>
        <v>1.7167337732630403</v>
      </c>
      <c r="Z10" s="1">
        <f t="shared" si="4"/>
        <v>1</v>
      </c>
      <c r="AA10" s="1">
        <v>0.4</v>
      </c>
      <c r="AB10" s="1">
        <v>5</v>
      </c>
      <c r="AD10">
        <v>0.01</v>
      </c>
      <c r="AE10">
        <f t="shared" si="5"/>
        <v>7.7666866819951483E-2</v>
      </c>
      <c r="AF10" s="1">
        <v>0.99</v>
      </c>
      <c r="AI10" s="1" t="s">
        <v>195</v>
      </c>
    </row>
    <row r="11" spans="1:36">
      <c r="A11" s="18" t="s">
        <v>61</v>
      </c>
      <c r="B11" s="18" t="s">
        <v>118</v>
      </c>
      <c r="C11" s="18" t="s">
        <v>43</v>
      </c>
      <c r="D11" s="18" t="s">
        <v>40</v>
      </c>
      <c r="E11" s="18" t="s">
        <v>41</v>
      </c>
      <c r="F11" s="18"/>
      <c r="G11" s="1" t="b">
        <v>1</v>
      </c>
      <c r="H11" s="1">
        <v>1</v>
      </c>
      <c r="J11" s="1">
        <v>0.87</v>
      </c>
      <c r="K11" s="1">
        <v>256</v>
      </c>
      <c r="L11" s="1">
        <v>294</v>
      </c>
      <c r="M11" s="3">
        <v>0.442</v>
      </c>
      <c r="N11" s="3">
        <v>-0.75600000000000001</v>
      </c>
      <c r="O11" s="1">
        <v>170</v>
      </c>
      <c r="Q11" s="1">
        <v>170</v>
      </c>
      <c r="R11" s="1">
        <v>10</v>
      </c>
      <c r="S11" s="5">
        <v>2.4309999999999998E-2</v>
      </c>
      <c r="T11" s="5">
        <v>2.9693100000000001</v>
      </c>
      <c r="U11" s="1">
        <f t="shared" si="0"/>
        <v>170</v>
      </c>
      <c r="V11" s="1">
        <f t="shared" si="1"/>
        <v>171</v>
      </c>
      <c r="W11" s="6">
        <f t="shared" si="2"/>
        <v>0.32188758248682003</v>
      </c>
      <c r="X11" s="1">
        <f t="shared" si="3"/>
        <v>0.7282524490652037</v>
      </c>
      <c r="Y11" s="1">
        <f>U11</f>
        <v>170</v>
      </c>
      <c r="Z11" s="1">
        <f t="shared" si="4"/>
        <v>171</v>
      </c>
      <c r="AA11" s="1">
        <v>0.4</v>
      </c>
      <c r="AB11" s="1">
        <v>5</v>
      </c>
      <c r="AD11"/>
      <c r="AE11">
        <f t="shared" si="5"/>
        <v>0</v>
      </c>
      <c r="AG11" s="1" t="s">
        <v>249</v>
      </c>
      <c r="AI11" s="1" t="s">
        <v>195</v>
      </c>
    </row>
    <row r="12" spans="1:36">
      <c r="A12" s="18" t="s">
        <v>65</v>
      </c>
      <c r="B12" s="17" t="s">
        <v>124</v>
      </c>
      <c r="C12" s="17" t="s">
        <v>113</v>
      </c>
      <c r="D12" s="18" t="s">
        <v>19</v>
      </c>
      <c r="E12" s="18" t="s">
        <v>24</v>
      </c>
      <c r="F12" s="18"/>
      <c r="G12" s="1" t="b">
        <v>0</v>
      </c>
      <c r="H12" s="1">
        <v>0.84</v>
      </c>
      <c r="I12" s="1">
        <v>930</v>
      </c>
      <c r="L12" s="1">
        <v>1107</v>
      </c>
      <c r="M12" s="3">
        <v>0.214</v>
      </c>
      <c r="N12" s="3">
        <v>0</v>
      </c>
      <c r="O12" s="1">
        <v>640</v>
      </c>
      <c r="Q12" s="1">
        <v>762</v>
      </c>
      <c r="R12" s="1">
        <v>13</v>
      </c>
      <c r="S12" s="5">
        <v>1.35E-2</v>
      </c>
      <c r="T12" s="5">
        <v>2.92</v>
      </c>
      <c r="U12" s="1">
        <f t="shared" si="0"/>
        <v>762</v>
      </c>
      <c r="V12" s="1">
        <f t="shared" si="1"/>
        <v>763</v>
      </c>
      <c r="W12" s="6">
        <f>-(LN(0.04))/R12</f>
        <v>0.24760583268216926</v>
      </c>
      <c r="X12" s="1">
        <f>W12/M12</f>
        <v>1.157036601318548</v>
      </c>
      <c r="Y12" s="1">
        <f>U12</f>
        <v>762</v>
      </c>
      <c r="Z12" s="1">
        <f t="shared" si="4"/>
        <v>763</v>
      </c>
      <c r="AA12" s="1">
        <v>0.4</v>
      </c>
      <c r="AB12" s="1">
        <v>5</v>
      </c>
      <c r="AD12"/>
      <c r="AE12">
        <f t="shared" si="5"/>
        <v>0</v>
      </c>
      <c r="AG12" s="1" t="s">
        <v>250</v>
      </c>
      <c r="AI12" s="1" t="s">
        <v>195</v>
      </c>
    </row>
    <row r="13" spans="1:36">
      <c r="A13" s="18" t="s">
        <v>64</v>
      </c>
      <c r="B13" s="17" t="s">
        <v>125</v>
      </c>
      <c r="C13" s="17" t="s">
        <v>186</v>
      </c>
      <c r="D13" s="18" t="s">
        <v>29</v>
      </c>
      <c r="E13" s="18" t="s">
        <v>31</v>
      </c>
      <c r="F13" s="18"/>
      <c r="G13" s="1" t="b">
        <v>0</v>
      </c>
      <c r="L13" s="1">
        <v>340</v>
      </c>
      <c r="M13" s="3">
        <v>0.28999999999999998</v>
      </c>
      <c r="N13" s="3">
        <v>-1.37</v>
      </c>
      <c r="Q13" s="1">
        <v>200</v>
      </c>
      <c r="R13" s="1">
        <v>8</v>
      </c>
      <c r="S13" s="5">
        <v>8.4200000000000004E-3</v>
      </c>
      <c r="T13" s="5">
        <v>3.2469600000000001</v>
      </c>
      <c r="U13" s="1">
        <f t="shared" si="0"/>
        <v>200</v>
      </c>
      <c r="V13" s="1">
        <f t="shared" si="1"/>
        <v>201</v>
      </c>
      <c r="W13" s="6">
        <f t="shared" si="2"/>
        <v>0.40235947810852507</v>
      </c>
      <c r="X13" s="1">
        <f t="shared" si="3"/>
        <v>1.3874464762362935</v>
      </c>
      <c r="Y13" s="1">
        <f>U13</f>
        <v>200</v>
      </c>
      <c r="Z13" s="1">
        <f t="shared" si="4"/>
        <v>201</v>
      </c>
      <c r="AA13" s="1">
        <v>0.4</v>
      </c>
      <c r="AB13" s="1">
        <v>5</v>
      </c>
      <c r="AD13">
        <v>0.36</v>
      </c>
      <c r="AE13">
        <f t="shared" si="5"/>
        <v>0.894722305765841</v>
      </c>
      <c r="AF13" s="1">
        <v>0.63</v>
      </c>
      <c r="AI13" s="1" t="s">
        <v>195</v>
      </c>
    </row>
    <row r="14" spans="1:36">
      <c r="A14" s="18" t="s">
        <v>142</v>
      </c>
      <c r="B14" s="17" t="s">
        <v>126</v>
      </c>
      <c r="C14" s="19" t="s">
        <v>114</v>
      </c>
      <c r="D14" s="18" t="s">
        <v>32</v>
      </c>
      <c r="E14" s="18" t="s">
        <v>33</v>
      </c>
      <c r="F14" s="18"/>
      <c r="G14" s="1" t="b">
        <v>0</v>
      </c>
      <c r="L14" s="1">
        <v>609</v>
      </c>
      <c r="M14" s="3">
        <v>0.3</v>
      </c>
      <c r="N14" s="3">
        <v>-0.14000000000000001</v>
      </c>
      <c r="Q14" s="1">
        <v>325</v>
      </c>
      <c r="R14" s="1">
        <v>13</v>
      </c>
      <c r="S14" s="5">
        <v>1.085E-2</v>
      </c>
      <c r="T14" s="5">
        <v>3.089</v>
      </c>
      <c r="U14" s="1">
        <f t="shared" si="0"/>
        <v>325</v>
      </c>
      <c r="V14" s="1">
        <f t="shared" si="1"/>
        <v>326</v>
      </c>
      <c r="W14" s="6">
        <f t="shared" si="2"/>
        <v>0.24760583268216926</v>
      </c>
      <c r="X14" s="1">
        <f t="shared" si="3"/>
        <v>0.82535277560723086</v>
      </c>
      <c r="Y14" s="1">
        <f>11*25.4</f>
        <v>279.39999999999998</v>
      </c>
      <c r="Z14" s="1">
        <f t="shared" si="4"/>
        <v>280.39999999999998</v>
      </c>
      <c r="AA14" s="1">
        <v>0.4</v>
      </c>
      <c r="AB14" s="1">
        <v>5</v>
      </c>
      <c r="AC14" s="1">
        <v>279</v>
      </c>
      <c r="AD14"/>
      <c r="AE14">
        <f t="shared" si="5"/>
        <v>0</v>
      </c>
      <c r="AI14" s="1" t="s">
        <v>195</v>
      </c>
    </row>
    <row r="15" spans="1:36">
      <c r="A15" s="18" t="s">
        <v>63</v>
      </c>
      <c r="B15" s="17" t="s">
        <v>127</v>
      </c>
      <c r="C15" s="17" t="s">
        <v>191</v>
      </c>
      <c r="D15" s="18" t="s">
        <v>34</v>
      </c>
      <c r="E15" s="18" t="s">
        <v>35</v>
      </c>
      <c r="F15" s="18"/>
      <c r="G15" s="1" t="b">
        <v>0</v>
      </c>
      <c r="H15" s="1">
        <v>0.92</v>
      </c>
      <c r="I15" s="1">
        <v>342</v>
      </c>
      <c r="L15" s="1">
        <v>372</v>
      </c>
      <c r="M15" s="3">
        <v>0.56399999999999995</v>
      </c>
      <c r="N15" s="3">
        <v>-0.36</v>
      </c>
      <c r="O15" s="1">
        <v>183</v>
      </c>
      <c r="Q15" s="1">
        <v>199</v>
      </c>
      <c r="R15" s="1">
        <v>6</v>
      </c>
      <c r="S15" s="5">
        <v>8.6999999999999994E-3</v>
      </c>
      <c r="T15" s="5">
        <v>3.21</v>
      </c>
      <c r="U15" s="1">
        <f t="shared" si="0"/>
        <v>199</v>
      </c>
      <c r="V15" s="1">
        <f t="shared" si="1"/>
        <v>200</v>
      </c>
      <c r="W15" s="6">
        <f t="shared" si="2"/>
        <v>0.53647930414470013</v>
      </c>
      <c r="X15" s="1">
        <f t="shared" si="3"/>
        <v>0.95120443997287263</v>
      </c>
      <c r="Y15" s="1">
        <f>7*25.4</f>
        <v>177.79999999999998</v>
      </c>
      <c r="Z15" s="1">
        <f t="shared" si="4"/>
        <v>178.79999999999998</v>
      </c>
      <c r="AA15" s="1">
        <v>0.4</v>
      </c>
      <c r="AB15" s="1">
        <v>5</v>
      </c>
      <c r="AD15">
        <v>0.42</v>
      </c>
      <c r="AE15">
        <f t="shared" si="5"/>
        <v>0.78288201754511089</v>
      </c>
      <c r="AF15" s="1">
        <v>0.61</v>
      </c>
      <c r="AI15" s="1" t="s">
        <v>195</v>
      </c>
    </row>
    <row r="16" spans="1:36">
      <c r="A16" s="18" t="s">
        <v>63</v>
      </c>
      <c r="B16" s="17" t="s">
        <v>128</v>
      </c>
      <c r="C16" s="17" t="s">
        <v>190</v>
      </c>
      <c r="D16" s="18" t="s">
        <v>34</v>
      </c>
      <c r="E16" s="18" t="s">
        <v>36</v>
      </c>
      <c r="F16" s="18"/>
      <c r="G16" s="1" t="b">
        <v>0</v>
      </c>
      <c r="H16" s="1">
        <v>0.85</v>
      </c>
      <c r="I16" s="1">
        <v>227</v>
      </c>
      <c r="L16" s="1">
        <v>267</v>
      </c>
      <c r="M16" s="3">
        <v>1.3</v>
      </c>
      <c r="N16" s="3">
        <v>-1.1000000000000001</v>
      </c>
      <c r="O16" s="1">
        <v>175</v>
      </c>
      <c r="Q16" s="1">
        <v>206</v>
      </c>
      <c r="R16" s="1">
        <v>5</v>
      </c>
      <c r="S16" s="5">
        <v>1.67E-2</v>
      </c>
      <c r="T16" s="5">
        <v>2.96</v>
      </c>
      <c r="U16" s="1">
        <f t="shared" si="0"/>
        <v>206</v>
      </c>
      <c r="V16" s="1">
        <f t="shared" si="1"/>
        <v>207</v>
      </c>
      <c r="W16" s="6">
        <f t="shared" si="2"/>
        <v>0.64377516497364007</v>
      </c>
      <c r="X16" s="1">
        <f t="shared" si="3"/>
        <v>0.49521166536433847</v>
      </c>
      <c r="Y16" s="1">
        <f>U16</f>
        <v>206</v>
      </c>
      <c r="Z16" s="1">
        <f t="shared" si="4"/>
        <v>207</v>
      </c>
      <c r="AA16" s="1">
        <v>0.4</v>
      </c>
      <c r="AB16" s="1">
        <v>5</v>
      </c>
      <c r="AD16">
        <v>0.01</v>
      </c>
      <c r="AE16">
        <f t="shared" si="5"/>
        <v>1.5533373363990298E-2</v>
      </c>
      <c r="AF16" s="1">
        <v>0.99</v>
      </c>
      <c r="AI16" s="1" t="s">
        <v>195</v>
      </c>
    </row>
    <row r="17" spans="1:23">
      <c r="A17" s="18"/>
      <c r="M17" s="3"/>
      <c r="N17" s="3"/>
      <c r="S17" s="5"/>
      <c r="T17" s="5"/>
      <c r="W17" s="6"/>
    </row>
    <row r="18" spans="1:23">
      <c r="A18" s="18"/>
      <c r="M18" s="3"/>
      <c r="N18" s="3"/>
      <c r="S18" s="5"/>
      <c r="T18" s="5"/>
      <c r="W18" s="6"/>
    </row>
    <row r="19" spans="1:23">
      <c r="A19" s="18"/>
      <c r="M1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8026-358C-A14F-9410-9DBF6F246876}">
  <dimension ref="A1:AJ40"/>
  <sheetViews>
    <sheetView workbookViewId="0">
      <selection activeCell="A27" sqref="A27:XFD27"/>
    </sheetView>
  </sheetViews>
  <sheetFormatPr baseColWidth="10" defaultColWidth="14.1640625" defaultRowHeight="16"/>
  <cols>
    <col min="1" max="12" width="14.1640625" style="1"/>
    <col min="13" max="13" width="14.33203125" style="1" customWidth="1"/>
    <col min="14" max="16384" width="14.1640625" style="1"/>
  </cols>
  <sheetData>
    <row r="1" spans="1:36">
      <c r="A1" s="18" t="s">
        <v>143</v>
      </c>
      <c r="B1" s="18" t="s">
        <v>144</v>
      </c>
      <c r="C1" s="18" t="s">
        <v>145</v>
      </c>
      <c r="D1" s="18" t="s">
        <v>146</v>
      </c>
      <c r="E1" s="18" t="s">
        <v>147</v>
      </c>
      <c r="F1" s="1" t="s">
        <v>168</v>
      </c>
      <c r="G1" s="1" t="s">
        <v>240</v>
      </c>
      <c r="H1" s="1" t="s">
        <v>180</v>
      </c>
      <c r="I1" s="1" t="s">
        <v>1</v>
      </c>
      <c r="J1" s="1" t="s">
        <v>181</v>
      </c>
      <c r="K1" s="1" t="s">
        <v>2</v>
      </c>
      <c r="L1" s="2" t="s">
        <v>49</v>
      </c>
      <c r="M1" s="2" t="s">
        <v>3</v>
      </c>
      <c r="N1" s="2" t="s">
        <v>90</v>
      </c>
      <c r="O1" s="1" t="s">
        <v>4</v>
      </c>
      <c r="P1" s="1" t="s">
        <v>5</v>
      </c>
      <c r="Q1" s="2" t="s">
        <v>6</v>
      </c>
      <c r="R1" s="2" t="s">
        <v>182</v>
      </c>
      <c r="S1" s="2" t="s">
        <v>149</v>
      </c>
      <c r="T1" s="2" t="s">
        <v>150</v>
      </c>
      <c r="U1" s="2" t="s">
        <v>50</v>
      </c>
      <c r="V1" s="2" t="s">
        <v>51</v>
      </c>
      <c r="W1" s="2" t="s">
        <v>93</v>
      </c>
      <c r="X1" s="2" t="s">
        <v>148</v>
      </c>
      <c r="Y1" s="16" t="s">
        <v>52</v>
      </c>
      <c r="Z1" s="16" t="s">
        <v>53</v>
      </c>
      <c r="AA1" s="2" t="s">
        <v>54</v>
      </c>
      <c r="AB1" s="2" t="s">
        <v>55</v>
      </c>
      <c r="AC1" s="1" t="s">
        <v>56</v>
      </c>
      <c r="AD1" s="13" t="s">
        <v>57</v>
      </c>
      <c r="AE1" s="13" t="s">
        <v>58</v>
      </c>
      <c r="AF1" s="13" t="s">
        <v>151</v>
      </c>
      <c r="AG1" s="7" t="s">
        <v>169</v>
      </c>
      <c r="AH1" s="7" t="s">
        <v>170</v>
      </c>
      <c r="AI1" s="7" t="s">
        <v>171</v>
      </c>
      <c r="AJ1" s="7" t="s">
        <v>200</v>
      </c>
    </row>
    <row r="2" spans="1:36">
      <c r="A2" s="18" t="s">
        <v>75</v>
      </c>
      <c r="B2" s="17" t="s">
        <v>129</v>
      </c>
      <c r="C2" s="17" t="s">
        <v>162</v>
      </c>
      <c r="D2" s="18" t="s">
        <v>27</v>
      </c>
      <c r="E2" s="18" t="s">
        <v>28</v>
      </c>
      <c r="J2" s="1">
        <v>0.78</v>
      </c>
      <c r="K2" s="1">
        <v>211</v>
      </c>
      <c r="L2" s="1">
        <v>271</v>
      </c>
      <c r="M2" s="3">
        <v>0.14749999999999999</v>
      </c>
      <c r="N2" s="3">
        <v>-4.4786000000000001</v>
      </c>
      <c r="Q2" s="1">
        <v>175</v>
      </c>
      <c r="R2" s="1">
        <v>27</v>
      </c>
      <c r="S2" s="5">
        <v>2.7689999999999999E-2</v>
      </c>
      <c r="T2" s="5">
        <v>3.0033599999999998</v>
      </c>
      <c r="U2" s="1">
        <f t="shared" ref="U2:U24" si="0">Q2</f>
        <v>175</v>
      </c>
      <c r="V2" s="1">
        <f t="shared" ref="V2:V27" si="1">U2+1</f>
        <v>176</v>
      </c>
      <c r="W2" s="6">
        <f t="shared" ref="W2:W24" si="2">-(LN(0.04))/R2</f>
        <v>0.11921762314326668</v>
      </c>
      <c r="X2" s="1">
        <f t="shared" ref="X2:X24" si="3">W2/M2</f>
        <v>0.80825507215774028</v>
      </c>
      <c r="Y2" s="1">
        <f>U2</f>
        <v>175</v>
      </c>
      <c r="Z2" s="1">
        <f>Y2+1</f>
        <v>176</v>
      </c>
      <c r="AA2" s="1">
        <v>0.4</v>
      </c>
      <c r="AB2" s="1">
        <v>5</v>
      </c>
      <c r="AD2">
        <v>0.04</v>
      </c>
      <c r="AE2">
        <f t="shared" ref="AE2:AE18" si="4">AD2/W2</f>
        <v>0.33552086466219039</v>
      </c>
      <c r="AF2" s="1">
        <v>0.69</v>
      </c>
      <c r="AI2" s="1" t="s">
        <v>194</v>
      </c>
      <c r="AJ2" s="1" t="s">
        <v>201</v>
      </c>
    </row>
    <row r="3" spans="1:36">
      <c r="A3" s="18" t="s">
        <v>62</v>
      </c>
      <c r="B3" s="17" t="s">
        <v>130</v>
      </c>
      <c r="C3" s="17" t="s">
        <v>115</v>
      </c>
      <c r="D3" s="18" t="s">
        <v>7</v>
      </c>
      <c r="E3" s="18" t="s">
        <v>13</v>
      </c>
      <c r="J3" s="1">
        <v>0.93</v>
      </c>
      <c r="K3" s="1">
        <v>304</v>
      </c>
      <c r="L3" s="1">
        <v>327</v>
      </c>
      <c r="M3" s="3">
        <v>0.40200000000000002</v>
      </c>
      <c r="N3" s="3">
        <v>-0.21</v>
      </c>
      <c r="P3" s="1">
        <v>250</v>
      </c>
      <c r="Q3" s="1">
        <v>269</v>
      </c>
      <c r="R3" s="1">
        <v>25</v>
      </c>
      <c r="S3" s="5">
        <v>1.065E-2</v>
      </c>
      <c r="T3" s="5">
        <v>3.2429700000000001</v>
      </c>
      <c r="U3" s="1">
        <f t="shared" si="0"/>
        <v>269</v>
      </c>
      <c r="V3" s="1">
        <f t="shared" si="1"/>
        <v>270</v>
      </c>
      <c r="W3" s="6">
        <f t="shared" si="2"/>
        <v>0.12875503299472801</v>
      </c>
      <c r="X3" s="1">
        <f t="shared" si="3"/>
        <v>0.32028615172817915</v>
      </c>
      <c r="Y3" s="1">
        <f>U3</f>
        <v>269</v>
      </c>
      <c r="Z3" s="1">
        <f>V3</f>
        <v>270</v>
      </c>
      <c r="AA3" s="1">
        <v>0.4</v>
      </c>
      <c r="AB3" s="1">
        <v>5</v>
      </c>
      <c r="AD3">
        <v>0.11</v>
      </c>
      <c r="AE3">
        <f t="shared" si="4"/>
        <v>0.85433553501946635</v>
      </c>
      <c r="AF3" s="1">
        <v>0.45</v>
      </c>
      <c r="AI3" s="1" t="s">
        <v>194</v>
      </c>
      <c r="AJ3" s="1" t="s">
        <v>201</v>
      </c>
    </row>
    <row r="4" spans="1:36">
      <c r="A4" s="18" t="s">
        <v>62</v>
      </c>
      <c r="B4" s="17" t="s">
        <v>131</v>
      </c>
      <c r="C4" s="17" t="s">
        <v>185</v>
      </c>
      <c r="D4" s="18" t="s">
        <v>7</v>
      </c>
      <c r="E4" s="18" t="s">
        <v>15</v>
      </c>
      <c r="J4" s="1">
        <v>0.88</v>
      </c>
      <c r="K4" s="1">
        <v>527</v>
      </c>
      <c r="L4" s="1">
        <v>599</v>
      </c>
      <c r="M4" s="3">
        <v>0.221</v>
      </c>
      <c r="N4" s="3">
        <v>-0.22</v>
      </c>
      <c r="P4" s="1">
        <v>450</v>
      </c>
      <c r="Q4" s="1">
        <v>511</v>
      </c>
      <c r="R4" s="1">
        <v>44</v>
      </c>
      <c r="S4" s="5">
        <v>4.24E-2</v>
      </c>
      <c r="T4" s="5">
        <v>2.8540000000000001</v>
      </c>
      <c r="U4" s="1">
        <f t="shared" si="0"/>
        <v>511</v>
      </c>
      <c r="V4" s="1">
        <f t="shared" si="1"/>
        <v>512</v>
      </c>
      <c r="W4" s="6">
        <f t="shared" si="2"/>
        <v>7.3156268747004552E-2</v>
      </c>
      <c r="X4" s="1">
        <f t="shared" si="3"/>
        <v>0.33102384048418348</v>
      </c>
      <c r="Y4" s="1">
        <f>16*25.4</f>
        <v>406.4</v>
      </c>
      <c r="Z4" s="1">
        <f t="shared" ref="Z4:Z27" si="5">Y4+1</f>
        <v>407.4</v>
      </c>
      <c r="AA4" s="1">
        <v>0.4</v>
      </c>
      <c r="AB4" s="1">
        <v>5</v>
      </c>
      <c r="AC4" s="1">
        <v>406</v>
      </c>
      <c r="AD4">
        <v>0.13</v>
      </c>
      <c r="AE4">
        <f t="shared" si="4"/>
        <v>1.7770179128404902</v>
      </c>
      <c r="AF4" s="1">
        <v>0.23</v>
      </c>
      <c r="AI4" s="1" t="s">
        <v>194</v>
      </c>
      <c r="AJ4" s="1" t="s">
        <v>201</v>
      </c>
    </row>
    <row r="5" spans="1:36">
      <c r="A5" s="18" t="s">
        <v>62</v>
      </c>
      <c r="B5" s="17" t="s">
        <v>132</v>
      </c>
      <c r="C5" s="17" t="s">
        <v>189</v>
      </c>
      <c r="D5" s="18" t="s">
        <v>7</v>
      </c>
      <c r="E5" s="18" t="s">
        <v>16</v>
      </c>
      <c r="H5" s="1">
        <v>1</v>
      </c>
      <c r="I5" s="1">
        <v>256</v>
      </c>
      <c r="L5" s="1">
        <v>256</v>
      </c>
      <c r="M5" s="3">
        <v>0.34079999999999999</v>
      </c>
      <c r="N5" s="3">
        <v>-0.66</v>
      </c>
      <c r="O5" s="1">
        <v>199</v>
      </c>
      <c r="Q5" s="1">
        <v>199</v>
      </c>
      <c r="R5" s="1">
        <v>25</v>
      </c>
      <c r="S5" s="5">
        <v>4.9700000000000001E-2</v>
      </c>
      <c r="T5" s="5">
        <v>2.839</v>
      </c>
      <c r="U5" s="1">
        <f t="shared" si="0"/>
        <v>199</v>
      </c>
      <c r="V5" s="1">
        <f t="shared" si="1"/>
        <v>200</v>
      </c>
      <c r="W5" s="6">
        <f t="shared" si="2"/>
        <v>0.12875503299472801</v>
      </c>
      <c r="X5" s="1">
        <f t="shared" si="3"/>
        <v>0.37780232686246484</v>
      </c>
      <c r="Y5" s="1">
        <f>U5</f>
        <v>199</v>
      </c>
      <c r="Z5" s="1">
        <f t="shared" si="5"/>
        <v>200</v>
      </c>
      <c r="AA5" s="1">
        <v>0.4</v>
      </c>
      <c r="AB5" s="1">
        <v>5</v>
      </c>
      <c r="AD5">
        <v>0.21</v>
      </c>
      <c r="AE5">
        <f t="shared" si="4"/>
        <v>1.6310042032189811</v>
      </c>
      <c r="AF5" s="1">
        <v>0.3</v>
      </c>
      <c r="AI5" s="1" t="s">
        <v>194</v>
      </c>
      <c r="AJ5" s="1" t="s">
        <v>201</v>
      </c>
    </row>
    <row r="6" spans="1:36">
      <c r="A6" s="18" t="s">
        <v>62</v>
      </c>
      <c r="B6" s="18" t="s">
        <v>164</v>
      </c>
      <c r="C6" s="18" t="s">
        <v>14</v>
      </c>
      <c r="D6" s="18" t="s">
        <v>7</v>
      </c>
      <c r="E6" s="18" t="s">
        <v>17</v>
      </c>
      <c r="F6" s="2" t="s">
        <v>174</v>
      </c>
      <c r="G6" s="2"/>
      <c r="H6" s="1">
        <v>1</v>
      </c>
      <c r="I6" s="1">
        <v>476</v>
      </c>
      <c r="L6" s="1">
        <f>I6/H6</f>
        <v>476</v>
      </c>
      <c r="M6" s="3">
        <v>0.46</v>
      </c>
      <c r="N6" s="3">
        <v>-0.11</v>
      </c>
      <c r="O6" s="1">
        <v>301</v>
      </c>
      <c r="Q6" s="1">
        <f>O6/H6</f>
        <v>301</v>
      </c>
      <c r="R6" s="1">
        <v>50</v>
      </c>
      <c r="S6" s="5">
        <v>1.788E-2</v>
      </c>
      <c r="T6" s="5">
        <v>3.03545</v>
      </c>
      <c r="U6" s="1">
        <f t="shared" si="0"/>
        <v>301</v>
      </c>
      <c r="V6" s="1">
        <f t="shared" si="1"/>
        <v>302</v>
      </c>
      <c r="W6" s="6">
        <f t="shared" si="2"/>
        <v>6.4377516497364007E-2</v>
      </c>
      <c r="X6" s="1">
        <f t="shared" si="3"/>
        <v>0.13995112282035654</v>
      </c>
      <c r="Y6" s="1">
        <f t="shared" ref="Y6:Y7" si="6">14*25.4</f>
        <v>355.59999999999997</v>
      </c>
      <c r="Z6" s="1">
        <f t="shared" si="5"/>
        <v>356.59999999999997</v>
      </c>
      <c r="AA6" s="1">
        <v>0.4</v>
      </c>
      <c r="AB6" s="1">
        <v>5</v>
      </c>
      <c r="AC6" s="1">
        <v>356</v>
      </c>
      <c r="AD6" s="1">
        <v>0.25</v>
      </c>
      <c r="AE6" s="1">
        <f t="shared" si="4"/>
        <v>3.8833433409975742</v>
      </c>
      <c r="AF6" s="1">
        <v>0.08</v>
      </c>
      <c r="AG6" s="1" t="s">
        <v>202</v>
      </c>
      <c r="AJ6" s="1" t="s">
        <v>203</v>
      </c>
    </row>
    <row r="7" spans="1:36">
      <c r="A7" s="18" t="s">
        <v>62</v>
      </c>
      <c r="B7" s="18" t="s">
        <v>164</v>
      </c>
      <c r="C7" s="18" t="s">
        <v>14</v>
      </c>
      <c r="D7" s="18" t="s">
        <v>7</v>
      </c>
      <c r="E7" s="18" t="s">
        <v>17</v>
      </c>
      <c r="F7" s="2" t="s">
        <v>175</v>
      </c>
      <c r="G7" s="2"/>
      <c r="H7" s="1">
        <v>1</v>
      </c>
      <c r="I7" s="1">
        <v>480</v>
      </c>
      <c r="L7" s="1">
        <f>I7/H7</f>
        <v>480</v>
      </c>
      <c r="M7" s="3">
        <v>0.43</v>
      </c>
      <c r="N7" s="3">
        <v>-0.14000000000000001</v>
      </c>
      <c r="O7" s="1">
        <v>355</v>
      </c>
      <c r="Q7" s="1">
        <f>O7/H7</f>
        <v>355</v>
      </c>
      <c r="R7" s="1">
        <v>50</v>
      </c>
      <c r="S7" s="5">
        <v>1.788E-2</v>
      </c>
      <c r="T7" s="5">
        <v>3.03545</v>
      </c>
      <c r="U7" s="1">
        <f t="shared" si="0"/>
        <v>355</v>
      </c>
      <c r="V7" s="1">
        <f t="shared" si="1"/>
        <v>356</v>
      </c>
      <c r="W7" s="6">
        <f t="shared" si="2"/>
        <v>6.4377516497364007E-2</v>
      </c>
      <c r="X7" s="1">
        <f t="shared" si="3"/>
        <v>0.14971515464503257</v>
      </c>
      <c r="Y7" s="1">
        <f t="shared" si="6"/>
        <v>355.59999999999997</v>
      </c>
      <c r="Z7" s="1">
        <f t="shared" si="5"/>
        <v>356.59999999999997</v>
      </c>
      <c r="AA7" s="1">
        <v>0.4</v>
      </c>
      <c r="AB7" s="1">
        <v>5</v>
      </c>
      <c r="AC7" s="1">
        <v>356</v>
      </c>
      <c r="AD7" s="1">
        <v>0.25</v>
      </c>
      <c r="AE7" s="1">
        <f t="shared" si="4"/>
        <v>3.8833433409975742</v>
      </c>
      <c r="AF7" s="1">
        <v>0.08</v>
      </c>
      <c r="AG7" s="1" t="s">
        <v>202</v>
      </c>
      <c r="AJ7" s="1" t="s">
        <v>203</v>
      </c>
    </row>
    <row r="8" spans="1:36">
      <c r="A8" s="18" t="s">
        <v>63</v>
      </c>
      <c r="B8" s="18" t="s">
        <v>133</v>
      </c>
      <c r="C8" s="18" t="s">
        <v>38</v>
      </c>
      <c r="D8" s="18" t="s">
        <v>34</v>
      </c>
      <c r="E8" s="18" t="s">
        <v>37</v>
      </c>
      <c r="F8" s="1" t="s">
        <v>174</v>
      </c>
      <c r="H8" s="1">
        <v>0.9</v>
      </c>
      <c r="I8" s="1">
        <v>303</v>
      </c>
      <c r="L8" s="1">
        <v>337</v>
      </c>
      <c r="M8" s="3">
        <v>0.75555000000000005</v>
      </c>
      <c r="N8" s="3">
        <v>-0.13500000000000001</v>
      </c>
      <c r="O8" s="1">
        <v>152</v>
      </c>
      <c r="Q8" s="4">
        <f>O8/H8</f>
        <v>168.88888888888889</v>
      </c>
      <c r="R8" s="1">
        <v>5</v>
      </c>
      <c r="S8" s="5">
        <v>1.136E-2</v>
      </c>
      <c r="T8" s="5">
        <v>3.21082</v>
      </c>
      <c r="U8" s="1">
        <f t="shared" ref="U8:U9" si="7">Q8</f>
        <v>168.88888888888889</v>
      </c>
      <c r="V8" s="1">
        <f t="shared" si="1"/>
        <v>169.88888888888889</v>
      </c>
      <c r="W8" s="6">
        <f t="shared" ref="W8:W9" si="8">-(LN(0.04))/R8</f>
        <v>0.64377516497364007</v>
      </c>
      <c r="X8" s="1">
        <f t="shared" ref="X8:X9" si="9">W8/M8</f>
        <v>0.85206163056533657</v>
      </c>
      <c r="Y8" s="1">
        <f t="shared" ref="Y8:Y9" si="10">7*25.4</f>
        <v>177.79999999999998</v>
      </c>
      <c r="Z8" s="1">
        <f t="shared" si="5"/>
        <v>178.79999999999998</v>
      </c>
      <c r="AA8" s="1">
        <v>0.4</v>
      </c>
      <c r="AB8" s="1">
        <v>5</v>
      </c>
      <c r="AC8" s="1">
        <v>179</v>
      </c>
      <c r="AE8" s="1">
        <f t="shared" ref="AE8:AE9" si="11">AD8/W8</f>
        <v>0</v>
      </c>
      <c r="AG8" s="1" t="s">
        <v>205</v>
      </c>
      <c r="AH8" s="1" t="s">
        <v>204</v>
      </c>
      <c r="AJ8" s="1" t="s">
        <v>206</v>
      </c>
    </row>
    <row r="9" spans="1:36">
      <c r="A9" s="18" t="s">
        <v>63</v>
      </c>
      <c r="B9" s="18" t="s">
        <v>133</v>
      </c>
      <c r="C9" s="18" t="s">
        <v>38</v>
      </c>
      <c r="D9" s="18" t="s">
        <v>34</v>
      </c>
      <c r="E9" s="18" t="s">
        <v>37</v>
      </c>
      <c r="F9" s="2" t="s">
        <v>175</v>
      </c>
      <c r="G9" s="2"/>
      <c r="H9" s="1">
        <v>0.9</v>
      </c>
      <c r="I9" s="1">
        <v>303</v>
      </c>
      <c r="L9" s="1">
        <v>337</v>
      </c>
      <c r="M9" s="3">
        <v>0.75555000000000005</v>
      </c>
      <c r="N9" s="3">
        <v>-0.13500000000000001</v>
      </c>
      <c r="O9" s="1">
        <v>145</v>
      </c>
      <c r="Q9" s="4">
        <f>O9/H9</f>
        <v>161.11111111111111</v>
      </c>
      <c r="R9" s="1">
        <v>5</v>
      </c>
      <c r="S9" s="5">
        <v>1.136E-2</v>
      </c>
      <c r="T9" s="5">
        <v>3.21082</v>
      </c>
      <c r="U9" s="1">
        <f t="shared" si="7"/>
        <v>161.11111111111111</v>
      </c>
      <c r="V9" s="1">
        <f t="shared" si="1"/>
        <v>162.11111111111111</v>
      </c>
      <c r="W9" s="6">
        <f t="shared" si="8"/>
        <v>0.64377516497364007</v>
      </c>
      <c r="X9" s="1">
        <f t="shared" si="9"/>
        <v>0.85206163056533657</v>
      </c>
      <c r="Y9" s="1">
        <f t="shared" si="10"/>
        <v>177.79999999999998</v>
      </c>
      <c r="Z9" s="1">
        <f t="shared" si="5"/>
        <v>178.79999999999998</v>
      </c>
      <c r="AA9" s="1">
        <v>0.4</v>
      </c>
      <c r="AB9" s="1">
        <v>5</v>
      </c>
      <c r="AC9" s="1">
        <v>179</v>
      </c>
      <c r="AE9" s="1">
        <f t="shared" si="11"/>
        <v>0</v>
      </c>
      <c r="AG9" s="1" t="s">
        <v>205</v>
      </c>
      <c r="AH9" s="1" t="s">
        <v>204</v>
      </c>
      <c r="AJ9" s="1" t="s">
        <v>206</v>
      </c>
    </row>
    <row r="10" spans="1:36">
      <c r="A10" s="18" t="s">
        <v>63</v>
      </c>
      <c r="B10" s="18" t="s">
        <v>134</v>
      </c>
      <c r="C10" s="18" t="s">
        <v>165</v>
      </c>
      <c r="D10" s="18" t="s">
        <v>34</v>
      </c>
      <c r="E10" s="18" t="s">
        <v>39</v>
      </c>
      <c r="H10" s="1">
        <v>0.9</v>
      </c>
      <c r="I10" s="1">
        <v>492</v>
      </c>
      <c r="L10" s="1">
        <v>547</v>
      </c>
      <c r="M10" s="3">
        <v>0.53800000000000003</v>
      </c>
      <c r="N10" s="3">
        <v>-0.44600000000000001</v>
      </c>
      <c r="O10" s="1">
        <v>238</v>
      </c>
      <c r="Q10" s="1">
        <v>264</v>
      </c>
      <c r="R10" s="1">
        <v>6</v>
      </c>
      <c r="S10" s="5">
        <v>1.136E-2</v>
      </c>
      <c r="T10" s="5">
        <v>3.21082</v>
      </c>
      <c r="U10" s="1">
        <f t="shared" si="0"/>
        <v>264</v>
      </c>
      <c r="V10" s="1">
        <f t="shared" si="1"/>
        <v>265</v>
      </c>
      <c r="W10" s="6">
        <f t="shared" si="2"/>
        <v>0.53647930414470013</v>
      </c>
      <c r="X10" s="1">
        <f t="shared" si="3"/>
        <v>0.99717342777825302</v>
      </c>
      <c r="Y10" s="1">
        <f>10*25.4</f>
        <v>254</v>
      </c>
      <c r="Z10" s="1">
        <f t="shared" si="5"/>
        <v>255</v>
      </c>
      <c r="AA10" s="1">
        <v>0.4</v>
      </c>
      <c r="AB10" s="1">
        <v>5</v>
      </c>
      <c r="AC10" s="1">
        <v>254</v>
      </c>
      <c r="AD10" s="1">
        <v>1.32</v>
      </c>
      <c r="AE10" s="1">
        <f t="shared" si="4"/>
        <v>2.4604863408560629</v>
      </c>
      <c r="AF10" s="1">
        <v>0.14000000000000001</v>
      </c>
      <c r="AI10" s="1" t="s">
        <v>194</v>
      </c>
      <c r="AJ10" s="1" t="s">
        <v>201</v>
      </c>
    </row>
    <row r="11" spans="1:36">
      <c r="A11" s="18" t="s">
        <v>65</v>
      </c>
      <c r="B11" s="18" t="s">
        <v>135</v>
      </c>
      <c r="C11" s="18" t="s">
        <v>116</v>
      </c>
      <c r="D11" s="18" t="s">
        <v>19</v>
      </c>
      <c r="E11" s="18" t="s">
        <v>25</v>
      </c>
      <c r="H11" s="1">
        <v>0.9</v>
      </c>
      <c r="I11" s="1">
        <v>1232</v>
      </c>
      <c r="L11" s="1">
        <v>1369</v>
      </c>
      <c r="M11" s="3">
        <v>0.307</v>
      </c>
      <c r="N11" s="3">
        <v>-0.77</v>
      </c>
      <c r="Q11" s="1">
        <v>289</v>
      </c>
      <c r="R11" s="1">
        <v>7</v>
      </c>
      <c r="S11" s="5">
        <v>2.7099999999999999E-2</v>
      </c>
      <c r="T11" s="5">
        <v>2.88598</v>
      </c>
      <c r="U11" s="1">
        <f t="shared" si="0"/>
        <v>289</v>
      </c>
      <c r="V11" s="1">
        <f t="shared" si="1"/>
        <v>290</v>
      </c>
      <c r="W11" s="6">
        <f t="shared" si="2"/>
        <v>0.45983940355260006</v>
      </c>
      <c r="X11" s="1">
        <f t="shared" si="3"/>
        <v>1.4978482200410426</v>
      </c>
      <c r="Y11" s="1">
        <f>U11</f>
        <v>289</v>
      </c>
      <c r="Z11" s="1">
        <f t="shared" si="5"/>
        <v>290</v>
      </c>
      <c r="AA11" s="1">
        <v>0.4</v>
      </c>
      <c r="AB11" s="1">
        <v>5</v>
      </c>
      <c r="AE11" s="1">
        <f t="shared" si="4"/>
        <v>0</v>
      </c>
      <c r="AI11" s="1" t="s">
        <v>194</v>
      </c>
      <c r="AJ11" s="1" t="s">
        <v>201</v>
      </c>
    </row>
    <row r="12" spans="1:36" s="2" customFormat="1">
      <c r="A12" s="16" t="s">
        <v>61</v>
      </c>
      <c r="B12" s="16" t="s">
        <v>136</v>
      </c>
      <c r="C12" s="16" t="s">
        <v>43</v>
      </c>
      <c r="D12" s="16" t="s">
        <v>40</v>
      </c>
      <c r="E12" s="16" t="s">
        <v>42</v>
      </c>
      <c r="F12" s="16" t="s">
        <v>239</v>
      </c>
      <c r="G12" s="16"/>
      <c r="H12" s="2">
        <v>0.97</v>
      </c>
      <c r="I12" s="2">
        <v>327</v>
      </c>
      <c r="L12" s="30">
        <f>I12/H12</f>
        <v>337.11340206185565</v>
      </c>
      <c r="M12" s="27">
        <v>0.48599999999999999</v>
      </c>
      <c r="N12" s="27">
        <v>-0.01</v>
      </c>
      <c r="O12" s="2">
        <v>139</v>
      </c>
      <c r="Q12" s="30">
        <f>O12/H12</f>
        <v>143.29896907216497</v>
      </c>
      <c r="R12" s="2">
        <v>6</v>
      </c>
      <c r="S12" s="28">
        <v>1.0449999999999999E-2</v>
      </c>
      <c r="T12" s="28">
        <v>3.3187099999999998</v>
      </c>
      <c r="U12" s="2">
        <f t="shared" si="0"/>
        <v>143.29896907216497</v>
      </c>
      <c r="V12" s="2">
        <f t="shared" si="1"/>
        <v>144.29896907216497</v>
      </c>
      <c r="W12" s="29">
        <f t="shared" si="2"/>
        <v>0.53647930414470013</v>
      </c>
      <c r="X12" s="2">
        <f t="shared" si="3"/>
        <v>1.1038668809561731</v>
      </c>
      <c r="Y12" s="2">
        <f>12*25.4</f>
        <v>304.79999999999995</v>
      </c>
      <c r="Z12" s="2">
        <f>Y12+1</f>
        <v>305.79999999999995</v>
      </c>
      <c r="AA12" s="2">
        <v>0.4</v>
      </c>
      <c r="AB12" s="2">
        <v>5</v>
      </c>
      <c r="AC12" s="2">
        <v>305</v>
      </c>
      <c r="AD12" s="2">
        <v>0.16</v>
      </c>
      <c r="AE12" s="2">
        <f t="shared" si="4"/>
        <v>0.29824076858861365</v>
      </c>
      <c r="AF12" s="2">
        <v>0.77</v>
      </c>
      <c r="AG12" s="2" t="s">
        <v>237</v>
      </c>
      <c r="AH12" s="2" t="s">
        <v>246</v>
      </c>
      <c r="AI12" s="2" t="s">
        <v>194</v>
      </c>
      <c r="AJ12" s="2" t="s">
        <v>247</v>
      </c>
    </row>
    <row r="13" spans="1:36" s="2" customFormat="1">
      <c r="A13" s="16"/>
      <c r="B13" s="16"/>
      <c r="C13" s="16"/>
      <c r="D13" s="16"/>
      <c r="E13" s="16"/>
      <c r="F13" s="2" t="s">
        <v>174</v>
      </c>
      <c r="H13" s="2">
        <v>0.97</v>
      </c>
      <c r="I13" s="2">
        <v>327</v>
      </c>
      <c r="L13" s="30">
        <f>I13/H13</f>
        <v>337.11340206185565</v>
      </c>
      <c r="M13" s="27">
        <v>0.48599999999999999</v>
      </c>
      <c r="N13" s="27">
        <v>-0.01</v>
      </c>
      <c r="O13" s="2">
        <v>226</v>
      </c>
      <c r="Q13" s="30">
        <f>O13/H13</f>
        <v>232.98969072164948</v>
      </c>
      <c r="R13" s="2">
        <v>6</v>
      </c>
      <c r="S13" s="28">
        <v>1.0449999999999999E-2</v>
      </c>
      <c r="T13" s="28">
        <v>3.3187099999999998</v>
      </c>
      <c r="U13" s="2">
        <f t="shared" si="0"/>
        <v>232.98969072164948</v>
      </c>
      <c r="V13" s="2">
        <f t="shared" si="1"/>
        <v>233.98969072164948</v>
      </c>
      <c r="W13" s="29">
        <f t="shared" si="2"/>
        <v>0.53647930414470013</v>
      </c>
      <c r="X13" s="2">
        <f t="shared" si="3"/>
        <v>1.1038668809561731</v>
      </c>
      <c r="Y13" s="2">
        <f t="shared" ref="Y13:Y14" si="12">12*25.4</f>
        <v>304.79999999999995</v>
      </c>
      <c r="Z13" s="2">
        <f t="shared" ref="Z13:Z14" si="13">Y13+1</f>
        <v>305.79999999999995</v>
      </c>
      <c r="AA13" s="2">
        <v>0.4</v>
      </c>
      <c r="AB13" s="2">
        <v>5</v>
      </c>
      <c r="AC13" s="2">
        <v>305</v>
      </c>
      <c r="AD13" s="2">
        <v>0.16</v>
      </c>
      <c r="AE13" s="2">
        <f t="shared" si="4"/>
        <v>0.29824076858861365</v>
      </c>
      <c r="AF13" s="2">
        <v>0.77</v>
      </c>
      <c r="AG13" s="2" t="s">
        <v>237</v>
      </c>
    </row>
    <row r="14" spans="1:36" s="2" customFormat="1">
      <c r="A14" s="16"/>
      <c r="B14" s="16"/>
      <c r="C14" s="16"/>
      <c r="D14" s="16"/>
      <c r="E14" s="16"/>
      <c r="F14" s="2" t="s">
        <v>175</v>
      </c>
      <c r="H14" s="2">
        <v>0.97</v>
      </c>
      <c r="I14" s="2">
        <v>327</v>
      </c>
      <c r="L14" s="30">
        <f>I14/H14</f>
        <v>337.11340206185565</v>
      </c>
      <c r="M14" s="27">
        <v>0.48599999999999999</v>
      </c>
      <c r="N14" s="27">
        <v>-0.01</v>
      </c>
      <c r="O14" s="2">
        <v>139</v>
      </c>
      <c r="Q14" s="30">
        <f>O14/H14</f>
        <v>143.29896907216497</v>
      </c>
      <c r="R14" s="2">
        <v>6</v>
      </c>
      <c r="S14" s="28">
        <v>1.0449999999999999E-2</v>
      </c>
      <c r="T14" s="28">
        <v>3.3187099999999998</v>
      </c>
      <c r="U14" s="2">
        <f t="shared" si="0"/>
        <v>143.29896907216497</v>
      </c>
      <c r="V14" s="2">
        <f t="shared" si="1"/>
        <v>144.29896907216497</v>
      </c>
      <c r="W14" s="29">
        <f t="shared" si="2"/>
        <v>0.53647930414470013</v>
      </c>
      <c r="X14" s="2">
        <f t="shared" si="3"/>
        <v>1.1038668809561731</v>
      </c>
      <c r="Y14" s="2">
        <f t="shared" si="12"/>
        <v>304.79999999999995</v>
      </c>
      <c r="Z14" s="2">
        <f t="shared" si="13"/>
        <v>305.79999999999995</v>
      </c>
      <c r="AA14" s="2">
        <v>0.4</v>
      </c>
      <c r="AB14" s="2">
        <v>5</v>
      </c>
      <c r="AC14" s="2">
        <v>305</v>
      </c>
      <c r="AD14" s="2">
        <v>0.16</v>
      </c>
      <c r="AE14" s="2">
        <f t="shared" si="4"/>
        <v>0.29824076858861365</v>
      </c>
      <c r="AF14" s="2">
        <v>0.77</v>
      </c>
      <c r="AG14" s="2" t="s">
        <v>237</v>
      </c>
    </row>
    <row r="15" spans="1:36" s="32" customFormat="1">
      <c r="A15" s="31" t="s">
        <v>61</v>
      </c>
      <c r="B15" s="31" t="s">
        <v>137</v>
      </c>
      <c r="C15" s="31" t="s">
        <v>187</v>
      </c>
      <c r="D15" s="31" t="s">
        <v>40</v>
      </c>
      <c r="E15" s="31" t="s">
        <v>44</v>
      </c>
      <c r="F15" s="32" t="s">
        <v>236</v>
      </c>
      <c r="H15" s="32">
        <v>0.91</v>
      </c>
      <c r="I15" s="32">
        <v>512</v>
      </c>
      <c r="L15" s="32">
        <v>563</v>
      </c>
      <c r="M15" s="33">
        <v>0.28799999999999998</v>
      </c>
      <c r="N15" s="33">
        <v>-0.80900000000000005</v>
      </c>
      <c r="O15" s="32">
        <v>340</v>
      </c>
      <c r="Q15" s="32">
        <v>374</v>
      </c>
      <c r="R15" s="32">
        <v>22</v>
      </c>
      <c r="S15" s="34">
        <v>1.3599999999999999E-2</v>
      </c>
      <c r="T15" s="34">
        <v>3.109</v>
      </c>
      <c r="U15" s="32">
        <f t="shared" si="0"/>
        <v>374</v>
      </c>
      <c r="V15" s="32">
        <f t="shared" si="1"/>
        <v>375</v>
      </c>
      <c r="W15" s="35">
        <f t="shared" si="2"/>
        <v>0.1463125374940091</v>
      </c>
      <c r="X15" s="32">
        <f t="shared" si="3"/>
        <v>0.50802964407642048</v>
      </c>
      <c r="Y15" s="32">
        <f>12*25.4</f>
        <v>304.79999999999995</v>
      </c>
      <c r="Z15" s="32">
        <f t="shared" si="5"/>
        <v>305.79999999999995</v>
      </c>
      <c r="AA15" s="32">
        <v>0.4</v>
      </c>
      <c r="AB15" s="32">
        <v>5</v>
      </c>
      <c r="AC15" s="32">
        <v>305</v>
      </c>
      <c r="AD15" s="32">
        <v>0.2</v>
      </c>
      <c r="AE15" s="32">
        <f t="shared" si="4"/>
        <v>1.3669368560311463</v>
      </c>
      <c r="AF15" s="32">
        <v>0.27</v>
      </c>
      <c r="AI15" s="32" t="s">
        <v>194</v>
      </c>
    </row>
    <row r="16" spans="1:36" s="32" customFormat="1">
      <c r="A16" s="31"/>
      <c r="B16" s="31"/>
      <c r="C16" s="31"/>
      <c r="D16" s="31"/>
      <c r="E16" s="31"/>
      <c r="F16" s="32" t="s">
        <v>174</v>
      </c>
      <c r="H16" s="32">
        <v>0.91</v>
      </c>
      <c r="I16" s="32">
        <v>535</v>
      </c>
      <c r="L16" s="36">
        <f>I16/H16</f>
        <v>587.91208791208794</v>
      </c>
      <c r="M16" s="33">
        <v>0.41</v>
      </c>
      <c r="N16" s="33">
        <v>0.12</v>
      </c>
      <c r="O16" s="32">
        <v>473</v>
      </c>
      <c r="Q16" s="36">
        <f>O16/H16</f>
        <v>519.7802197802198</v>
      </c>
      <c r="R16" s="32">
        <v>20</v>
      </c>
      <c r="S16" s="34">
        <v>1.3599999999999999E-2</v>
      </c>
      <c r="T16" s="34">
        <v>3.109</v>
      </c>
      <c r="U16" s="32">
        <f t="shared" si="0"/>
        <v>519.7802197802198</v>
      </c>
      <c r="V16" s="32">
        <f t="shared" si="1"/>
        <v>520.7802197802198</v>
      </c>
      <c r="W16" s="35">
        <f t="shared" si="2"/>
        <v>0.16094379124341002</v>
      </c>
      <c r="X16" s="32">
        <f t="shared" si="3"/>
        <v>0.39254583230100004</v>
      </c>
      <c r="Y16" s="32">
        <f t="shared" ref="Y16:Y17" si="14">12*25.4</f>
        <v>304.79999999999995</v>
      </c>
      <c r="Z16" s="32">
        <f t="shared" si="5"/>
        <v>305.79999999999995</v>
      </c>
      <c r="AA16" s="32">
        <v>0.4</v>
      </c>
      <c r="AB16" s="32">
        <v>5</v>
      </c>
      <c r="AC16" s="32">
        <v>305</v>
      </c>
      <c r="AD16" s="32">
        <v>0.2</v>
      </c>
      <c r="AE16" s="32">
        <f t="shared" si="4"/>
        <v>1.2426698691192239</v>
      </c>
      <c r="AF16" s="32">
        <v>0.27</v>
      </c>
      <c r="AG16" s="32" t="s">
        <v>237</v>
      </c>
    </row>
    <row r="17" spans="1:36" s="32" customFormat="1">
      <c r="A17" s="31"/>
      <c r="B17" s="31"/>
      <c r="C17" s="31"/>
      <c r="D17" s="31"/>
      <c r="E17" s="31"/>
      <c r="F17" s="32" t="s">
        <v>175</v>
      </c>
      <c r="H17" s="32">
        <v>0.91</v>
      </c>
      <c r="I17" s="32">
        <v>535</v>
      </c>
      <c r="L17" s="36">
        <f>I17/H17</f>
        <v>587.91208791208794</v>
      </c>
      <c r="M17" s="33">
        <v>0.41</v>
      </c>
      <c r="N17" s="33">
        <v>0.12</v>
      </c>
      <c r="O17" s="32">
        <v>350</v>
      </c>
      <c r="Q17" s="36">
        <f>O17/H17</f>
        <v>384.61538461538458</v>
      </c>
      <c r="R17" s="32">
        <v>20</v>
      </c>
      <c r="S17" s="34">
        <v>1.3599999999999999E-2</v>
      </c>
      <c r="T17" s="34">
        <v>3.109</v>
      </c>
      <c r="U17" s="32">
        <f t="shared" si="0"/>
        <v>384.61538461538458</v>
      </c>
      <c r="V17" s="32">
        <f t="shared" si="1"/>
        <v>385.61538461538458</v>
      </c>
      <c r="W17" s="35">
        <f t="shared" si="2"/>
        <v>0.16094379124341002</v>
      </c>
      <c r="X17" s="32">
        <f t="shared" si="3"/>
        <v>0.39254583230100004</v>
      </c>
      <c r="Y17" s="32">
        <f t="shared" si="14"/>
        <v>304.79999999999995</v>
      </c>
      <c r="Z17" s="32">
        <f t="shared" si="5"/>
        <v>305.79999999999995</v>
      </c>
      <c r="AA17" s="32">
        <v>0.4</v>
      </c>
      <c r="AB17" s="32">
        <v>5</v>
      </c>
      <c r="AC17" s="32">
        <v>305</v>
      </c>
      <c r="AD17" s="32">
        <v>0.2</v>
      </c>
      <c r="AE17" s="32">
        <f t="shared" si="4"/>
        <v>1.2426698691192239</v>
      </c>
      <c r="AF17" s="32">
        <v>0.27</v>
      </c>
      <c r="AG17" s="32" t="s">
        <v>237</v>
      </c>
    </row>
    <row r="18" spans="1:36">
      <c r="A18" s="18" t="s">
        <v>65</v>
      </c>
      <c r="B18" s="18" t="s">
        <v>138</v>
      </c>
      <c r="C18" s="18" t="s">
        <v>117</v>
      </c>
      <c r="D18" s="18" t="s">
        <v>19</v>
      </c>
      <c r="E18" s="18" t="s">
        <v>26</v>
      </c>
      <c r="L18" s="1">
        <v>1272</v>
      </c>
      <c r="M18" s="3">
        <v>0.22720000000000001</v>
      </c>
      <c r="N18" s="3">
        <v>-0.79310000000000003</v>
      </c>
      <c r="Q18" s="1">
        <v>910</v>
      </c>
      <c r="R18" s="1">
        <v>15</v>
      </c>
      <c r="S18" s="5">
        <v>2.4E-2</v>
      </c>
      <c r="T18" s="5">
        <v>2.86</v>
      </c>
      <c r="U18" s="1">
        <f t="shared" si="0"/>
        <v>910</v>
      </c>
      <c r="V18" s="1">
        <f t="shared" si="1"/>
        <v>911</v>
      </c>
      <c r="W18" s="6">
        <f t="shared" si="2"/>
        <v>0.21459172165788004</v>
      </c>
      <c r="X18" s="1">
        <f t="shared" si="3"/>
        <v>0.94450581715616211</v>
      </c>
      <c r="Y18" s="1">
        <f>U18</f>
        <v>910</v>
      </c>
      <c r="Z18" s="1">
        <f t="shared" si="5"/>
        <v>911</v>
      </c>
      <c r="AA18" s="1">
        <v>0.4</v>
      </c>
      <c r="AB18" s="1">
        <v>5</v>
      </c>
      <c r="AD18" s="1">
        <v>0.14000000000000001</v>
      </c>
      <c r="AE18" s="1">
        <f t="shared" si="4"/>
        <v>0.65240168128759246</v>
      </c>
      <c r="AF18" s="1">
        <v>36</v>
      </c>
      <c r="AI18" s="1" t="s">
        <v>194</v>
      </c>
      <c r="AJ18" s="1" t="s">
        <v>201</v>
      </c>
    </row>
    <row r="19" spans="1:36">
      <c r="A19" s="18" t="s">
        <v>141</v>
      </c>
      <c r="B19" s="18" t="s">
        <v>139</v>
      </c>
      <c r="C19" s="18" t="s">
        <v>163</v>
      </c>
      <c r="D19" s="18" t="s">
        <v>47</v>
      </c>
      <c r="E19" s="18" t="s">
        <v>48</v>
      </c>
      <c r="H19" s="1">
        <v>0.89</v>
      </c>
      <c r="I19" s="1">
        <v>1236</v>
      </c>
      <c r="L19" s="1">
        <v>1389</v>
      </c>
      <c r="M19" s="3">
        <v>0.26</v>
      </c>
      <c r="N19" s="3">
        <v>-0.71</v>
      </c>
      <c r="O19" s="1">
        <v>780</v>
      </c>
      <c r="Q19" s="1">
        <v>876</v>
      </c>
      <c r="R19" s="1">
        <v>19</v>
      </c>
      <c r="S19" s="5">
        <v>6.1700000000000001E-3</v>
      </c>
      <c r="T19" s="5">
        <v>3.0109499999999998</v>
      </c>
      <c r="U19" s="1">
        <f t="shared" si="0"/>
        <v>876</v>
      </c>
      <c r="V19" s="1">
        <f t="shared" si="1"/>
        <v>877</v>
      </c>
      <c r="W19" s="6">
        <f t="shared" si="2"/>
        <v>0.16941451709832633</v>
      </c>
      <c r="X19" s="1">
        <f t="shared" si="3"/>
        <v>0.65159429653202439</v>
      </c>
      <c r="Y19" s="1">
        <f>U19</f>
        <v>876</v>
      </c>
      <c r="Z19" s="1">
        <f t="shared" si="5"/>
        <v>877</v>
      </c>
      <c r="AA19" s="1">
        <v>0.4</v>
      </c>
      <c r="AB19" s="1">
        <v>5</v>
      </c>
      <c r="AI19" s="1" t="s">
        <v>194</v>
      </c>
      <c r="AJ19" s="1" t="s">
        <v>201</v>
      </c>
    </row>
    <row r="20" spans="1:36" s="14" customFormat="1">
      <c r="A20" s="38" t="s">
        <v>62</v>
      </c>
      <c r="B20" s="38" t="s">
        <v>140</v>
      </c>
      <c r="C20" s="38" t="s">
        <v>166</v>
      </c>
      <c r="D20" s="38" t="s">
        <v>7</v>
      </c>
      <c r="E20" s="38" t="s">
        <v>18</v>
      </c>
      <c r="F20" s="14" t="s">
        <v>174</v>
      </c>
      <c r="L20" s="14">
        <v>179</v>
      </c>
      <c r="M20" s="39">
        <v>0.25</v>
      </c>
      <c r="N20" s="39">
        <v>-1.2</v>
      </c>
      <c r="P20" s="14">
        <v>118</v>
      </c>
      <c r="Q20" s="14">
        <v>140</v>
      </c>
      <c r="R20" s="14">
        <v>40</v>
      </c>
      <c r="S20" s="40">
        <v>1.4800000000000001E-2</v>
      </c>
      <c r="T20" s="40">
        <v>3.16</v>
      </c>
      <c r="U20" s="14">
        <f t="shared" si="0"/>
        <v>140</v>
      </c>
      <c r="V20" s="14">
        <f t="shared" si="1"/>
        <v>141</v>
      </c>
      <c r="W20" s="41">
        <f t="shared" si="2"/>
        <v>8.0471895621705009E-2</v>
      </c>
      <c r="X20" s="14">
        <f t="shared" si="3"/>
        <v>0.32188758248682003</v>
      </c>
      <c r="Y20" s="14">
        <f t="shared" ref="Y20:Y24" si="15">U20</f>
        <v>140</v>
      </c>
      <c r="Z20" s="14">
        <f t="shared" si="5"/>
        <v>141</v>
      </c>
      <c r="AA20" s="14">
        <v>0.4</v>
      </c>
      <c r="AB20" s="14">
        <v>5</v>
      </c>
      <c r="AG20" s="14" t="s">
        <v>207</v>
      </c>
      <c r="AH20" s="14" t="s">
        <v>209</v>
      </c>
      <c r="AJ20" s="14" t="s">
        <v>208</v>
      </c>
    </row>
    <row r="21" spans="1:36" s="14" customFormat="1">
      <c r="A21" s="38" t="s">
        <v>62</v>
      </c>
      <c r="B21" s="38" t="s">
        <v>140</v>
      </c>
      <c r="C21" s="38" t="s">
        <v>166</v>
      </c>
      <c r="D21" s="38" t="s">
        <v>7</v>
      </c>
      <c r="E21" s="38" t="s">
        <v>18</v>
      </c>
      <c r="F21" s="14" t="s">
        <v>175</v>
      </c>
      <c r="L21" s="14">
        <v>156</v>
      </c>
      <c r="M21" s="39">
        <v>0.3</v>
      </c>
      <c r="N21" s="39">
        <v>-1.2</v>
      </c>
      <c r="P21" s="14">
        <v>118</v>
      </c>
      <c r="Q21" s="14">
        <v>140</v>
      </c>
      <c r="R21" s="14">
        <v>41</v>
      </c>
      <c r="S21" s="40">
        <v>1.4800000000000001E-2</v>
      </c>
      <c r="T21" s="40">
        <v>3.16</v>
      </c>
      <c r="U21" s="14">
        <f t="shared" si="0"/>
        <v>140</v>
      </c>
      <c r="V21" s="14">
        <f t="shared" si="1"/>
        <v>141</v>
      </c>
      <c r="W21" s="41">
        <f t="shared" si="2"/>
        <v>7.8509166460200008E-2</v>
      </c>
      <c r="X21" s="14">
        <f t="shared" si="3"/>
        <v>0.26169722153400005</v>
      </c>
      <c r="Y21" s="14">
        <f t="shared" si="15"/>
        <v>140</v>
      </c>
      <c r="Z21" s="14">
        <f t="shared" si="5"/>
        <v>141</v>
      </c>
      <c r="AA21" s="14">
        <v>0.4</v>
      </c>
      <c r="AB21" s="14">
        <v>5</v>
      </c>
      <c r="AG21" s="14" t="s">
        <v>207</v>
      </c>
      <c r="AH21" s="14" t="s">
        <v>210</v>
      </c>
      <c r="AJ21" s="14" t="s">
        <v>208</v>
      </c>
    </row>
    <row r="22" spans="1:36" s="21" customFormat="1">
      <c r="A22" s="20" t="s">
        <v>61</v>
      </c>
      <c r="B22" s="20" t="s">
        <v>196</v>
      </c>
      <c r="C22" s="20" t="s">
        <v>197</v>
      </c>
      <c r="D22" s="20" t="s">
        <v>40</v>
      </c>
      <c r="E22" s="21" t="s">
        <v>84</v>
      </c>
      <c r="F22" s="20" t="s">
        <v>174</v>
      </c>
      <c r="G22" s="20"/>
      <c r="H22" s="21">
        <v>1</v>
      </c>
      <c r="I22" s="21">
        <v>532</v>
      </c>
      <c r="L22" s="21">
        <f>I22/H22</f>
        <v>532</v>
      </c>
      <c r="M22" s="21">
        <v>0.22500000000000001</v>
      </c>
      <c r="N22" s="21">
        <v>-1.48</v>
      </c>
      <c r="O22" s="21">
        <v>473</v>
      </c>
      <c r="Q22" s="21">
        <f t="shared" ref="Q22:Q27" si="16">O22/H22</f>
        <v>473</v>
      </c>
      <c r="R22" s="21">
        <v>20</v>
      </c>
      <c r="S22" s="22">
        <v>1.3599999999999999E-2</v>
      </c>
      <c r="T22" s="22">
        <v>3.109</v>
      </c>
      <c r="U22" s="21">
        <f t="shared" si="0"/>
        <v>473</v>
      </c>
      <c r="V22" s="21">
        <f t="shared" si="1"/>
        <v>474</v>
      </c>
      <c r="W22" s="23">
        <f t="shared" si="2"/>
        <v>0.16094379124341002</v>
      </c>
      <c r="X22" s="21">
        <f t="shared" si="3"/>
        <v>0.71530573885960003</v>
      </c>
      <c r="Y22" s="21">
        <f t="shared" si="15"/>
        <v>473</v>
      </c>
      <c r="Z22" s="21">
        <f t="shared" si="5"/>
        <v>474</v>
      </c>
      <c r="AA22" s="21">
        <v>0.4</v>
      </c>
      <c r="AB22" s="21">
        <v>5</v>
      </c>
      <c r="AG22" s="21" t="s">
        <v>237</v>
      </c>
      <c r="AI22" s="21" t="s">
        <v>194</v>
      </c>
      <c r="AJ22" s="21" t="s">
        <v>227</v>
      </c>
    </row>
    <row r="23" spans="1:36" s="21" customFormat="1">
      <c r="A23" s="20"/>
      <c r="B23" s="20"/>
      <c r="C23" s="20"/>
      <c r="D23" s="20"/>
      <c r="F23" s="20" t="s">
        <v>175</v>
      </c>
      <c r="G23" s="20"/>
      <c r="H23" s="21">
        <v>1</v>
      </c>
      <c r="I23" s="21">
        <v>532</v>
      </c>
      <c r="L23" s="21">
        <f>I23/H23</f>
        <v>532</v>
      </c>
      <c r="M23" s="21">
        <v>0.22500000000000001</v>
      </c>
      <c r="N23" s="21">
        <v>-1.48</v>
      </c>
      <c r="O23" s="21">
        <v>350</v>
      </c>
      <c r="Q23" s="21">
        <f t="shared" si="16"/>
        <v>350</v>
      </c>
      <c r="R23" s="21">
        <v>20</v>
      </c>
      <c r="S23" s="22">
        <v>1.3599999999999999E-2</v>
      </c>
      <c r="T23" s="22">
        <v>3.109</v>
      </c>
      <c r="U23" s="21">
        <f t="shared" si="0"/>
        <v>350</v>
      </c>
      <c r="V23" s="21">
        <f t="shared" si="1"/>
        <v>351</v>
      </c>
      <c r="W23" s="23">
        <f t="shared" si="2"/>
        <v>0.16094379124341002</v>
      </c>
      <c r="X23" s="21">
        <f t="shared" si="3"/>
        <v>0.71530573885960003</v>
      </c>
      <c r="Y23" s="21">
        <f t="shared" si="15"/>
        <v>350</v>
      </c>
      <c r="Z23" s="21">
        <f t="shared" si="5"/>
        <v>351</v>
      </c>
      <c r="AA23" s="21">
        <v>0.4</v>
      </c>
      <c r="AB23" s="21">
        <v>5</v>
      </c>
      <c r="AG23" s="21" t="s">
        <v>237</v>
      </c>
      <c r="AJ23" s="21" t="s">
        <v>228</v>
      </c>
    </row>
    <row r="24" spans="1:36" s="13" customFormat="1">
      <c r="A24" s="37" t="s">
        <v>61</v>
      </c>
      <c r="B24" s="37" t="s">
        <v>198</v>
      </c>
      <c r="C24" s="37"/>
      <c r="D24" s="37" t="s">
        <v>40</v>
      </c>
      <c r="E24" s="13" t="s">
        <v>60</v>
      </c>
      <c r="F24" s="37" t="s">
        <v>174</v>
      </c>
      <c r="G24" s="37"/>
      <c r="H24" s="13">
        <v>1</v>
      </c>
      <c r="I24" s="13">
        <v>344</v>
      </c>
      <c r="L24" s="13">
        <f>I24/H24</f>
        <v>344</v>
      </c>
      <c r="M24" s="13">
        <v>0.4</v>
      </c>
      <c r="N24" s="13">
        <v>-0.13</v>
      </c>
      <c r="O24" s="13">
        <v>226</v>
      </c>
      <c r="Q24" s="13">
        <f t="shared" si="16"/>
        <v>226</v>
      </c>
      <c r="R24" s="13">
        <v>11</v>
      </c>
      <c r="S24" s="13">
        <v>2.2200000000000001E-2</v>
      </c>
      <c r="T24" s="13">
        <v>2.9710000000000001</v>
      </c>
      <c r="U24" s="13">
        <f t="shared" si="0"/>
        <v>226</v>
      </c>
      <c r="V24" s="13">
        <f t="shared" si="1"/>
        <v>227</v>
      </c>
      <c r="W24" s="13">
        <f t="shared" si="2"/>
        <v>0.29262507498801821</v>
      </c>
      <c r="X24" s="13">
        <f t="shared" si="3"/>
        <v>0.73156268747004549</v>
      </c>
      <c r="Y24" s="13">
        <f t="shared" si="15"/>
        <v>226</v>
      </c>
      <c r="Z24" s="13">
        <f t="shared" si="5"/>
        <v>227</v>
      </c>
      <c r="AG24" s="13" t="s">
        <v>238</v>
      </c>
      <c r="AI24" s="13" t="s">
        <v>194</v>
      </c>
    </row>
    <row r="25" spans="1:36" s="13" customFormat="1">
      <c r="F25" s="37" t="s">
        <v>175</v>
      </c>
      <c r="G25" s="37"/>
      <c r="H25" s="13">
        <v>1</v>
      </c>
      <c r="I25" s="13">
        <v>344</v>
      </c>
      <c r="L25" s="13">
        <f>I25/H25</f>
        <v>344</v>
      </c>
      <c r="M25" s="13">
        <v>0.4</v>
      </c>
      <c r="N25" s="13">
        <v>-0.13</v>
      </c>
      <c r="O25" s="13">
        <v>172</v>
      </c>
      <c r="Q25" s="13">
        <f t="shared" si="16"/>
        <v>172</v>
      </c>
      <c r="R25" s="13">
        <v>11</v>
      </c>
      <c r="S25" s="13">
        <v>2.2200000000000001E-2</v>
      </c>
      <c r="T25" s="13">
        <v>2.9710000000000001</v>
      </c>
      <c r="U25" s="13">
        <f t="shared" ref="U25:U27" si="17">Q25</f>
        <v>172</v>
      </c>
      <c r="V25" s="13">
        <f t="shared" si="1"/>
        <v>173</v>
      </c>
      <c r="W25" s="13">
        <f t="shared" ref="W25:W27" si="18">-(LN(0.04))/R25</f>
        <v>0.29262507498801821</v>
      </c>
      <c r="X25" s="13">
        <f t="shared" ref="X25:X27" si="19">W25/M25</f>
        <v>0.73156268747004549</v>
      </c>
      <c r="Y25" s="13">
        <f t="shared" ref="Y25" si="20">U25</f>
        <v>172</v>
      </c>
      <c r="Z25" s="13">
        <f t="shared" si="5"/>
        <v>173</v>
      </c>
      <c r="AG25" s="13" t="s">
        <v>238</v>
      </c>
    </row>
    <row r="26" spans="1:36">
      <c r="A26" s="18" t="s">
        <v>62</v>
      </c>
      <c r="B26" s="18" t="s">
        <v>173</v>
      </c>
      <c r="C26" s="18" t="s">
        <v>172</v>
      </c>
      <c r="D26" s="18" t="s">
        <v>7</v>
      </c>
      <c r="E26" s="18" t="s">
        <v>97</v>
      </c>
      <c r="F26" s="1" t="s">
        <v>174</v>
      </c>
      <c r="H26" s="1">
        <v>0.87</v>
      </c>
      <c r="L26" s="1">
        <v>203</v>
      </c>
      <c r="M26" s="1">
        <v>1.4308000000000001</v>
      </c>
      <c r="N26" s="1">
        <v>5.11E-2</v>
      </c>
      <c r="O26" s="1">
        <v>158</v>
      </c>
      <c r="Q26" s="4">
        <f t="shared" si="16"/>
        <v>181.60919540229884</v>
      </c>
      <c r="R26" s="12"/>
      <c r="S26" s="1">
        <v>8.3059999999999995E-2</v>
      </c>
      <c r="T26" s="1">
        <v>2.56968</v>
      </c>
      <c r="U26" s="1">
        <f t="shared" si="17"/>
        <v>181.60919540229884</v>
      </c>
      <c r="V26" s="1">
        <f t="shared" si="1"/>
        <v>182.60919540229884</v>
      </c>
      <c r="W26" s="6" t="e">
        <f t="shared" si="18"/>
        <v>#DIV/0!</v>
      </c>
      <c r="X26" s="1" t="e">
        <f t="shared" si="19"/>
        <v>#DIV/0!</v>
      </c>
      <c r="Y26" s="1">
        <f>U26</f>
        <v>181.60919540229884</v>
      </c>
      <c r="Z26" s="1">
        <f t="shared" si="5"/>
        <v>182.60919540229884</v>
      </c>
      <c r="AA26" s="1">
        <v>0.4</v>
      </c>
      <c r="AB26" s="1">
        <v>5</v>
      </c>
      <c r="AG26" s="1" t="s">
        <v>99</v>
      </c>
      <c r="AH26" s="18" t="s">
        <v>176</v>
      </c>
    </row>
    <row r="27" spans="1:36">
      <c r="A27" s="18" t="s">
        <v>62</v>
      </c>
      <c r="B27" s="18" t="s">
        <v>173</v>
      </c>
      <c r="C27" s="18" t="s">
        <v>172</v>
      </c>
      <c r="D27" s="18" t="s">
        <v>7</v>
      </c>
      <c r="E27" s="18" t="s">
        <v>97</v>
      </c>
      <c r="F27" s="2" t="s">
        <v>175</v>
      </c>
      <c r="G27" s="2"/>
      <c r="H27" s="1">
        <v>0.87</v>
      </c>
      <c r="L27" s="1">
        <v>203</v>
      </c>
      <c r="M27" s="1">
        <v>1.4308000000000001</v>
      </c>
      <c r="N27" s="1">
        <v>5.11E-2</v>
      </c>
      <c r="O27" s="1">
        <v>156</v>
      </c>
      <c r="Q27" s="4">
        <f t="shared" si="16"/>
        <v>179.31034482758622</v>
      </c>
      <c r="R27" s="12"/>
      <c r="S27" s="1">
        <v>8.3059999999999995E-2</v>
      </c>
      <c r="T27" s="1">
        <v>2.56968</v>
      </c>
      <c r="U27" s="1">
        <f t="shared" si="17"/>
        <v>179.31034482758622</v>
      </c>
      <c r="V27" s="1">
        <f t="shared" si="1"/>
        <v>180.31034482758622</v>
      </c>
      <c r="W27" s="6" t="e">
        <f t="shared" si="18"/>
        <v>#DIV/0!</v>
      </c>
      <c r="X27" s="1" t="e">
        <f t="shared" si="19"/>
        <v>#DIV/0!</v>
      </c>
      <c r="Y27" s="1">
        <f>U27</f>
        <v>179.31034482758622</v>
      </c>
      <c r="Z27" s="1">
        <f t="shared" si="5"/>
        <v>180.31034482758622</v>
      </c>
      <c r="AA27" s="1">
        <v>0.4</v>
      </c>
      <c r="AB27" s="1">
        <v>5</v>
      </c>
      <c r="AG27" s="1" t="s">
        <v>99</v>
      </c>
      <c r="AH27" s="18" t="s">
        <v>176</v>
      </c>
    </row>
    <row r="28" spans="1:36">
      <c r="A28" s="18" t="s">
        <v>62</v>
      </c>
      <c r="B28" s="18" t="s">
        <v>140</v>
      </c>
      <c r="C28" s="18" t="s">
        <v>166</v>
      </c>
      <c r="D28" s="18" t="s">
        <v>7</v>
      </c>
      <c r="E28" s="18" t="s">
        <v>18</v>
      </c>
      <c r="F28" s="18"/>
      <c r="G28" s="18"/>
      <c r="M28" s="1">
        <v>180</v>
      </c>
      <c r="N28" s="3">
        <v>0.27500000000000002</v>
      </c>
      <c r="O28" s="3">
        <v>-1.2</v>
      </c>
      <c r="Q28" s="1">
        <v>118</v>
      </c>
      <c r="R28" s="12"/>
      <c r="S28" s="1">
        <v>41</v>
      </c>
      <c r="T28" s="5">
        <v>1.4800000000000001E-2</v>
      </c>
      <c r="U28" s="5">
        <v>3.16</v>
      </c>
      <c r="V28" s="1">
        <f>R28</f>
        <v>0</v>
      </c>
      <c r="W28" s="1">
        <f>V28+1</f>
        <v>1</v>
      </c>
      <c r="X28" s="6">
        <f>-(LN(0.04))/S28</f>
        <v>7.8509166460200008E-2</v>
      </c>
      <c r="Y28" s="1">
        <f>X28/N28</f>
        <v>0.28548787803709091</v>
      </c>
      <c r="Z28" s="1">
        <f>2*25.4</f>
        <v>50.8</v>
      </c>
      <c r="AA28" s="1">
        <f>Z28+1</f>
        <v>51.8</v>
      </c>
      <c r="AB28" s="1">
        <v>0.4</v>
      </c>
      <c r="AC28" s="1">
        <v>5</v>
      </c>
      <c r="AF28" s="1">
        <f>AE28/X28</f>
        <v>0</v>
      </c>
      <c r="AJ28" s="1" t="s">
        <v>194</v>
      </c>
    </row>
    <row r="29" spans="1:36">
      <c r="L29" s="53"/>
      <c r="M29" s="53"/>
      <c r="N29" s="53"/>
      <c r="O29" s="53"/>
      <c r="P29" s="53"/>
      <c r="Q29" s="53"/>
    </row>
    <row r="31" spans="1:36">
      <c r="F31" s="52"/>
      <c r="G31" s="24"/>
      <c r="I31" s="52"/>
      <c r="K31" s="18"/>
    </row>
    <row r="32" spans="1:36">
      <c r="F32" s="52"/>
      <c r="G32" s="24"/>
      <c r="I32" s="52"/>
      <c r="K32" s="18"/>
    </row>
    <row r="33" spans="6:17">
      <c r="F33" s="52"/>
      <c r="G33" s="24"/>
      <c r="I33" s="52"/>
    </row>
    <row r="34" spans="6:17">
      <c r="F34" s="52"/>
      <c r="G34" s="24"/>
      <c r="I34" s="52"/>
    </row>
    <row r="39" spans="6:17">
      <c r="Q39" s="25"/>
    </row>
    <row r="40" spans="6:17">
      <c r="Q40" s="26"/>
    </row>
  </sheetData>
  <mergeCells count="3">
    <mergeCell ref="I31:I34"/>
    <mergeCell ref="F31:F34"/>
    <mergeCell ref="L29:Q2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65BC1-E580-6F46-B54B-9275F0F55BB8}">
  <dimension ref="A1:Y27"/>
  <sheetViews>
    <sheetView workbookViewId="0">
      <selection activeCell="F3" sqref="F3"/>
    </sheetView>
  </sheetViews>
  <sheetFormatPr baseColWidth="10" defaultColWidth="14.1640625" defaultRowHeight="16"/>
  <cols>
    <col min="1" max="9" width="14.1640625" style="1"/>
    <col min="10" max="12" width="14.1640625" style="8" customWidth="1"/>
    <col min="13" max="14" width="14.33203125" style="1" customWidth="1"/>
    <col min="15" max="15" width="14.1640625" style="1"/>
    <col min="16" max="17" width="14.1640625" style="8"/>
    <col min="18" max="21" width="14.1640625" style="1"/>
    <col min="22" max="23" width="14.1640625" style="8"/>
    <col min="24" max="25" width="14.1640625" style="1"/>
    <col min="26" max="27" width="14.1640625" style="1" customWidth="1"/>
    <col min="28" max="16384" width="14.1640625" style="1"/>
  </cols>
  <sheetData>
    <row r="1" spans="1:25">
      <c r="A1" s="1" t="s">
        <v>153</v>
      </c>
      <c r="B1" s="1" t="s">
        <v>85</v>
      </c>
      <c r="C1" s="1" t="s">
        <v>86</v>
      </c>
      <c r="D1" s="1" t="s">
        <v>100</v>
      </c>
      <c r="E1" s="1" t="s">
        <v>101</v>
      </c>
      <c r="F1" s="1" t="s">
        <v>107</v>
      </c>
      <c r="G1" s="1" t="s">
        <v>152</v>
      </c>
      <c r="H1" s="1" t="s">
        <v>156</v>
      </c>
      <c r="I1" s="1" t="s">
        <v>0</v>
      </c>
      <c r="J1" s="8" t="s">
        <v>1</v>
      </c>
      <c r="K1" s="8" t="s">
        <v>59</v>
      </c>
      <c r="L1" s="8" t="s">
        <v>2</v>
      </c>
      <c r="M1" s="1" t="s">
        <v>89</v>
      </c>
      <c r="N1" s="1" t="s">
        <v>3</v>
      </c>
      <c r="O1" s="1" t="s">
        <v>90</v>
      </c>
      <c r="P1" s="8" t="s">
        <v>4</v>
      </c>
      <c r="Q1" s="8" t="s">
        <v>5</v>
      </c>
      <c r="R1" s="1" t="s">
        <v>6</v>
      </c>
      <c r="S1" s="1" t="s">
        <v>95</v>
      </c>
      <c r="T1" s="1" t="s">
        <v>91</v>
      </c>
      <c r="U1" s="1" t="s">
        <v>92</v>
      </c>
      <c r="V1" s="8" t="s">
        <v>93</v>
      </c>
      <c r="W1" s="8" t="s">
        <v>54</v>
      </c>
      <c r="X1" s="1" t="s">
        <v>104</v>
      </c>
    </row>
    <row r="2" spans="1:25">
      <c r="A2" s="1" t="s">
        <v>155</v>
      </c>
      <c r="B2" s="1" t="s">
        <v>87</v>
      </c>
      <c r="C2" t="s">
        <v>94</v>
      </c>
      <c r="D2"/>
      <c r="E2"/>
      <c r="F2" t="s">
        <v>108</v>
      </c>
      <c r="G2">
        <v>78</v>
      </c>
      <c r="H2"/>
      <c r="I2" s="2" t="s">
        <v>46</v>
      </c>
      <c r="M2" s="1">
        <f>47.9*10</f>
        <v>479</v>
      </c>
      <c r="N2" s="1">
        <v>0.11799999999999999</v>
      </c>
      <c r="O2" s="1">
        <v>-3.4</v>
      </c>
      <c r="S2" s="1">
        <v>24</v>
      </c>
      <c r="T2" s="1">
        <v>1.7000000000000001E-2</v>
      </c>
      <c r="U2" s="1">
        <v>3.0150000000000001</v>
      </c>
      <c r="V2" s="9"/>
    </row>
    <row r="3" spans="1:25">
      <c r="A3" s="1" t="s">
        <v>158</v>
      </c>
      <c r="B3" s="1" t="s">
        <v>82</v>
      </c>
      <c r="C3" t="s">
        <v>83</v>
      </c>
      <c r="D3"/>
      <c r="E3"/>
      <c r="F3" t="s">
        <v>109</v>
      </c>
      <c r="G3">
        <v>133</v>
      </c>
      <c r="H3" t="s">
        <v>157</v>
      </c>
      <c r="I3" s="2" t="s">
        <v>11</v>
      </c>
      <c r="L3" s="1">
        <v>145.19999999999999</v>
      </c>
      <c r="N3" s="1">
        <v>0.42299999999999999</v>
      </c>
      <c r="O3" s="1">
        <v>-0.51</v>
      </c>
      <c r="S3" s="1">
        <v>39</v>
      </c>
      <c r="T3" s="5"/>
      <c r="U3" s="5"/>
      <c r="V3" s="9"/>
    </row>
    <row r="4" spans="1:25">
      <c r="A4" s="1" t="s">
        <v>158</v>
      </c>
      <c r="B4" s="13" t="s">
        <v>88</v>
      </c>
      <c r="C4" s="13" t="s">
        <v>96</v>
      </c>
      <c r="D4" s="13" t="s">
        <v>102</v>
      </c>
      <c r="E4" s="13" t="s">
        <v>103</v>
      </c>
      <c r="F4" s="13" t="s">
        <v>111</v>
      </c>
      <c r="G4" s="13">
        <v>101</v>
      </c>
      <c r="H4" s="13" t="s">
        <v>159</v>
      </c>
      <c r="I4" s="2" t="s">
        <v>42</v>
      </c>
      <c r="J4" s="1">
        <f>10*32.7</f>
        <v>327</v>
      </c>
      <c r="K4" s="1">
        <v>0.97</v>
      </c>
      <c r="M4" s="4">
        <f>J4/K4</f>
        <v>337.11340206185565</v>
      </c>
      <c r="N4" s="3">
        <v>0.48599999999999999</v>
      </c>
      <c r="O4" s="3">
        <v>-0.01</v>
      </c>
      <c r="P4" s="1">
        <f>10*22.6</f>
        <v>226</v>
      </c>
      <c r="R4" s="4">
        <f>P4/K4</f>
        <v>232.98969072164948</v>
      </c>
      <c r="T4" s="5"/>
      <c r="U4" s="5"/>
      <c r="V4" s="9"/>
      <c r="X4" s="4">
        <f>(13.9*10)/K4</f>
        <v>143.29896907216497</v>
      </c>
    </row>
    <row r="5" spans="1:25">
      <c r="A5" s="1" t="s">
        <v>158</v>
      </c>
      <c r="B5" s="13" t="s">
        <v>88</v>
      </c>
      <c r="C5" s="13" t="s">
        <v>96</v>
      </c>
      <c r="D5" s="13" t="s">
        <v>102</v>
      </c>
      <c r="E5" s="13" t="s">
        <v>103</v>
      </c>
      <c r="F5" s="13" t="s">
        <v>111</v>
      </c>
      <c r="G5" s="13">
        <v>272</v>
      </c>
      <c r="H5" s="13" t="s">
        <v>159</v>
      </c>
      <c r="I5" s="2" t="s">
        <v>44</v>
      </c>
      <c r="J5" s="1">
        <f>10*53.5</f>
        <v>535</v>
      </c>
      <c r="K5" s="1">
        <v>0.91</v>
      </c>
      <c r="M5" s="4">
        <f>J5/K5</f>
        <v>587.91208791208794</v>
      </c>
      <c r="N5" s="3">
        <v>0.41</v>
      </c>
      <c r="O5" s="3">
        <v>0.12</v>
      </c>
      <c r="P5" s="1">
        <f>10*47.3</f>
        <v>473</v>
      </c>
      <c r="R5" s="4">
        <f>P5/K5</f>
        <v>519.7802197802198</v>
      </c>
      <c r="T5" s="5"/>
      <c r="U5" s="5"/>
      <c r="V5" s="9"/>
      <c r="X5" s="4">
        <f>(10*35)/K5</f>
        <v>384.61538461538458</v>
      </c>
    </row>
    <row r="6" spans="1:25">
      <c r="A6" s="1" t="s">
        <v>158</v>
      </c>
      <c r="B6" s="1" t="s">
        <v>78</v>
      </c>
      <c r="C6" t="s">
        <v>79</v>
      </c>
      <c r="D6"/>
      <c r="E6"/>
      <c r="F6" t="s">
        <v>110</v>
      </c>
      <c r="G6">
        <v>56</v>
      </c>
      <c r="H6" t="s">
        <v>160</v>
      </c>
      <c r="I6" s="7" t="s">
        <v>76</v>
      </c>
      <c r="J6" s="1">
        <f>10*67.26</f>
        <v>672.6</v>
      </c>
      <c r="M6" s="12"/>
      <c r="N6" s="1">
        <v>0.18</v>
      </c>
      <c r="O6" s="1">
        <v>-0.68</v>
      </c>
      <c r="P6" s="1">
        <f>((41+43.7)/2)*10</f>
        <v>423.5</v>
      </c>
      <c r="R6" s="12"/>
      <c r="S6" s="1">
        <v>14</v>
      </c>
      <c r="T6" s="1">
        <v>0.01</v>
      </c>
      <c r="U6" s="1">
        <v>3.04</v>
      </c>
    </row>
    <row r="7" spans="1:25">
      <c r="A7" s="1" t="s">
        <v>158</v>
      </c>
      <c r="B7" s="1" t="s">
        <v>78</v>
      </c>
      <c r="C7" t="s">
        <v>79</v>
      </c>
      <c r="D7"/>
      <c r="E7"/>
      <c r="F7" t="s">
        <v>110</v>
      </c>
      <c r="G7">
        <v>47</v>
      </c>
      <c r="H7" t="s">
        <v>161</v>
      </c>
      <c r="I7" s="7" t="s">
        <v>77</v>
      </c>
      <c r="J7" s="1">
        <f>10*56.39</f>
        <v>563.9</v>
      </c>
      <c r="M7" s="12"/>
      <c r="N7" s="1">
        <v>0.26</v>
      </c>
      <c r="O7" s="1">
        <v>-0.49</v>
      </c>
      <c r="P7" s="1">
        <f>((45.9+40.4)/2)*10</f>
        <v>431.5</v>
      </c>
      <c r="R7" s="12"/>
      <c r="S7" s="1">
        <v>11</v>
      </c>
      <c r="T7" s="1">
        <v>0.01</v>
      </c>
      <c r="U7" s="1">
        <v>3.02</v>
      </c>
    </row>
    <row r="8" spans="1:25" s="14" customFormat="1">
      <c r="A8" s="14" t="s">
        <v>154</v>
      </c>
      <c r="B8" s="14" t="s">
        <v>82</v>
      </c>
      <c r="C8" s="14" t="s">
        <v>83</v>
      </c>
      <c r="F8" s="14" t="s">
        <v>109</v>
      </c>
      <c r="I8" s="14" t="s">
        <v>80</v>
      </c>
      <c r="L8" s="14">
        <v>135.4</v>
      </c>
      <c r="N8" s="14">
        <v>0.66300000000000003</v>
      </c>
      <c r="O8" s="14">
        <v>-0.23</v>
      </c>
      <c r="S8" s="14">
        <v>17</v>
      </c>
      <c r="Y8" s="15" t="s">
        <v>106</v>
      </c>
    </row>
    <row r="9" spans="1:25" s="14" customFormat="1">
      <c r="A9" s="14" t="s">
        <v>154</v>
      </c>
      <c r="B9" s="14" t="s">
        <v>82</v>
      </c>
      <c r="C9" s="14" t="s">
        <v>83</v>
      </c>
      <c r="F9" s="14" t="s">
        <v>109</v>
      </c>
      <c r="I9" s="14" t="s">
        <v>81</v>
      </c>
      <c r="L9" s="14">
        <v>74.900000000000006</v>
      </c>
      <c r="N9" s="14">
        <v>0.98499999999999999</v>
      </c>
      <c r="O9" s="14">
        <v>-0.15</v>
      </c>
      <c r="S9" s="14">
        <v>5</v>
      </c>
      <c r="Y9" s="15"/>
    </row>
    <row r="10" spans="1:25">
      <c r="B10" s="13" t="s">
        <v>88</v>
      </c>
      <c r="C10" s="13" t="s">
        <v>96</v>
      </c>
      <c r="D10" s="13" t="s">
        <v>102</v>
      </c>
      <c r="E10" s="13" t="s">
        <v>103</v>
      </c>
      <c r="F10" s="13" t="s">
        <v>111</v>
      </c>
      <c r="G10" s="13"/>
      <c r="H10" s="13"/>
      <c r="I10" s="7" t="s">
        <v>84</v>
      </c>
      <c r="J10" s="1">
        <f>10*53.2</f>
        <v>532</v>
      </c>
      <c r="K10" s="1">
        <v>1</v>
      </c>
      <c r="M10" s="1">
        <f>J10/K10</f>
        <v>532</v>
      </c>
      <c r="N10" s="1">
        <v>0.22500000000000001</v>
      </c>
      <c r="O10" s="1">
        <v>-1.48</v>
      </c>
      <c r="P10" s="1">
        <f>46.4*10</f>
        <v>464</v>
      </c>
      <c r="R10" s="1">
        <f>P10/K10</f>
        <v>464</v>
      </c>
      <c r="S10" s="12"/>
      <c r="T10" s="1">
        <v>1.3599999999999999E-2</v>
      </c>
      <c r="U10" s="1">
        <v>3.109</v>
      </c>
      <c r="X10" s="1">
        <f>(10*34.5)/K10</f>
        <v>345</v>
      </c>
    </row>
    <row r="11" spans="1:25">
      <c r="B11" s="13" t="s">
        <v>88</v>
      </c>
      <c r="C11" s="13" t="s">
        <v>96</v>
      </c>
      <c r="D11" s="13" t="s">
        <v>102</v>
      </c>
      <c r="E11" s="13" t="s">
        <v>103</v>
      </c>
      <c r="F11" s="13" t="s">
        <v>111</v>
      </c>
      <c r="G11" s="13"/>
      <c r="H11" s="13"/>
      <c r="I11" s="7" t="s">
        <v>60</v>
      </c>
      <c r="J11" s="1">
        <f>10*34.4</f>
        <v>344</v>
      </c>
      <c r="K11" s="1">
        <v>1</v>
      </c>
      <c r="M11" s="1">
        <f>J11/K11</f>
        <v>344</v>
      </c>
      <c r="N11" s="1">
        <v>0.4</v>
      </c>
      <c r="O11" s="1">
        <v>-0.13</v>
      </c>
      <c r="P11" s="1">
        <f>10*27.3</f>
        <v>273</v>
      </c>
      <c r="R11" s="1">
        <f>P11/K11</f>
        <v>273</v>
      </c>
      <c r="S11" s="12"/>
      <c r="T11" s="12"/>
      <c r="U11" s="12"/>
      <c r="X11" s="1" t="s">
        <v>105</v>
      </c>
    </row>
    <row r="12" spans="1:25">
      <c r="B12" s="1" t="s">
        <v>99</v>
      </c>
      <c r="C12" t="s">
        <v>98</v>
      </c>
      <c r="D12"/>
      <c r="E12"/>
      <c r="F12" t="s">
        <v>108</v>
      </c>
      <c r="G12"/>
      <c r="H12"/>
      <c r="I12" s="7" t="s">
        <v>97</v>
      </c>
      <c r="K12" s="1">
        <v>0.87</v>
      </c>
      <c r="M12" s="1">
        <v>203</v>
      </c>
      <c r="N12" s="1">
        <v>1.4308000000000001</v>
      </c>
      <c r="O12" s="1">
        <v>5.11E-2</v>
      </c>
      <c r="P12" s="1">
        <f>10*15.7</f>
        <v>157</v>
      </c>
      <c r="R12" s="4">
        <f>P12/K12</f>
        <v>180.45977011494253</v>
      </c>
      <c r="S12" s="12"/>
      <c r="T12" s="1">
        <v>8.3059999999999995E-2</v>
      </c>
      <c r="U12" s="1">
        <v>2.56968</v>
      </c>
    </row>
    <row r="23" spans="13:13" ht="31">
      <c r="M23" s="11"/>
    </row>
    <row r="27" spans="13:13">
      <c r="M27" s="10"/>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DB62-67C2-0947-A2D9-254552FA36FE}">
  <dimension ref="A1:O8"/>
  <sheetViews>
    <sheetView workbookViewId="0">
      <selection activeCell="L18" sqref="L18"/>
    </sheetView>
  </sheetViews>
  <sheetFormatPr baseColWidth="10" defaultColWidth="11.1640625" defaultRowHeight="16"/>
  <cols>
    <col min="14" max="14" width="11.6640625" bestFit="1" customWidth="1"/>
  </cols>
  <sheetData>
    <row r="1" spans="1:15">
      <c r="A1" t="s">
        <v>243</v>
      </c>
    </row>
    <row r="3" spans="1:15">
      <c r="A3" s="42"/>
      <c r="B3" s="42"/>
      <c r="C3" s="42"/>
      <c r="D3" s="42"/>
      <c r="E3" s="42"/>
      <c r="F3" s="54" t="s">
        <v>229</v>
      </c>
      <c r="G3" s="54"/>
      <c r="H3" s="54"/>
      <c r="I3" s="54"/>
      <c r="J3" s="54"/>
      <c r="K3" s="54"/>
      <c r="L3" s="42" t="s">
        <v>230</v>
      </c>
      <c r="M3" s="42"/>
      <c r="N3" s="42"/>
    </row>
    <row r="4" spans="1:15">
      <c r="A4" s="42"/>
      <c r="B4" s="42" t="s">
        <v>232</v>
      </c>
      <c r="C4" s="42"/>
      <c r="D4" s="42"/>
      <c r="E4" s="42" t="s">
        <v>211</v>
      </c>
      <c r="F4" s="42" t="s">
        <v>212</v>
      </c>
      <c r="G4" s="42" t="s">
        <v>215</v>
      </c>
      <c r="H4" s="42" t="s">
        <v>219</v>
      </c>
      <c r="I4" s="42" t="s">
        <v>220</v>
      </c>
      <c r="J4" s="42" t="s">
        <v>221</v>
      </c>
      <c r="K4" s="42" t="s">
        <v>90</v>
      </c>
      <c r="L4" s="42" t="s">
        <v>231</v>
      </c>
      <c r="M4" s="42" t="s">
        <v>264</v>
      </c>
      <c r="N4" s="42" t="s">
        <v>263</v>
      </c>
    </row>
    <row r="5" spans="1:15" ht="176" customHeight="1">
      <c r="A5" s="55" t="s">
        <v>233</v>
      </c>
      <c r="B5" s="42" t="s">
        <v>217</v>
      </c>
      <c r="C5" s="55" t="s">
        <v>216</v>
      </c>
      <c r="D5" s="42" t="s">
        <v>213</v>
      </c>
      <c r="E5" s="43" t="s">
        <v>42</v>
      </c>
      <c r="F5" s="42">
        <v>6</v>
      </c>
      <c r="G5" s="42">
        <v>2</v>
      </c>
      <c r="H5" s="42">
        <v>4</v>
      </c>
      <c r="I5" s="42" t="s">
        <v>225</v>
      </c>
      <c r="J5" s="42">
        <v>0.48599999999999999</v>
      </c>
      <c r="K5" s="42">
        <v>-0.01</v>
      </c>
      <c r="L5" s="42" t="s">
        <v>234</v>
      </c>
      <c r="M5" s="42">
        <v>226</v>
      </c>
      <c r="N5" s="48">
        <f>M5/0.97</f>
        <v>232.98969072164948</v>
      </c>
      <c r="O5" s="49">
        <f>N5/25.4</f>
        <v>9.1728224693562801</v>
      </c>
    </row>
    <row r="6" spans="1:15">
      <c r="A6" s="55"/>
      <c r="B6" s="42" t="s">
        <v>218</v>
      </c>
      <c r="C6" s="55"/>
      <c r="D6" s="42" t="s">
        <v>214</v>
      </c>
      <c r="E6" s="43" t="s">
        <v>44</v>
      </c>
      <c r="F6" s="42">
        <v>20</v>
      </c>
      <c r="G6" s="42">
        <v>3.5</v>
      </c>
      <c r="H6" s="42">
        <v>5</v>
      </c>
      <c r="I6" s="42" t="s">
        <v>224</v>
      </c>
      <c r="J6" s="42">
        <v>0.41</v>
      </c>
      <c r="K6" s="42">
        <v>0.12</v>
      </c>
      <c r="L6" s="42" t="s">
        <v>226</v>
      </c>
      <c r="M6" s="42">
        <v>473</v>
      </c>
      <c r="N6" s="48">
        <f>M6/0.91</f>
        <v>519.7802197802198</v>
      </c>
      <c r="O6" s="49">
        <f t="shared" ref="O6:O8" si="0">N6/25.4</f>
        <v>20.463788180323615</v>
      </c>
    </row>
    <row r="7" spans="1:15">
      <c r="A7" s="55"/>
      <c r="B7" s="42" t="s">
        <v>218</v>
      </c>
      <c r="C7" s="55"/>
      <c r="D7" s="44" t="s">
        <v>214</v>
      </c>
      <c r="E7" s="44" t="s">
        <v>84</v>
      </c>
      <c r="F7" s="44">
        <v>20</v>
      </c>
      <c r="G7" s="44">
        <v>3.5</v>
      </c>
      <c r="H7" s="44">
        <v>7</v>
      </c>
      <c r="I7" s="44" t="s">
        <v>222</v>
      </c>
      <c r="J7" s="44">
        <v>0.22500000000000001</v>
      </c>
      <c r="K7" s="44">
        <v>-1.48</v>
      </c>
      <c r="L7" s="44" t="s">
        <v>235</v>
      </c>
      <c r="M7" s="44">
        <v>464</v>
      </c>
      <c r="N7" s="42">
        <f>M7</f>
        <v>464</v>
      </c>
      <c r="O7" s="49">
        <f t="shared" si="0"/>
        <v>18.26771653543307</v>
      </c>
    </row>
    <row r="8" spans="1:15">
      <c r="A8" s="55"/>
      <c r="B8" s="42" t="s">
        <v>217</v>
      </c>
      <c r="C8" s="55"/>
      <c r="D8" s="42" t="s">
        <v>213</v>
      </c>
      <c r="E8" s="43" t="s">
        <v>60</v>
      </c>
      <c r="F8" s="42">
        <v>11</v>
      </c>
      <c r="G8" s="42">
        <v>2</v>
      </c>
      <c r="H8" s="42">
        <v>4</v>
      </c>
      <c r="I8" s="42" t="s">
        <v>223</v>
      </c>
      <c r="J8" s="42">
        <v>0.4</v>
      </c>
      <c r="K8" s="42">
        <v>-0.13</v>
      </c>
      <c r="L8" s="42" t="s">
        <v>105</v>
      </c>
      <c r="M8" s="42">
        <v>226</v>
      </c>
      <c r="N8" s="42">
        <f>M8</f>
        <v>226</v>
      </c>
      <c r="O8" s="49">
        <f t="shared" si="0"/>
        <v>8.8976377952755907</v>
      </c>
    </row>
  </sheetData>
  <mergeCells count="3">
    <mergeCell ref="F3:K3"/>
    <mergeCell ref="A5:A8"/>
    <mergeCell ref="C5: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Fork Length Parameters</vt:lpstr>
      <vt:lpstr>Code List</vt:lpstr>
      <vt:lpstr>Bill's List</vt:lpstr>
      <vt:lpstr>Erin's List</vt:lpstr>
      <vt:lpstr>Lit Review</vt:lpstr>
      <vt:lpstr>DeMartini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2020-06-29T21:53:21Z</dcterms:created>
  <dcterms:modified xsi:type="dcterms:W3CDTF">2020-10-05T01:08:13Z</dcterms:modified>
</cp:coreProperties>
</file>