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ff/Desktop/haarhoff-diss/data/"/>
    </mc:Choice>
  </mc:AlternateContent>
  <xr:revisionPtr revIDLastSave="0" documentId="13_ncr:1_{145732E7-3EF6-274D-8A31-0FCE6CFBDC5A}" xr6:coauthVersionLast="43" xr6:coauthVersionMax="43" xr10:uidLastSave="{00000000-0000-0000-0000-000000000000}"/>
  <bookViews>
    <workbookView xWindow="0" yWindow="460" windowWidth="27320" windowHeight="14900" xr2:uid="{FD369F4F-B4E0-4149-A12C-158FC9A88C30}"/>
  </bookViews>
  <sheets>
    <sheet name="Sheet1" sheetId="1" r:id="rId1"/>
  </sheets>
  <definedNames>
    <definedName name="Array_Count">Sheet1!$C$21</definedName>
    <definedName name="Array_Dynamics">Sheet1!$F$24</definedName>
    <definedName name="Array_Envelope">Sheet1!$F$21</definedName>
    <definedName name="Array_Torque">Sheet1!$F$22</definedName>
    <definedName name="CMG_Reaction_Torque">Sheet1!$F$18</definedName>
    <definedName name="CMG_Torque">Sheet1!$F$15</definedName>
    <definedName name="CMG_Torque_dot">Sheet1!$F$17</definedName>
    <definedName name="CMG_Torque_dot_at_rest">Sheet1!$F$16</definedName>
    <definedName name="Gimbal_Speed">Sheet1!$C$16</definedName>
    <definedName name="Gimbal_Speed_rpm">Sheet1!$C$15</definedName>
    <definedName name="Gimbal_Torque">Sheet1!$C$14</definedName>
    <definedName name="Gyro_Density">Sheet1!$C$4</definedName>
    <definedName name="Gyro_h">Sheet1!$F$6</definedName>
    <definedName name="Gyro_I_x">Sheet1!$F$5</definedName>
    <definedName name="Gyro_I_z">Sheet1!$F$4</definedName>
    <definedName name="Gyro_r1">Sheet1!$C$5</definedName>
    <definedName name="Gyro_r2">Sheet1!$C$6</definedName>
    <definedName name="Gyro_Shape">Sheet1!$C$8</definedName>
    <definedName name="Gyro_Speed">Sheet1!$C$10</definedName>
    <definedName name="Gyro_Speed_rpm">Sheet1!$C$9</definedName>
    <definedName name="Gyro_Spinup">Sheet1!$F$8</definedName>
    <definedName name="Gyro_Torque">Sheet1!$C$11</definedName>
    <definedName name="Gyro_Weight">Sheet1!$F$7</definedName>
    <definedName name="Gyro_Width">Sheet1!$C$7</definedName>
    <definedName name="System_Baserate">Sheet1!$C$27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K6" i="1" s="1"/>
  <c r="J7" i="1"/>
  <c r="K7" i="1" s="1"/>
  <c r="C16" i="1"/>
  <c r="C10" i="1"/>
  <c r="J8" i="1"/>
  <c r="K8" i="1" s="1"/>
  <c r="L8" i="1" s="1"/>
  <c r="M8" i="1" s="1"/>
  <c r="M7" i="1" l="1"/>
  <c r="F7" i="1"/>
  <c r="F27" i="1" s="1"/>
  <c r="L6" i="1"/>
  <c r="M6" i="1"/>
  <c r="L7" i="1"/>
  <c r="F4" i="1" s="1"/>
  <c r="F6" i="1" s="1"/>
  <c r="F21" i="1" s="1"/>
  <c r="F8" i="1" l="1"/>
  <c r="F18" i="1"/>
  <c r="F15" i="1"/>
  <c r="F22" i="1" s="1"/>
  <c r="F5" i="1"/>
  <c r="F16" i="1" l="1"/>
  <c r="F23" i="1" s="1"/>
  <c r="F14" i="1"/>
  <c r="F17" i="1"/>
  <c r="F24" i="1" s="1"/>
</calcChain>
</file>

<file path=xl/sharedStrings.xml><?xml version="1.0" encoding="utf-8"?>
<sst xmlns="http://schemas.openxmlformats.org/spreadsheetml/2006/main" count="75" uniqueCount="48">
  <si>
    <t>Gyroscope</t>
  </si>
  <si>
    <t>Density</t>
  </si>
  <si>
    <t>Shape</t>
  </si>
  <si>
    <t>On Axis Inertia</t>
  </si>
  <si>
    <t>Off Axis Inertia</t>
  </si>
  <si>
    <t>Momentum</t>
  </si>
  <si>
    <t>rpm</t>
  </si>
  <si>
    <t>rad/s</t>
  </si>
  <si>
    <t>kg/m^3</t>
  </si>
  <si>
    <t>Cylinder</t>
  </si>
  <si>
    <t>Hollow Cylinder</t>
  </si>
  <si>
    <t>m</t>
  </si>
  <si>
    <t>On Axis</t>
  </si>
  <si>
    <t>Off Axis</t>
  </si>
  <si>
    <t>Mass</t>
  </si>
  <si>
    <t>Outer Radius</t>
  </si>
  <si>
    <t>Inner Radius</t>
  </si>
  <si>
    <t>Volume</t>
  </si>
  <si>
    <t>Weight</t>
  </si>
  <si>
    <t>Hollow Sphere</t>
  </si>
  <si>
    <t>kg</t>
  </si>
  <si>
    <t>kg m^2</t>
  </si>
  <si>
    <t>kg m^2 rad / s</t>
  </si>
  <si>
    <t>Torque</t>
  </si>
  <si>
    <t>Max Speed</t>
  </si>
  <si>
    <t>Nm</t>
  </si>
  <si>
    <t>CMG / Gimbal</t>
  </si>
  <si>
    <t>Output Torque</t>
  </si>
  <si>
    <t>Array</t>
  </si>
  <si>
    <t>Count</t>
  </si>
  <si>
    <t>Momentum Envelope</t>
  </si>
  <si>
    <t>Torque Dynamics</t>
  </si>
  <si>
    <t>System</t>
  </si>
  <si>
    <t>Max Baserate</t>
  </si>
  <si>
    <t>Reaction Torque</t>
  </si>
  <si>
    <t>Motor Torque</t>
  </si>
  <si>
    <t>Motor Speed</t>
  </si>
  <si>
    <t>Spin Up Time</t>
  </si>
  <si>
    <t>s</t>
  </si>
  <si>
    <t>Nm/s</t>
  </si>
  <si>
    <t>Nms</t>
  </si>
  <si>
    <t>Width</t>
  </si>
  <si>
    <t>Degrees to max Speed</t>
  </si>
  <si>
    <t>°</t>
  </si>
  <si>
    <t>Dynamics at Rest</t>
  </si>
  <si>
    <t>m^3</t>
  </si>
  <si>
    <t>Sizing for Crane CMGs</t>
  </si>
  <si>
    <t>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</si>
</sst>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\ _€_-;\-* #,##0.00\ _€_-;_-* &quot;-&quot;??\ _€_-;_-@_-"/>
    <numFmt numFmtId="174" formatCode="_-* #,##0\ _€_-;\-* #,##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8" fillId="4" borderId="0" applyNumberFormat="0" applyAlignment="0" applyProtection="0"/>
    <xf numFmtId="0" fontId="3" fillId="2" borderId="0" applyNumberFormat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5" borderId="0" xfId="0" applyFill="1"/>
    <xf numFmtId="0" fontId="5" fillId="5" borderId="0" xfId="4" applyFill="1"/>
    <xf numFmtId="0" fontId="5" fillId="5" borderId="0" xfId="4" applyFill="1" applyBorder="1"/>
    <xf numFmtId="11" fontId="0" fillId="5" borderId="0" xfId="0" applyNumberFormat="1" applyFill="1" applyAlignment="1">
      <alignment horizontal="right"/>
    </xf>
    <xf numFmtId="0" fontId="5" fillId="5" borderId="0" xfId="4" applyFill="1" applyAlignment="1">
      <alignment horizontal="right"/>
    </xf>
    <xf numFmtId="43" fontId="9" fillId="5" borderId="1" xfId="1" applyFont="1" applyFill="1" applyBorder="1"/>
    <xf numFmtId="0" fontId="9" fillId="5" borderId="1" xfId="0" applyFont="1" applyFill="1" applyBorder="1"/>
    <xf numFmtId="0" fontId="0" fillId="5" borderId="0" xfId="0" applyFill="1" applyAlignment="1">
      <alignment horizontal="right"/>
    </xf>
    <xf numFmtId="0" fontId="9" fillId="5" borderId="1" xfId="0" applyFont="1" applyFill="1" applyBorder="1" applyAlignment="1">
      <alignment horizontal="right"/>
    </xf>
    <xf numFmtId="0" fontId="0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43" fontId="10" fillId="5" borderId="0" xfId="1" applyFont="1" applyFill="1"/>
    <xf numFmtId="43" fontId="10" fillId="5" borderId="1" xfId="1" applyFont="1" applyFill="1" applyBorder="1"/>
    <xf numFmtId="174" fontId="10" fillId="5" borderId="0" xfId="1" applyNumberFormat="1" applyFont="1" applyFill="1"/>
    <xf numFmtId="43" fontId="10" fillId="0" borderId="0" xfId="1" applyFont="1"/>
    <xf numFmtId="43" fontId="0" fillId="5" borderId="0" xfId="1" applyFont="1" applyFill="1" applyBorder="1"/>
    <xf numFmtId="43" fontId="0" fillId="0" borderId="0" xfId="1" applyFont="1" applyBorder="1"/>
    <xf numFmtId="43" fontId="9" fillId="6" borderId="0" xfId="1" applyFont="1" applyFill="1" applyBorder="1"/>
    <xf numFmtId="43" fontId="9" fillId="6" borderId="0" xfId="1" applyFont="1" applyFill="1" applyBorder="1" applyAlignment="1">
      <alignment horizontal="right"/>
    </xf>
    <xf numFmtId="174" fontId="10" fillId="7" borderId="0" xfId="3" applyNumberFormat="1" applyFont="1" applyFill="1"/>
    <xf numFmtId="174" fontId="2" fillId="6" borderId="0" xfId="1" applyNumberFormat="1" applyFont="1" applyFill="1" applyBorder="1"/>
    <xf numFmtId="174" fontId="9" fillId="6" borderId="0" xfId="1" applyNumberFormat="1" applyFont="1" applyFill="1" applyBorder="1"/>
    <xf numFmtId="174" fontId="9" fillId="7" borderId="0" xfId="1" applyNumberFormat="1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6" fillId="5" borderId="0" xfId="0" applyFont="1" applyFill="1" applyAlignment="1">
      <alignment horizontal="right"/>
    </xf>
    <xf numFmtId="0" fontId="11" fillId="5" borderId="1" xfId="2" applyFont="1" applyFill="1" applyBorder="1"/>
    <xf numFmtId="0" fontId="12" fillId="3" borderId="0" xfId="0" applyFont="1" applyFill="1"/>
    <xf numFmtId="43" fontId="7" fillId="3" borderId="0" xfId="1" applyFont="1" applyFill="1" applyBorder="1"/>
    <xf numFmtId="0" fontId="7" fillId="3" borderId="0" xfId="0" applyFont="1" applyFill="1"/>
    <xf numFmtId="43" fontId="4" fillId="3" borderId="0" xfId="1" applyFont="1" applyFill="1"/>
    <xf numFmtId="0" fontId="7" fillId="5" borderId="0" xfId="0" applyFont="1" applyFill="1"/>
    <xf numFmtId="43" fontId="10" fillId="7" borderId="0" xfId="3" applyNumberFormat="1" applyFont="1" applyFill="1"/>
  </cellXfs>
  <cellStyles count="5">
    <cellStyle name="Comma" xfId="1" builtinId="3"/>
    <cellStyle name="Explanatory Text" xfId="4" builtinId="53"/>
    <cellStyle name="Heading 2" xfId="2" builtinId="17" customBuiltin="1"/>
    <cellStyle name="Normal" xfId="0" builtinId="0"/>
    <cellStyle name="Output" xfId="3" builtinId="2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fgColor auto="1"/>
        </patternFill>
      </fill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5" formatCode="0.00E+00"/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numFmt numFmtId="15" formatCode="0.00E+00"/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numFmt numFmtId="15" formatCode="0.00E+00"/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numFmt numFmtId="15" formatCode="0.00E+00"/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1" defaultTableStyle="TableStyleMedium2" defaultPivotStyle="PivotStyleLight16">
    <tableStyle name="Table Style 1" pivot="0" count="1" xr9:uid="{E7896E7A-237E-B741-83CB-AF4A49AB5C65}"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0EEB6-EF73-EF4A-8E9A-9EE53B29AE55}" name="Table1" displayName="Table1" ref="I5:M8" totalsRowShown="0" headerRowDxfId="6" dataDxfId="14">
  <autoFilter ref="I5:M8" xr:uid="{174030FB-02D0-7043-B3AD-48F75EC3487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13AD734-35C2-D245-8C70-56E8DDA3BD90}" name="Shape" dataDxfId="13"/>
    <tableColumn id="2" xr3:uid="{17052957-B1EF-C643-89B2-9569E3E83857}" name="Volume" dataDxfId="12"/>
    <tableColumn id="3" xr3:uid="{338A0649-A23B-2744-888C-113F6A06AD4D}" name="Mass" dataDxfId="11">
      <calculatedColumnFormula>Table1[[#This Row],[Volume]]*Gyro_Density</calculatedColumnFormula>
    </tableColumn>
    <tableColumn id="4" xr3:uid="{7F1A8EE1-405F-9E46-8F49-5DAD2247A956}" name="On Axis" dataDxfId="10"/>
    <tableColumn id="5" xr3:uid="{FF0B98AB-F343-A047-A7DA-F6782D7FF52C}" name="Off Axis" dataDxfId="9"/>
  </tableColumns>
  <tableStyleInfo name="Table Style 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9193-D266-6641-9937-C48BA4A2BEBF}">
  <dimension ref="A1:N28"/>
  <sheetViews>
    <sheetView tabSelected="1" workbookViewId="0">
      <selection activeCell="P14" sqref="P14"/>
    </sheetView>
  </sheetViews>
  <sheetFormatPr baseColWidth="10" defaultRowHeight="16" x14ac:dyDescent="0.2"/>
  <cols>
    <col min="1" max="1" width="2.6640625" style="1" customWidth="1"/>
    <col min="2" max="2" width="14.83203125" style="17" customWidth="1"/>
    <col min="3" max="3" width="15.1640625" bestFit="1" customWidth="1"/>
    <col min="4" max="4" width="8" bestFit="1" customWidth="1"/>
    <col min="5" max="5" width="19.6640625" style="15" bestFit="1" customWidth="1"/>
    <col min="6" max="6" width="14.1640625" customWidth="1"/>
    <col min="7" max="7" width="13.5" style="1" bestFit="1" customWidth="1"/>
    <col min="8" max="8" width="2.5" customWidth="1"/>
    <col min="9" max="9" width="13.83203125" bestFit="1" customWidth="1"/>
    <col min="10" max="10" width="8.33203125" bestFit="1" customWidth="1"/>
    <col min="11" max="11" width="8.6640625" bestFit="1" customWidth="1"/>
    <col min="12" max="12" width="8.33203125" bestFit="1" customWidth="1"/>
    <col min="13" max="13" width="8.33203125" style="1" bestFit="1" customWidth="1"/>
    <col min="14" max="14" width="2.1640625" style="1" customWidth="1"/>
  </cols>
  <sheetData>
    <row r="1" spans="2:13" s="32" customFormat="1" ht="32" customHeight="1" x14ac:dyDescent="0.3">
      <c r="B1" s="28" t="s">
        <v>46</v>
      </c>
      <c r="C1" s="29"/>
      <c r="D1" s="30"/>
      <c r="E1" s="30"/>
      <c r="F1" s="31"/>
      <c r="G1" s="30"/>
    </row>
    <row r="2" spans="2:13" s="1" customFormat="1" x14ac:dyDescent="0.2">
      <c r="C2" s="16"/>
      <c r="F2" s="12"/>
    </row>
    <row r="3" spans="2:13" ht="20" thickBot="1" x14ac:dyDescent="0.3">
      <c r="B3" s="27" t="s">
        <v>0</v>
      </c>
      <c r="C3" s="6"/>
      <c r="D3" s="7"/>
      <c r="E3" s="7"/>
      <c r="F3" s="13"/>
      <c r="G3" s="7"/>
      <c r="H3" s="1"/>
      <c r="I3" s="1"/>
      <c r="J3" s="1"/>
      <c r="K3" s="1"/>
      <c r="L3" s="1"/>
    </row>
    <row r="4" spans="2:13" x14ac:dyDescent="0.2">
      <c r="B4" s="10" t="s">
        <v>1</v>
      </c>
      <c r="C4" s="22">
        <v>8050</v>
      </c>
      <c r="D4" s="2" t="s">
        <v>8</v>
      </c>
      <c r="E4" s="8" t="s">
        <v>3</v>
      </c>
      <c r="F4" s="33">
        <f>INDEX(Table1[On Axis], MATCH(Gyro_Shape,Table1[Shape],0))</f>
        <v>0.55321483134307803</v>
      </c>
      <c r="G4" s="2" t="s">
        <v>21</v>
      </c>
      <c r="H4" s="1"/>
      <c r="I4" s="1"/>
      <c r="J4" s="5" t="s">
        <v>45</v>
      </c>
      <c r="K4" s="5" t="s">
        <v>20</v>
      </c>
      <c r="L4" s="5" t="s">
        <v>21</v>
      </c>
      <c r="M4" s="5" t="s">
        <v>21</v>
      </c>
    </row>
    <row r="5" spans="2:13" x14ac:dyDescent="0.2">
      <c r="B5" s="10" t="s">
        <v>16</v>
      </c>
      <c r="C5" s="18">
        <v>0.15</v>
      </c>
      <c r="D5" s="2" t="s">
        <v>11</v>
      </c>
      <c r="E5" s="8" t="s">
        <v>4</v>
      </c>
      <c r="F5" s="33">
        <f>INDEX(Table1[Off Axis], MATCH(Gyro_Shape,Table1[Shape],0))</f>
        <v>0.27896779895193613</v>
      </c>
      <c r="G5" s="2" t="s">
        <v>21</v>
      </c>
      <c r="H5" s="1"/>
      <c r="I5" s="24" t="s">
        <v>2</v>
      </c>
      <c r="J5" s="25" t="s">
        <v>17</v>
      </c>
      <c r="K5" s="25" t="s">
        <v>14</v>
      </c>
      <c r="L5" s="25" t="s">
        <v>12</v>
      </c>
      <c r="M5" s="25" t="s">
        <v>13</v>
      </c>
    </row>
    <row r="6" spans="2:13" x14ac:dyDescent="0.2">
      <c r="B6" s="10" t="s">
        <v>15</v>
      </c>
      <c r="C6" s="18">
        <v>0.2</v>
      </c>
      <c r="D6" s="2" t="s">
        <v>11</v>
      </c>
      <c r="E6" s="8" t="s">
        <v>5</v>
      </c>
      <c r="F6" s="33">
        <f>Gyro_I_z*Gyro_Speed_rpm</f>
        <v>663.85779761169363</v>
      </c>
      <c r="G6" s="2" t="s">
        <v>22</v>
      </c>
      <c r="H6" s="1"/>
      <c r="I6" s="1" t="s">
        <v>9</v>
      </c>
      <c r="J6" s="4">
        <f>PI() * Gyro_r2^2 * Gyro_Width</f>
        <v>5.0265482457436698E-3</v>
      </c>
      <c r="K6" s="4">
        <f>Table1[[#This Row],[Volume]]*Gyro_Density</f>
        <v>40.463713378236541</v>
      </c>
      <c r="L6" s="4">
        <f>1/2 * Table1[[#This Row],[Mass]] * Gyro_r2^2</f>
        <v>0.80927426756473098</v>
      </c>
      <c r="M6" s="4">
        <f>1/12 * Table1[[#This Row],[Mass]] * (3*Gyro_r2^2 + Gyro_Width^2)</f>
        <v>0.41003229556613036</v>
      </c>
    </row>
    <row r="7" spans="2:13" x14ac:dyDescent="0.2">
      <c r="B7" s="10" t="s">
        <v>41</v>
      </c>
      <c r="C7" s="18">
        <v>0.04</v>
      </c>
      <c r="D7" s="2" t="s">
        <v>11</v>
      </c>
      <c r="E7" s="8" t="s">
        <v>18</v>
      </c>
      <c r="F7" s="20">
        <f>INDEX(Table1[Mass], MATCH(Gyro_Shape,Table1[Shape],0))</f>
        <v>17.702874602978497</v>
      </c>
      <c r="G7" s="2" t="s">
        <v>20</v>
      </c>
      <c r="H7" s="1"/>
      <c r="I7" s="1" t="s">
        <v>10</v>
      </c>
      <c r="J7" s="4">
        <f>PI() *( Gyro_r2^2 - Gyro_r1^2) * Gyro_Width</f>
        <v>2.1991148575128566E-3</v>
      </c>
      <c r="K7" s="4">
        <f>Table1[[#This Row],[Volume]]*Gyro_Density</f>
        <v>17.702874602978497</v>
      </c>
      <c r="L7" s="4">
        <f>1/2 * Table1[[#This Row],[Mass]] * (Gyro_r2^2 + Gyro_r1^2)</f>
        <v>0.55321483134307803</v>
      </c>
      <c r="M7" s="4">
        <f xml:space="preserve"> 1/12 * Table1[[#This Row],[Mass]] * ( 3* (Gyro_r2^2 + Gyro_r1^2) + Gyro_Width^2)</f>
        <v>0.27896779895193613</v>
      </c>
    </row>
    <row r="8" spans="2:13" x14ac:dyDescent="0.2">
      <c r="B8" s="10" t="s">
        <v>2</v>
      </c>
      <c r="C8" s="19" t="s">
        <v>10</v>
      </c>
      <c r="D8" s="2"/>
      <c r="E8" s="8" t="s">
        <v>37</v>
      </c>
      <c r="F8" s="20">
        <f>Gyro_Speed/(Gyro_Torque/Gyro_I_z)</f>
        <v>34.759513000086606</v>
      </c>
      <c r="G8" s="3" t="s">
        <v>38</v>
      </c>
      <c r="H8" s="1"/>
      <c r="I8" s="1" t="s">
        <v>19</v>
      </c>
      <c r="J8" s="4">
        <f>4/3 * PI() * Gyro_r2^3 - 4/3 * PI() * Gyro_r1^3</f>
        <v>1.9373154697137063E-2</v>
      </c>
      <c r="K8" s="4">
        <f>Table1[[#This Row],[Volume]]*Gyro_Density</f>
        <v>155.95389531195337</v>
      </c>
      <c r="L8" s="4">
        <f>2/5 * Table1[[#This Row],[Mass]] * ((Gyro_r2^5 - Gyro_r1^5)/(Gyro_r2^3 - Gyro_r1^3))</f>
        <v>3.291891682125287</v>
      </c>
      <c r="M8" s="4">
        <f>Table1[[#This Row],[On Axis]]</f>
        <v>3.291891682125287</v>
      </c>
    </row>
    <row r="9" spans="2:13" x14ac:dyDescent="0.2">
      <c r="B9" s="10" t="s">
        <v>36</v>
      </c>
      <c r="C9" s="22">
        <v>1200</v>
      </c>
      <c r="D9" s="2" t="s">
        <v>6</v>
      </c>
      <c r="E9" s="8"/>
      <c r="F9" s="12"/>
      <c r="H9" s="1"/>
      <c r="I9" s="1"/>
      <c r="J9" s="1"/>
      <c r="K9" s="1"/>
      <c r="L9" s="1"/>
    </row>
    <row r="10" spans="2:13" x14ac:dyDescent="0.2">
      <c r="B10" s="11"/>
      <c r="C10" s="23">
        <f>Gyro_Speed_rpm * PI() / 30</f>
        <v>125.66370614359172</v>
      </c>
      <c r="D10" s="2" t="s">
        <v>7</v>
      </c>
      <c r="E10" s="8"/>
      <c r="F10" s="12"/>
      <c r="H10" s="1"/>
      <c r="I10" s="1"/>
      <c r="J10" s="1"/>
      <c r="K10" s="1"/>
      <c r="L10" s="1"/>
    </row>
    <row r="11" spans="2:13" x14ac:dyDescent="0.2">
      <c r="B11" s="11" t="s">
        <v>35</v>
      </c>
      <c r="C11" s="18">
        <v>2</v>
      </c>
      <c r="D11" s="3" t="s">
        <v>25</v>
      </c>
      <c r="E11" s="8"/>
      <c r="F11" s="12"/>
      <c r="H11" s="1"/>
      <c r="I11" s="1"/>
      <c r="J11" s="1"/>
      <c r="K11" s="1"/>
      <c r="L11" s="1"/>
    </row>
    <row r="12" spans="2:13" x14ac:dyDescent="0.2">
      <c r="B12" s="1"/>
      <c r="C12" s="16"/>
      <c r="D12" s="1"/>
      <c r="E12" s="8"/>
      <c r="F12" s="12"/>
      <c r="H12" s="1"/>
      <c r="I12" s="1"/>
      <c r="J12" s="1"/>
      <c r="K12" s="1"/>
      <c r="L12" s="1"/>
    </row>
    <row r="13" spans="2:13" ht="20" thickBot="1" x14ac:dyDescent="0.3">
      <c r="B13" s="27" t="s">
        <v>26</v>
      </c>
      <c r="C13" s="6"/>
      <c r="D13" s="7"/>
      <c r="E13" s="9"/>
      <c r="F13" s="13"/>
      <c r="G13" s="7"/>
      <c r="H13" s="1"/>
      <c r="I13" s="1"/>
      <c r="J13" s="1"/>
      <c r="K13" s="1"/>
      <c r="L13" s="1"/>
    </row>
    <row r="14" spans="2:13" x14ac:dyDescent="0.2">
      <c r="B14" s="1" t="s">
        <v>35</v>
      </c>
      <c r="C14" s="21">
        <v>500</v>
      </c>
      <c r="D14" s="3" t="s">
        <v>25</v>
      </c>
      <c r="E14" s="8" t="s">
        <v>42</v>
      </c>
      <c r="F14" s="20">
        <f>DEGREES(Gimbal_Speed / (Gimbal_Torque/Gyro_I_x) * Gimbal_Speed_rpm/2)</f>
        <v>0.16738067937116166</v>
      </c>
      <c r="G14" s="3" t="s">
        <v>43</v>
      </c>
      <c r="H14" s="1"/>
      <c r="I14" s="1"/>
      <c r="J14" s="1"/>
      <c r="K14" s="1"/>
      <c r="L14" s="1"/>
    </row>
    <row r="15" spans="2:13" x14ac:dyDescent="0.2">
      <c r="B15" s="1" t="s">
        <v>24</v>
      </c>
      <c r="C15" s="21">
        <v>10</v>
      </c>
      <c r="D15" s="3" t="s">
        <v>6</v>
      </c>
      <c r="E15" s="8" t="s">
        <v>27</v>
      </c>
      <c r="F15" s="20">
        <f>Gimbal_Speed*Gyro_h</f>
        <v>695.1902600017321</v>
      </c>
      <c r="G15" s="3" t="s">
        <v>25</v>
      </c>
      <c r="H15" s="1"/>
      <c r="I15" s="1"/>
      <c r="J15" s="1"/>
      <c r="K15" s="1"/>
      <c r="L15" s="1"/>
    </row>
    <row r="16" spans="2:13" x14ac:dyDescent="0.2">
      <c r="B16" s="1"/>
      <c r="C16" s="23">
        <f>Gimbal_Speed_rpm * PI() / 30</f>
        <v>1.0471975511965976</v>
      </c>
      <c r="D16" s="3" t="s">
        <v>7</v>
      </c>
      <c r="E16" s="8" t="s">
        <v>44</v>
      </c>
      <c r="F16" s="20">
        <f>(Gimbal_Torque/Gyro_I_x)*Gyro_h</f>
        <v>1189846.6419883659</v>
      </c>
      <c r="G16" s="3" t="s">
        <v>39</v>
      </c>
      <c r="H16" s="1"/>
      <c r="I16" s="1"/>
      <c r="J16" s="1"/>
      <c r="K16" s="1"/>
      <c r="L16" s="1"/>
    </row>
    <row r="17" spans="2:12" x14ac:dyDescent="0.2">
      <c r="B17" s="1"/>
      <c r="C17" s="16"/>
      <c r="D17" s="3"/>
      <c r="E17" s="8" t="s">
        <v>31</v>
      </c>
      <c r="F17" s="20">
        <f>((Gimbal_Torque-CMG_Reaction_Torque)/Gyro_I_x)*Gyro_h</f>
        <v>-14607932.782932952</v>
      </c>
      <c r="G17" s="3" t="s">
        <v>39</v>
      </c>
      <c r="H17" s="1"/>
      <c r="I17" s="1"/>
      <c r="J17" s="1"/>
      <c r="K17" s="1"/>
      <c r="L17" s="1"/>
    </row>
    <row r="18" spans="2:12" x14ac:dyDescent="0.2">
      <c r="B18" s="1"/>
      <c r="C18" s="16"/>
      <c r="D18" s="1"/>
      <c r="E18" s="26" t="s">
        <v>34</v>
      </c>
      <c r="F18" s="20">
        <f>Gyro_h * System_Baserate</f>
        <v>6638.577976116936</v>
      </c>
      <c r="G18" s="3" t="s">
        <v>25</v>
      </c>
      <c r="H18" s="1"/>
      <c r="I18" s="1"/>
      <c r="J18" s="1"/>
      <c r="K18" s="1"/>
      <c r="L18" s="1"/>
    </row>
    <row r="19" spans="2:12" x14ac:dyDescent="0.2">
      <c r="B19" s="1"/>
      <c r="C19" s="16"/>
      <c r="D19" s="1"/>
      <c r="E19" s="8"/>
      <c r="F19" s="14"/>
      <c r="H19" s="1"/>
      <c r="I19" s="1"/>
      <c r="J19" s="1"/>
      <c r="K19" s="1"/>
      <c r="L19" s="1"/>
    </row>
    <row r="20" spans="2:12" ht="20" thickBot="1" x14ac:dyDescent="0.3">
      <c r="B20" s="27" t="s">
        <v>28</v>
      </c>
      <c r="C20" s="6"/>
      <c r="D20" s="7"/>
      <c r="E20" s="9"/>
      <c r="F20" s="13"/>
      <c r="G20" s="7"/>
      <c r="H20" s="1"/>
      <c r="I20" s="27" t="s">
        <v>47</v>
      </c>
      <c r="J20" s="1"/>
      <c r="K20" s="1"/>
      <c r="L20" s="1"/>
    </row>
    <row r="21" spans="2:12" x14ac:dyDescent="0.2">
      <c r="B21" s="1" t="s">
        <v>29</v>
      </c>
      <c r="C21" s="21">
        <v>4</v>
      </c>
      <c r="D21" s="1"/>
      <c r="E21" s="26" t="s">
        <v>30</v>
      </c>
      <c r="F21" s="20">
        <f>Gyro_h*Array_Count</f>
        <v>2655.4311904467745</v>
      </c>
      <c r="G21" s="3" t="s">
        <v>40</v>
      </c>
      <c r="H21" s="1"/>
      <c r="I21" s="22">
        <v>2500</v>
      </c>
      <c r="J21" s="3" t="s">
        <v>40</v>
      </c>
      <c r="K21" s="1"/>
      <c r="L21" s="1"/>
    </row>
    <row r="22" spans="2:12" x14ac:dyDescent="0.2">
      <c r="B22" s="1"/>
      <c r="C22" s="16"/>
      <c r="D22" s="1"/>
      <c r="E22" s="26" t="s">
        <v>23</v>
      </c>
      <c r="F22" s="20">
        <f>CMG_Torque*Array_Count</f>
        <v>2780.7610400069284</v>
      </c>
      <c r="G22" s="3" t="s">
        <v>25</v>
      </c>
      <c r="H22" s="1"/>
      <c r="I22" s="22">
        <v>2000</v>
      </c>
      <c r="J22" s="3" t="s">
        <v>25</v>
      </c>
      <c r="K22" s="1"/>
      <c r="L22" s="1"/>
    </row>
    <row r="23" spans="2:12" x14ac:dyDescent="0.2">
      <c r="B23" s="1"/>
      <c r="C23" s="16"/>
      <c r="D23" s="1"/>
      <c r="E23" s="26" t="s">
        <v>44</v>
      </c>
      <c r="F23" s="20">
        <f>CMG_Torque_dot_at_rest*Array_Count</f>
        <v>4759386.5679534636</v>
      </c>
      <c r="G23" s="3" t="s">
        <v>39</v>
      </c>
      <c r="H23" s="1"/>
      <c r="I23" s="22">
        <v>2000000</v>
      </c>
      <c r="J23" s="3" t="s">
        <v>39</v>
      </c>
      <c r="K23" s="1"/>
      <c r="L23" s="1"/>
    </row>
    <row r="24" spans="2:12" x14ac:dyDescent="0.2">
      <c r="B24" s="1"/>
      <c r="C24" s="16"/>
      <c r="D24" s="1"/>
      <c r="E24" s="8" t="s">
        <v>31</v>
      </c>
      <c r="F24" s="20">
        <f>F17*Array_Count</f>
        <v>-58431731.131731808</v>
      </c>
      <c r="G24" s="3" t="s">
        <v>39</v>
      </c>
      <c r="H24" s="1"/>
      <c r="I24" s="22">
        <v>100</v>
      </c>
      <c r="J24" s="3" t="s">
        <v>39</v>
      </c>
      <c r="K24" s="1"/>
      <c r="L24" s="1"/>
    </row>
    <row r="25" spans="2:12" x14ac:dyDescent="0.2">
      <c r="B25" s="1"/>
      <c r="C25" s="16"/>
      <c r="D25" s="1"/>
      <c r="E25" s="1"/>
      <c r="F25" s="12"/>
      <c r="H25" s="1"/>
      <c r="I25" s="1"/>
      <c r="J25" s="1"/>
      <c r="K25" s="1"/>
      <c r="L25" s="1"/>
    </row>
    <row r="26" spans="2:12" ht="20" thickBot="1" x14ac:dyDescent="0.3">
      <c r="B26" s="27" t="s">
        <v>32</v>
      </c>
      <c r="C26" s="6"/>
      <c r="D26" s="7"/>
      <c r="E26" s="7"/>
      <c r="F26" s="13"/>
      <c r="G26" s="7"/>
      <c r="H26" s="1"/>
      <c r="I26" s="1"/>
      <c r="J26" s="1"/>
      <c r="K26" s="1"/>
      <c r="L26" s="1"/>
    </row>
    <row r="27" spans="2:12" x14ac:dyDescent="0.2">
      <c r="B27" s="1" t="s">
        <v>33</v>
      </c>
      <c r="C27" s="21">
        <v>10</v>
      </c>
      <c r="D27" s="3" t="s">
        <v>7</v>
      </c>
      <c r="E27" s="8" t="s">
        <v>18</v>
      </c>
      <c r="F27" s="20">
        <f>Gyro_Weight*Array_Count</f>
        <v>70.811498411913988</v>
      </c>
      <c r="G27" s="3" t="s">
        <v>20</v>
      </c>
      <c r="H27" s="1"/>
      <c r="I27" s="1"/>
      <c r="J27" s="1"/>
      <c r="K27" s="1"/>
      <c r="L27" s="1"/>
    </row>
    <row r="28" spans="2:12" s="1" customFormat="1" x14ac:dyDescent="0.2">
      <c r="B28" s="16"/>
      <c r="E28" s="12"/>
    </row>
  </sheetData>
  <conditionalFormatting sqref="F17">
    <cfRule type="cellIs" dxfId="4" priority="5" operator="lessThan">
      <formula>0</formula>
    </cfRule>
  </conditionalFormatting>
  <conditionalFormatting sqref="F14">
    <cfRule type="cellIs" dxfId="3" priority="4" operator="greaterThan">
      <formula>90</formula>
    </cfRule>
  </conditionalFormatting>
  <conditionalFormatting sqref="F18">
    <cfRule type="cellIs" dxfId="2" priority="3" operator="greaterThan">
      <formula>$C$14</formula>
    </cfRule>
  </conditionalFormatting>
  <conditionalFormatting sqref="F21">
    <cfRule type="cellIs" dxfId="1" priority="2" operator="greaterThan">
      <formula>$I$21</formula>
    </cfRule>
  </conditionalFormatting>
  <conditionalFormatting sqref="F22:F24">
    <cfRule type="cellIs" dxfId="0" priority="1" operator="greaterThan">
      <formula>$I$21</formula>
    </cfRule>
  </conditionalFormatting>
  <dataValidations count="1">
    <dataValidation type="list" showInputMessage="1" showErrorMessage="1" sqref="C8" xr:uid="{E4B493D3-B2BC-2147-BEA4-4CFEEC58B8E7}">
      <formula1>$I$6:$I$8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25</vt:i4>
      </vt:variant>
    </vt:vector>
  </HeadingPairs>
  <TitlesOfParts>
    <vt:vector size="26" baseType="lpstr">
      <vt:lpstr>Sheet1</vt:lpstr>
      <vt:lpstr>Array_Count</vt:lpstr>
      <vt:lpstr>Array_Dynamics</vt:lpstr>
      <vt:lpstr>Array_Envelope</vt:lpstr>
      <vt:lpstr>Array_Torque</vt:lpstr>
      <vt:lpstr>CMG_Reaction_Torque</vt:lpstr>
      <vt:lpstr>CMG_Torque</vt:lpstr>
      <vt:lpstr>CMG_Torque_dot</vt:lpstr>
      <vt:lpstr>CMG_Torque_dot_at_rest</vt:lpstr>
      <vt:lpstr>Gimbal_Speed</vt:lpstr>
      <vt:lpstr>Gimbal_Speed_rpm</vt:lpstr>
      <vt:lpstr>Gimbal_Torque</vt:lpstr>
      <vt:lpstr>Gyro_Density</vt:lpstr>
      <vt:lpstr>Gyro_h</vt:lpstr>
      <vt:lpstr>Gyro_I_x</vt:lpstr>
      <vt:lpstr>Gyro_I_z</vt:lpstr>
      <vt:lpstr>Gyro_r1</vt:lpstr>
      <vt:lpstr>Gyro_r2</vt:lpstr>
      <vt:lpstr>Gyro_Shape</vt:lpstr>
      <vt:lpstr>Gyro_Speed</vt:lpstr>
      <vt:lpstr>Gyro_Speed_rpm</vt:lpstr>
      <vt:lpstr>Gyro_Spinup</vt:lpstr>
      <vt:lpstr>Gyro_Torque</vt:lpstr>
      <vt:lpstr>Gyro_Weight</vt:lpstr>
      <vt:lpstr>Gyro_Width</vt:lpstr>
      <vt:lpstr>System_Baserate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Haarhoff</dc:creator>
  <cp:lastModifiedBy>Daniel Haarhoff</cp:lastModifiedBy>
  <dcterms:created xsi:type="dcterms:W3CDTF">2019-05-15T11:12:23Z</dcterms:created>
  <dcterms:modified xsi:type="dcterms:W3CDTF">2019-05-15T14:17:07Z</dcterms:modified>
</cp:coreProperties>
</file>