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0" i="1" l="1"/>
  <c r="BB10" i="1"/>
  <c r="BA9" i="1"/>
  <c r="BB9" i="1"/>
  <c r="BA8" i="1"/>
  <c r="BA11" i="1" s="1"/>
  <c r="BB8" i="1"/>
  <c r="BB11" i="1" s="1"/>
  <c r="AY10" i="1"/>
  <c r="AY9" i="1"/>
  <c r="AY8" i="1"/>
  <c r="AY11" i="1" s="1"/>
  <c r="AZ10" i="1"/>
  <c r="AZ9" i="1"/>
  <c r="AZ8" i="1"/>
  <c r="BB24" i="1"/>
  <c r="BA24" i="1"/>
  <c r="AZ24" i="1"/>
  <c r="AY24" i="1"/>
  <c r="BB23" i="1"/>
  <c r="BA23" i="1"/>
  <c r="AZ23" i="1"/>
  <c r="AY23" i="1"/>
  <c r="BB22" i="1"/>
  <c r="BB25" i="1" s="1"/>
  <c r="BA22" i="1"/>
  <c r="BA25" i="1" s="1"/>
  <c r="AZ22" i="1"/>
  <c r="AZ25" i="1" s="1"/>
  <c r="AY22" i="1"/>
  <c r="AY25" i="1" s="1"/>
  <c r="BB17" i="1"/>
  <c r="BA17" i="1"/>
  <c r="AZ17" i="1"/>
  <c r="AY17" i="1"/>
  <c r="BB16" i="1"/>
  <c r="BA16" i="1"/>
  <c r="AZ16" i="1"/>
  <c r="AY16" i="1"/>
  <c r="BB15" i="1"/>
  <c r="BB18" i="1" s="1"/>
  <c r="BA15" i="1"/>
  <c r="BA18" i="1" s="1"/>
  <c r="AZ15" i="1"/>
  <c r="AZ18" i="1" s="1"/>
  <c r="AY15" i="1"/>
  <c r="AY18" i="1" s="1"/>
  <c r="AZ11" i="1"/>
  <c r="AT9" i="1" l="1"/>
  <c r="AT8" i="1"/>
  <c r="AT7" i="1"/>
  <c r="AS9" i="1"/>
  <c r="AS8" i="1"/>
  <c r="AS10" i="1" s="1"/>
  <c r="AS7" i="1"/>
  <c r="AR9" i="1"/>
  <c r="AR8" i="1"/>
  <c r="AR7" i="1"/>
  <c r="AQ9" i="1"/>
  <c r="AQ8" i="1"/>
  <c r="AQ7" i="1"/>
  <c r="AL23" i="1"/>
  <c r="AQ23" i="1"/>
  <c r="AQ22" i="1"/>
  <c r="AQ21" i="1"/>
  <c r="AR23" i="1"/>
  <c r="AR22" i="1"/>
  <c r="AR24" i="1" s="1"/>
  <c r="AR21" i="1"/>
  <c r="AS23" i="1"/>
  <c r="AS22" i="1"/>
  <c r="AS21" i="1"/>
  <c r="AT23" i="1"/>
  <c r="AT22" i="1"/>
  <c r="AT21" i="1"/>
  <c r="AT24" i="1" s="1"/>
  <c r="AT16" i="1"/>
  <c r="AT15" i="1"/>
  <c r="AT14" i="1"/>
  <c r="AS16" i="1"/>
  <c r="AS15" i="1"/>
  <c r="AS14" i="1"/>
  <c r="AR16" i="1"/>
  <c r="AR15" i="1"/>
  <c r="AR14" i="1"/>
  <c r="AQ16" i="1"/>
  <c r="AQ15" i="1"/>
  <c r="AQ17" i="1" s="1"/>
  <c r="AQ14" i="1"/>
  <c r="AS24" i="1"/>
  <c r="AM16" i="1"/>
  <c r="AL16" i="1"/>
  <c r="AM15" i="1"/>
  <c r="AM14" i="1"/>
  <c r="AK16" i="1"/>
  <c r="AL15" i="1"/>
  <c r="AL14" i="1"/>
  <c r="AK15" i="1"/>
  <c r="AK14" i="1"/>
  <c r="AJ16" i="1"/>
  <c r="AJ15" i="1"/>
  <c r="AJ14" i="1"/>
  <c r="AJ9" i="1"/>
  <c r="AJ8" i="1"/>
  <c r="AJ7" i="1"/>
  <c r="AJ10" i="1" s="1"/>
  <c r="AK9" i="1"/>
  <c r="AK8" i="1"/>
  <c r="AK7" i="1"/>
  <c r="AL9" i="1"/>
  <c r="AL8" i="1"/>
  <c r="AL7" i="1"/>
  <c r="AM9" i="1"/>
  <c r="AM8" i="1"/>
  <c r="AM7" i="1"/>
  <c r="AM23" i="1"/>
  <c r="AM22" i="1"/>
  <c r="AM21" i="1"/>
  <c r="AL22" i="1"/>
  <c r="AL21" i="1"/>
  <c r="AL24" i="1" s="1"/>
  <c r="AK23" i="1"/>
  <c r="AK22" i="1"/>
  <c r="AK21" i="1"/>
  <c r="AJ23" i="1"/>
  <c r="AJ22" i="1"/>
  <c r="AJ21" i="1"/>
  <c r="AK17" i="1"/>
  <c r="AK10" i="1"/>
  <c r="AT10" i="1" l="1"/>
  <c r="AR10" i="1"/>
  <c r="AQ10" i="1"/>
  <c r="AQ24" i="1"/>
  <c r="AT17" i="1"/>
  <c r="AS17" i="1"/>
  <c r="AR17" i="1"/>
  <c r="AM17" i="1"/>
  <c r="AL17" i="1"/>
  <c r="AJ17" i="1"/>
  <c r="AL10" i="1"/>
  <c r="AM10" i="1"/>
  <c r="AM24" i="1"/>
  <c r="AK24" i="1"/>
  <c r="AJ24" i="1"/>
  <c r="R35" i="1"/>
  <c r="R37" i="1" s="1"/>
  <c r="R36" i="1"/>
  <c r="R32" i="1"/>
  <c r="R33" i="1"/>
  <c r="R29" i="1"/>
  <c r="R30" i="1"/>
  <c r="S35" i="1"/>
  <c r="S36" i="1"/>
  <c r="S32" i="1"/>
  <c r="S33" i="1"/>
  <c r="S29" i="1"/>
  <c r="S30" i="1"/>
  <c r="S31" i="1" s="1"/>
  <c r="T36" i="1"/>
  <c r="T35" i="1"/>
  <c r="T32" i="1"/>
  <c r="T33" i="1"/>
  <c r="T30" i="1"/>
  <c r="T29" i="1"/>
  <c r="U32" i="1"/>
  <c r="U36" i="1"/>
  <c r="U29" i="1"/>
  <c r="U35" i="1"/>
  <c r="U33" i="1"/>
  <c r="U30" i="1"/>
  <c r="AA23" i="1"/>
  <c r="AA22" i="1"/>
  <c r="AA24" i="1"/>
  <c r="AC21" i="1"/>
  <c r="AC22" i="1"/>
  <c r="AC23" i="1"/>
  <c r="Z23" i="1"/>
  <c r="Z22" i="1"/>
  <c r="Z21" i="1"/>
  <c r="AA21" i="1"/>
  <c r="AB23" i="1"/>
  <c r="AB22" i="1"/>
  <c r="AB21" i="1"/>
  <c r="Z16" i="1"/>
  <c r="AA16" i="1"/>
  <c r="Z15" i="1"/>
  <c r="Z14" i="1"/>
  <c r="AC16" i="1"/>
  <c r="AA15" i="1"/>
  <c r="AA14" i="1"/>
  <c r="AB16" i="1"/>
  <c r="AB15" i="1"/>
  <c r="AB14" i="1"/>
  <c r="AC15" i="1"/>
  <c r="AC14" i="1"/>
  <c r="Z9" i="1"/>
  <c r="Z8" i="1"/>
  <c r="Z7" i="1"/>
  <c r="AA9" i="1"/>
  <c r="AA8" i="1"/>
  <c r="AA7" i="1"/>
  <c r="AB9" i="1"/>
  <c r="AB8" i="1"/>
  <c r="AB7" i="1"/>
  <c r="AC9" i="1"/>
  <c r="AC8" i="1"/>
  <c r="AC7" i="1"/>
  <c r="S37" i="1" l="1"/>
  <c r="S34" i="1"/>
  <c r="R34" i="1"/>
  <c r="R31" i="1"/>
  <c r="T37" i="1"/>
  <c r="T34" i="1"/>
  <c r="T31" i="1"/>
  <c r="AC24" i="1"/>
  <c r="AB24" i="1"/>
  <c r="Z24" i="1"/>
  <c r="AC17" i="1"/>
  <c r="AB17" i="1"/>
  <c r="AA17" i="1"/>
  <c r="Z17" i="1"/>
  <c r="Z10" i="1"/>
  <c r="AA10" i="1"/>
  <c r="AB10" i="1"/>
  <c r="AC10" i="1"/>
  <c r="U37" i="1"/>
  <c r="U34" i="1"/>
  <c r="D18" i="1"/>
  <c r="D12" i="1"/>
  <c r="U31" i="1" l="1"/>
  <c r="J32" i="1" l="1"/>
  <c r="J31" i="1"/>
  <c r="J30" i="1"/>
  <c r="J29" i="1"/>
  <c r="J28" i="1"/>
  <c r="K32" i="1"/>
  <c r="G15" i="1"/>
  <c r="K28" i="1"/>
  <c r="L32" i="1"/>
  <c r="L31" i="1"/>
  <c r="L30" i="1"/>
  <c r="L29" i="1"/>
  <c r="L28" i="1"/>
  <c r="J48" i="1"/>
  <c r="J47" i="1"/>
  <c r="J46" i="1"/>
  <c r="J45" i="1"/>
  <c r="J44" i="1"/>
  <c r="K48" i="1"/>
  <c r="K47" i="1"/>
  <c r="K46" i="1"/>
  <c r="K45" i="1"/>
  <c r="K44" i="1"/>
  <c r="L48" i="1"/>
  <c r="L47" i="1"/>
  <c r="L46" i="1"/>
  <c r="L45" i="1"/>
  <c r="L44" i="1"/>
</calcChain>
</file>

<file path=xl/sharedStrings.xml><?xml version="1.0" encoding="utf-8"?>
<sst xmlns="http://schemas.openxmlformats.org/spreadsheetml/2006/main" count="117" uniqueCount="29">
  <si>
    <t>ack</t>
  </si>
  <si>
    <t>nack</t>
  </si>
  <si>
    <t>data</t>
  </si>
  <si>
    <t>ack size</t>
  </si>
  <si>
    <t>nack size</t>
  </si>
  <si>
    <t>data size</t>
  </si>
  <si>
    <t>dtsn</t>
  </si>
  <si>
    <t>stdp</t>
  </si>
  <si>
    <t>protocol dtsn</t>
  </si>
  <si>
    <t>time</t>
  </si>
  <si>
    <t>protocol stdp</t>
  </si>
  <si>
    <t>protocol srwsn</t>
  </si>
  <si>
    <t>srwsn</t>
  </si>
  <si>
    <t>STDP</t>
  </si>
  <si>
    <t>number of trees</t>
  </si>
  <si>
    <t>num of nacks</t>
  </si>
  <si>
    <t>per</t>
  </si>
  <si>
    <t xml:space="preserve"> </t>
  </si>
  <si>
    <t>num of ack</t>
  </si>
  <si>
    <t xml:space="preserve">ack </t>
  </si>
  <si>
    <t>number of packets</t>
  </si>
  <si>
    <t>nack size avg</t>
  </si>
  <si>
    <t>nack total size</t>
  </si>
  <si>
    <t>ack size avg</t>
  </si>
  <si>
    <t>data size avg</t>
  </si>
  <si>
    <t>ack total</t>
  </si>
  <si>
    <t>nack total</t>
  </si>
  <si>
    <t>data total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</si>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</sst>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packet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SRWSN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גיליון1!$M$28:$M$32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</c:numCache>
            </c:numRef>
          </c:cat>
          <c:val>
            <c:numRef>
              <c:f>גיליון1!$J$28:$J$32</c:f>
              <c:numCache>
                <c:formatCode>General</c:formatCode>
                <c:ptCount val="5"/>
                <c:pt idx="0">
                  <c:v>33064</c:v>
                </c:pt>
                <c:pt idx="1">
                  <c:v>27221</c:v>
                </c:pt>
                <c:pt idx="2">
                  <c:v>18550</c:v>
                </c:pt>
                <c:pt idx="3">
                  <c:v>12694</c:v>
                </c:pt>
                <c:pt idx="4">
                  <c:v>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4-42C0-83CB-5D4A02FC1494}"/>
            </c:ext>
          </c:extLst>
        </c:ser>
        <c:ser>
          <c:idx val="1"/>
          <c:order val="1"/>
          <c:tx>
            <c:v>STDP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גיליון1!$M$28:$M$32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</c:numCache>
            </c:numRef>
          </c:cat>
          <c:val>
            <c:numRef>
              <c:f>גיליון1!$K$28:$K$32</c:f>
              <c:numCache>
                <c:formatCode>General</c:formatCode>
                <c:ptCount val="5"/>
                <c:pt idx="0">
                  <c:v>32995</c:v>
                </c:pt>
                <c:pt idx="1">
                  <c:v>12409</c:v>
                </c:pt>
                <c:pt idx="2">
                  <c:v>5225</c:v>
                </c:pt>
                <c:pt idx="3">
                  <c:v>2117</c:v>
                </c:pt>
                <c:pt idx="4">
                  <c:v>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4-42C0-83CB-5D4A02FC1494}"/>
            </c:ext>
          </c:extLst>
        </c:ser>
        <c:ser>
          <c:idx val="2"/>
          <c:order val="2"/>
          <c:tx>
            <c:v>DTSN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גיליון1!$M$28:$M$32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</c:numCache>
            </c:numRef>
          </c:cat>
          <c:val>
            <c:numRef>
              <c:f>גיליון1!$L$28:$L$32</c:f>
              <c:numCache>
                <c:formatCode>General</c:formatCode>
                <c:ptCount val="5"/>
                <c:pt idx="0">
                  <c:v>95884</c:v>
                </c:pt>
                <c:pt idx="1">
                  <c:v>79328</c:v>
                </c:pt>
                <c:pt idx="2">
                  <c:v>34201</c:v>
                </c:pt>
                <c:pt idx="3">
                  <c:v>15286</c:v>
                </c:pt>
                <c:pt idx="4">
                  <c:v>11360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4-42C0-83CB-5D4A02FC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09712"/>
        <c:axId val="378111680"/>
      </c:lineChart>
      <c:catAx>
        <c:axId val="37810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11680"/>
        <c:crosses val="autoZero"/>
        <c:auto val="1"/>
        <c:lblAlgn val="ctr"/>
        <c:lblOffset val="100"/>
        <c:noMultiLvlLbl val="0"/>
      </c:catAx>
      <c:valAx>
        <c:axId val="3781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size vs packet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DTSN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גיליון1!$M$44:$M$48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</c:numCache>
            </c:numRef>
          </c:cat>
          <c:val>
            <c:numRef>
              <c:f>גיליון1!$L$44:$L$48</c:f>
              <c:numCache>
                <c:formatCode>General</c:formatCode>
                <c:ptCount val="5"/>
                <c:pt idx="0">
                  <c:v>146463</c:v>
                </c:pt>
                <c:pt idx="1">
                  <c:v>120322</c:v>
                </c:pt>
                <c:pt idx="2">
                  <c:v>75930</c:v>
                </c:pt>
                <c:pt idx="3">
                  <c:v>32969</c:v>
                </c:pt>
                <c:pt idx="4">
                  <c:v>43177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4-4406-8C40-B9AE0F965E7E}"/>
            </c:ext>
          </c:extLst>
        </c:ser>
        <c:ser>
          <c:idx val="1"/>
          <c:order val="1"/>
          <c:tx>
            <c:v>STDP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גיליון1!$M$44:$M$48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</c:numCache>
            </c:numRef>
          </c:cat>
          <c:val>
            <c:numRef>
              <c:f>גיליון1!$J$44:$J$48</c:f>
              <c:numCache>
                <c:formatCode>General</c:formatCode>
                <c:ptCount val="5"/>
                <c:pt idx="0">
                  <c:v>734032</c:v>
                </c:pt>
                <c:pt idx="1">
                  <c:v>495385</c:v>
                </c:pt>
                <c:pt idx="2">
                  <c:v>347308</c:v>
                </c:pt>
                <c:pt idx="3">
                  <c:v>139235</c:v>
                </c:pt>
                <c:pt idx="4">
                  <c:v>65134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4-4406-8C40-B9AE0F965E7E}"/>
            </c:ext>
          </c:extLst>
        </c:ser>
        <c:ser>
          <c:idx val="2"/>
          <c:order val="2"/>
          <c:tx>
            <c:v>SRWSN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גיליון1!$M$44:$M$48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</c:numCache>
            </c:numRef>
          </c:cat>
          <c:val>
            <c:numRef>
              <c:f>גיליון1!$K$44:$K$48</c:f>
              <c:numCache>
                <c:formatCode>General</c:formatCode>
                <c:ptCount val="5"/>
                <c:pt idx="0">
                  <c:v>746050</c:v>
                </c:pt>
                <c:pt idx="1">
                  <c:v>602167</c:v>
                </c:pt>
                <c:pt idx="2">
                  <c:v>390903</c:v>
                </c:pt>
                <c:pt idx="3">
                  <c:v>168382</c:v>
                </c:pt>
                <c:pt idx="4">
                  <c:v>68479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4-4406-8C40-B9AE0F965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838448"/>
        <c:axId val="3788400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גיליון1!$M$44:$M$48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</c:v>
                      </c:pt>
                      <c:pt idx="1">
                        <c:v>800</c:v>
                      </c:pt>
                      <c:pt idx="2">
                        <c:v>500</c:v>
                      </c:pt>
                      <c:pt idx="3">
                        <c:v>250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גיליון1!$M$44:$M$49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</c:v>
                      </c:pt>
                      <c:pt idx="1">
                        <c:v>800</c:v>
                      </c:pt>
                      <c:pt idx="2">
                        <c:v>500</c:v>
                      </c:pt>
                      <c:pt idx="3">
                        <c:v>250</c:v>
                      </c:pt>
                      <c:pt idx="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164-4406-8C40-B9AE0F965E7E}"/>
                  </c:ext>
                </c:extLst>
              </c15:ser>
            </c15:filteredLineSeries>
          </c:ext>
        </c:extLst>
      </c:lineChart>
      <c:catAx>
        <c:axId val="3788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40088"/>
        <c:crosses val="autoZero"/>
        <c:auto val="1"/>
        <c:lblAlgn val="ctr"/>
        <c:lblOffset val="100"/>
        <c:noMultiLvlLbl val="0"/>
      </c:catAx>
      <c:valAx>
        <c:axId val="3788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3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vs Time - 800 packets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DTSN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גיליון1!$U$5:$U$9</c:f>
              <c:numCache>
                <c:formatCode>General</c:formatCode>
                <c:ptCount val="5"/>
                <c:pt idx="0">
                  <c:v>0.15</c:v>
                </c:pt>
                <c:pt idx="1">
                  <c:v>0.125</c:v>
                </c:pt>
                <c:pt idx="2">
                  <c:v>0.1</c:v>
                </c:pt>
                <c:pt idx="3">
                  <c:v>7.4999999999999997E-2</c:v>
                </c:pt>
                <c:pt idx="4">
                  <c:v>0.05</c:v>
                </c:pt>
              </c:numCache>
            </c:numRef>
          </c:cat>
          <c:val>
            <c:numRef>
              <c:f>גיליון1!$T$5:$T$9</c:f>
              <c:numCache>
                <c:formatCode>General</c:formatCode>
                <c:ptCount val="5"/>
                <c:pt idx="0">
                  <c:v>70402</c:v>
                </c:pt>
                <c:pt idx="1">
                  <c:v>28537</c:v>
                </c:pt>
                <c:pt idx="2">
                  <c:v>36779</c:v>
                </c:pt>
                <c:pt idx="3">
                  <c:v>37950</c:v>
                </c:pt>
                <c:pt idx="4">
                  <c:v>59413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2-458D-B858-F0345CDC0698}"/>
            </c:ext>
          </c:extLst>
        </c:ser>
        <c:ser>
          <c:idx val="1"/>
          <c:order val="1"/>
          <c:tx>
            <c:v>STDP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גיליון1!$U$5:$U$9</c:f>
              <c:numCache>
                <c:formatCode>General</c:formatCode>
                <c:ptCount val="5"/>
                <c:pt idx="0">
                  <c:v>0.15</c:v>
                </c:pt>
                <c:pt idx="1">
                  <c:v>0.125</c:v>
                </c:pt>
                <c:pt idx="2">
                  <c:v>0.1</c:v>
                </c:pt>
                <c:pt idx="3">
                  <c:v>7.4999999999999997E-2</c:v>
                </c:pt>
                <c:pt idx="4">
                  <c:v>0.05</c:v>
                </c:pt>
              </c:numCache>
            </c:numRef>
          </c:cat>
          <c:val>
            <c:numRef>
              <c:f>גיליון1!$R$5:$R$9</c:f>
              <c:numCache>
                <c:formatCode>General</c:formatCode>
                <c:ptCount val="5"/>
                <c:pt idx="0">
                  <c:v>80992</c:v>
                </c:pt>
                <c:pt idx="1">
                  <c:v>45092</c:v>
                </c:pt>
                <c:pt idx="2">
                  <c:v>29668</c:v>
                </c:pt>
                <c:pt idx="3">
                  <c:v>29450</c:v>
                </c:pt>
                <c:pt idx="4">
                  <c:v>24977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2-458D-B858-F0345CDC0698}"/>
            </c:ext>
          </c:extLst>
        </c:ser>
        <c:ser>
          <c:idx val="2"/>
          <c:order val="2"/>
          <c:tx>
            <c:v>SRWSN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גיליון1!$U$5:$U$9</c:f>
              <c:numCache>
                <c:formatCode>General</c:formatCode>
                <c:ptCount val="5"/>
                <c:pt idx="0">
                  <c:v>0.15</c:v>
                </c:pt>
                <c:pt idx="1">
                  <c:v>0.125</c:v>
                </c:pt>
                <c:pt idx="2">
                  <c:v>0.1</c:v>
                </c:pt>
                <c:pt idx="3">
                  <c:v>7.4999999999999997E-2</c:v>
                </c:pt>
                <c:pt idx="4">
                  <c:v>0.05</c:v>
                </c:pt>
              </c:numCache>
            </c:numRef>
          </c:cat>
          <c:val>
            <c:numRef>
              <c:f>גיליון1!$S$5:$S$9</c:f>
              <c:numCache>
                <c:formatCode>General</c:formatCode>
                <c:ptCount val="5"/>
                <c:pt idx="0">
                  <c:v>73654</c:v>
                </c:pt>
                <c:pt idx="1">
                  <c:v>53509</c:v>
                </c:pt>
                <c:pt idx="2">
                  <c:v>25475</c:v>
                </c:pt>
                <c:pt idx="3">
                  <c:v>31343</c:v>
                </c:pt>
                <c:pt idx="4">
                  <c:v>28330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2-458D-B858-F0345CDC0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19768"/>
        <c:axId val="3767220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גיליון1!$U$5:$U$9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0.15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7.4999999999999997E-2</c:v>
                      </c:pt>
                      <c:pt idx="4">
                        <c:v>0.05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גיליון1!$U$5:$U$10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0.15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7.4999999999999997E-2</c:v>
                      </c:pt>
                      <c:pt idx="4">
                        <c:v>0.05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BB2-458D-B858-F0345CDC0698}"/>
                  </c:ext>
                </c:extLst>
              </c15:ser>
            </c15:filteredLineSeries>
          </c:ext>
        </c:extLst>
      </c:lineChart>
      <c:catAx>
        <c:axId val="37671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22064"/>
        <c:crosses val="autoZero"/>
        <c:auto val="1"/>
        <c:lblAlgn val="ctr"/>
        <c:lblOffset val="100"/>
        <c:noMultiLvlLbl val="0"/>
      </c:catAx>
      <c:valAx>
        <c:axId val="3767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1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Trees</a:t>
            </a:r>
            <a:r>
              <a:rPr lang="en-US" baseline="0"/>
              <a:t> vs Time</a:t>
            </a:r>
          </a:p>
          <a:p>
            <a:pPr>
              <a:defRPr/>
            </a:pPr>
            <a:r>
              <a:rPr lang="en-US" baseline="0"/>
              <a:t>800 packets </a:t>
            </a:r>
          </a:p>
          <a:p>
            <a:pPr>
              <a:defRPr/>
            </a:pPr>
            <a:r>
              <a:rPr lang="en-US" baseline="0"/>
              <a:t>0.05 per</a:t>
            </a:r>
          </a:p>
        </c:rich>
      </c:tx>
      <c:layout>
        <c:manualLayout>
          <c:xMode val="edge"/>
          <c:yMode val="edge"/>
          <c:x val="0.2707430008748905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גיליון1!$R$28:$U$28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גיליון1!$R$38:$U$38</c:f>
              <c:numCache>
                <c:formatCode>General</c:formatCode>
                <c:ptCount val="4"/>
                <c:pt idx="0">
                  <c:v>22044</c:v>
                </c:pt>
                <c:pt idx="1">
                  <c:v>24049</c:v>
                </c:pt>
                <c:pt idx="2">
                  <c:v>21046</c:v>
                </c:pt>
                <c:pt idx="3">
                  <c:v>19031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4-475F-BEF8-17265D02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654368"/>
        <c:axId val="396655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Size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גיליון1!$R$28:$U$28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גיליון1!$R$35:$U$35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807600</c:v>
                      </c:pt>
                      <c:pt idx="1">
                        <c:v>794640</c:v>
                      </c:pt>
                      <c:pt idx="2">
                        <c:v>799200</c:v>
                      </c:pt>
                      <c:pt idx="3">
                        <c:v>822432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4B4-475F-BEF8-17265D02FFA2}"/>
                  </c:ext>
                </c:extLst>
              </c15:ser>
            </c15:filteredLineSeries>
          </c:ext>
        </c:extLst>
      </c:lineChart>
      <c:catAx>
        <c:axId val="3966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55024"/>
        <c:crosses val="autoZero"/>
        <c:auto val="1"/>
        <c:lblAlgn val="ctr"/>
        <c:lblOffset val="100"/>
        <c:noMultiLvlLbl val="0"/>
      </c:catAx>
      <c:valAx>
        <c:axId val="3966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Trees vs Size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800 packets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per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nack 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גיליון1!$R$28:$U$28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  <c:extLst xmlns:c15="http://schemas.microsoft.com/office/drawing/2012/chart"/>
            </c:numRef>
          </c:cat>
          <c:val>
            <c:numRef>
              <c:f>גיליון1!$R$31:$U$31</c:f>
              <c:numCache>
                <c:formatCode>General</c:formatCode>
                <c:ptCount val="4"/>
                <c:pt idx="0">
                  <c:v>183.64224137931035</c:v>
                </c:pt>
                <c:pt idx="1">
                  <c:v>185.7020979020979</c:v>
                </c:pt>
                <c:pt idx="2">
                  <c:v>198.15214477211796</c:v>
                </c:pt>
                <c:pt idx="3">
                  <c:v>222.90289103039288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E0F-404C-8B7A-44C5C669DECA}"/>
            </c:ext>
          </c:extLst>
        </c:ser>
        <c:ser>
          <c:idx val="1"/>
          <c:order val="1"/>
          <c:tx>
            <c:v>ack 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גיליון1!$R$28:$U$28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  <c:extLst xmlns:c15="http://schemas.microsoft.com/office/drawing/2012/chart"/>
            </c:numRef>
          </c:cat>
          <c:val>
            <c:numRef>
              <c:f>גיליון1!$R$34:$U$34</c:f>
              <c:numCache>
                <c:formatCode>General</c:formatCode>
                <c:ptCount val="4"/>
                <c:pt idx="0">
                  <c:v>54.456154796212431</c:v>
                </c:pt>
                <c:pt idx="1">
                  <c:v>54.195956454121308</c:v>
                </c:pt>
                <c:pt idx="2">
                  <c:v>54.434866640896793</c:v>
                </c:pt>
                <c:pt idx="3">
                  <c:v>55.088480801335557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F-404C-8B7A-44C5C669DECA}"/>
            </c:ext>
          </c:extLst>
        </c:ser>
        <c:ser>
          <c:idx val="2"/>
          <c:order val="2"/>
          <c:tx>
            <c:v>data avg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גיליון1!$R$37:$U$37</c:f>
              <c:numCache>
                <c:formatCode>General</c:formatCode>
                <c:ptCount val="4"/>
                <c:pt idx="0">
                  <c:v>143.82902938557436</c:v>
                </c:pt>
                <c:pt idx="1">
                  <c:v>143.8262443438914</c:v>
                </c:pt>
                <c:pt idx="2">
                  <c:v>143.84449244060474</c:v>
                </c:pt>
                <c:pt idx="3">
                  <c:v>143.93279663983199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60F-4FB1-BE41-AEA6CC378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654368"/>
        <c:axId val="396655024"/>
        <c:extLst/>
      </c:lineChart>
      <c:catAx>
        <c:axId val="3966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55024"/>
        <c:crosses val="autoZero"/>
        <c:auto val="1"/>
        <c:lblAlgn val="ctr"/>
        <c:lblOffset val="100"/>
        <c:noMultiLvlLbl val="0"/>
      </c:catAx>
      <c:valAx>
        <c:axId val="3966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vs</a:t>
            </a:r>
            <a:r>
              <a:rPr lang="en-US" baseline="0"/>
              <a:t> size</a:t>
            </a:r>
            <a:endParaRPr lang="he-IL"/>
          </a:p>
        </c:rich>
      </c:tx>
      <c:layout>
        <c:manualLayout>
          <c:xMode val="edge"/>
          <c:yMode val="edge"/>
          <c:x val="0.410916666666666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גיליון1!$Z$20:$AC$20</c:f>
              <c:numCache>
                <c:formatCode>General</c:formatCode>
                <c:ptCount val="4"/>
                <c:pt idx="0">
                  <c:v>0.12</c:v>
                </c:pt>
                <c:pt idx="1">
                  <c:v>0.1</c:v>
                </c:pt>
                <c:pt idx="2">
                  <c:v>7.4999999999999997E-2</c:v>
                </c:pt>
                <c:pt idx="3">
                  <c:v>0.05</c:v>
                </c:pt>
              </c:numCache>
            </c:numRef>
          </c:cat>
          <c:val>
            <c:numRef>
              <c:f>גיליון1!$Z$10:$AC$10</c:f>
              <c:numCache>
                <c:formatCode>General</c:formatCode>
                <c:ptCount val="4"/>
                <c:pt idx="0">
                  <c:v>131779</c:v>
                </c:pt>
                <c:pt idx="1">
                  <c:v>128546</c:v>
                </c:pt>
                <c:pt idx="2">
                  <c:v>126624</c:v>
                </c:pt>
                <c:pt idx="3">
                  <c:v>122807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D-4363-AFC0-C85AFCEC5DD2}"/>
            </c:ext>
          </c:extLst>
        </c:ser>
        <c:ser>
          <c:idx val="1"/>
          <c:order val="1"/>
          <c:tx>
            <c:v>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גיליון1!$Z$20:$AC$20</c:f>
              <c:numCache>
                <c:formatCode>General</c:formatCode>
                <c:ptCount val="4"/>
                <c:pt idx="0">
                  <c:v>0.12</c:v>
                </c:pt>
                <c:pt idx="1">
                  <c:v>0.1</c:v>
                </c:pt>
                <c:pt idx="2">
                  <c:v>7.4999999999999997E-2</c:v>
                </c:pt>
                <c:pt idx="3">
                  <c:v>0.05</c:v>
                </c:pt>
              </c:numCache>
            </c:numRef>
          </c:cat>
          <c:val>
            <c:numRef>
              <c:f>גיליון1!$Z$17:$AC$17</c:f>
              <c:numCache>
                <c:formatCode>General</c:formatCode>
                <c:ptCount val="4"/>
                <c:pt idx="0">
                  <c:v>641784</c:v>
                </c:pt>
                <c:pt idx="1">
                  <c:v>640738</c:v>
                </c:pt>
                <c:pt idx="2">
                  <c:v>636754</c:v>
                </c:pt>
                <c:pt idx="3">
                  <c:v>615424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D-4363-AFC0-C85AFCEC5DD2}"/>
            </c:ext>
          </c:extLst>
        </c:ser>
        <c:ser>
          <c:idx val="2"/>
          <c:order val="2"/>
          <c:tx>
            <c:v>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גיליון1!$Z$20:$AC$20</c:f>
              <c:numCache>
                <c:formatCode>General</c:formatCode>
                <c:ptCount val="4"/>
                <c:pt idx="0">
                  <c:v>0.12</c:v>
                </c:pt>
                <c:pt idx="1">
                  <c:v>0.1</c:v>
                </c:pt>
                <c:pt idx="2">
                  <c:v>7.4999999999999997E-2</c:v>
                </c:pt>
                <c:pt idx="3">
                  <c:v>0.05</c:v>
                </c:pt>
              </c:numCache>
            </c:numRef>
          </c:cat>
          <c:val>
            <c:numRef>
              <c:f>גיליון1!$Z$24:$AC$24</c:f>
              <c:numCache>
                <c:formatCode>General</c:formatCode>
                <c:ptCount val="4"/>
                <c:pt idx="0">
                  <c:v>1307266</c:v>
                </c:pt>
                <c:pt idx="1">
                  <c:v>1286526</c:v>
                </c:pt>
                <c:pt idx="2">
                  <c:v>1282977</c:v>
                </c:pt>
                <c:pt idx="3">
                  <c:v>1257833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D-4363-AFC0-C85AFCEC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76104"/>
        <c:axId val="39796987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גיליון1!$Y$16:$AC$16</c15:sqref>
                        </c15:formulaRef>
                      </c:ext>
                    </c:extLst>
                    <c:strCache>
                      <c:ptCount val="5"/>
                      <c:pt idx="1">
                        <c:v>535360</c:v>
                      </c:pt>
                      <c:pt idx="2">
                        <c:v>523696</c:v>
                      </c:pt>
                      <c:pt idx="3">
                        <c:v>511824</c:v>
                      </c:pt>
                      <c:pt idx="4">
                        <c:v>483168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גיליון1!$Z$20:$AC$20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0.12</c:v>
                      </c:pt>
                      <c:pt idx="1">
                        <c:v>0.1</c:v>
                      </c:pt>
                      <c:pt idx="2">
                        <c:v>7.4999999999999997E-2</c:v>
                      </c:pt>
                      <c:pt idx="3">
                        <c:v>0.05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גיליון1!$AD$16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82D-4363-AFC0-C85AFCEC5DD2}"/>
                  </c:ext>
                </c:extLst>
              </c15:ser>
            </c15:filteredLineSeries>
          </c:ext>
        </c:extLst>
      </c:lineChart>
      <c:catAx>
        <c:axId val="39797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69872"/>
        <c:crosses val="autoZero"/>
        <c:auto val="1"/>
        <c:lblAlgn val="ctr"/>
        <c:lblOffset val="100"/>
        <c:noMultiLvlLbl val="0"/>
      </c:catAx>
      <c:valAx>
        <c:axId val="3979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vs</a:t>
            </a:r>
            <a:r>
              <a:rPr lang="en-US" baseline="0"/>
              <a:t> size</a:t>
            </a:r>
            <a:endParaRPr lang="he-IL"/>
          </a:p>
        </c:rich>
      </c:tx>
      <c:layout>
        <c:manualLayout>
          <c:xMode val="edge"/>
          <c:yMode val="edge"/>
          <c:x val="0.410916666666666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גיליון1!$Z$20:$AC$20</c:f>
              <c:numCache>
                <c:formatCode>General</c:formatCode>
                <c:ptCount val="4"/>
                <c:pt idx="0">
                  <c:v>0.12</c:v>
                </c:pt>
                <c:pt idx="1">
                  <c:v>0.1</c:v>
                </c:pt>
                <c:pt idx="2">
                  <c:v>7.4999999999999997E-2</c:v>
                </c:pt>
                <c:pt idx="3">
                  <c:v>0.05</c:v>
                </c:pt>
              </c:numCache>
            </c:numRef>
          </c:cat>
          <c:val>
            <c:numRef>
              <c:f>גיליון1!$AJ$10:$AM$10</c:f>
              <c:numCache>
                <c:formatCode>General</c:formatCode>
                <c:ptCount val="4"/>
                <c:pt idx="0">
                  <c:v>67329</c:v>
                </c:pt>
                <c:pt idx="1">
                  <c:v>65917</c:v>
                </c:pt>
                <c:pt idx="2">
                  <c:v>68394</c:v>
                </c:pt>
                <c:pt idx="3">
                  <c:v>62940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4-4616-B0D5-4C1C07443213}"/>
            </c:ext>
          </c:extLst>
        </c:ser>
        <c:ser>
          <c:idx val="1"/>
          <c:order val="1"/>
          <c:tx>
            <c:v>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גיליון1!$Z$20:$AC$20</c:f>
              <c:numCache>
                <c:formatCode>General</c:formatCode>
                <c:ptCount val="4"/>
                <c:pt idx="0">
                  <c:v>0.12</c:v>
                </c:pt>
                <c:pt idx="1">
                  <c:v>0.1</c:v>
                </c:pt>
                <c:pt idx="2">
                  <c:v>7.4999999999999997E-2</c:v>
                </c:pt>
                <c:pt idx="3">
                  <c:v>0.05</c:v>
                </c:pt>
              </c:numCache>
            </c:numRef>
          </c:cat>
          <c:val>
            <c:numRef>
              <c:f>גיליון1!$AJ$17:$AM$17</c:f>
              <c:numCache>
                <c:formatCode>General</c:formatCode>
                <c:ptCount val="4"/>
                <c:pt idx="0">
                  <c:v>401859</c:v>
                </c:pt>
                <c:pt idx="1">
                  <c:v>404149</c:v>
                </c:pt>
                <c:pt idx="2">
                  <c:v>412633</c:v>
                </c:pt>
                <c:pt idx="3">
                  <c:v>407259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4-4616-B0D5-4C1C07443213}"/>
            </c:ext>
          </c:extLst>
        </c:ser>
        <c:ser>
          <c:idx val="2"/>
          <c:order val="2"/>
          <c:tx>
            <c:v>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גיליון1!$Z$20:$AC$20</c:f>
              <c:numCache>
                <c:formatCode>General</c:formatCode>
                <c:ptCount val="4"/>
                <c:pt idx="0">
                  <c:v>0.12</c:v>
                </c:pt>
                <c:pt idx="1">
                  <c:v>0.1</c:v>
                </c:pt>
                <c:pt idx="2">
                  <c:v>7.4999999999999997E-2</c:v>
                </c:pt>
                <c:pt idx="3">
                  <c:v>0.05</c:v>
                </c:pt>
              </c:numCache>
            </c:numRef>
          </c:cat>
          <c:val>
            <c:numRef>
              <c:f>גיליון1!$AJ$24:$AM$24</c:f>
              <c:numCache>
                <c:formatCode>General</c:formatCode>
                <c:ptCount val="4"/>
                <c:pt idx="0">
                  <c:v>816940</c:v>
                </c:pt>
                <c:pt idx="1">
                  <c:v>767079</c:v>
                </c:pt>
                <c:pt idx="2">
                  <c:v>716408</c:v>
                </c:pt>
                <c:pt idx="3">
                  <c:v>697560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A4-4616-B0D5-4C1C07443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76104"/>
        <c:axId val="39796987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גיליון1!$Y$16:$AC$16</c15:sqref>
                        </c15:formulaRef>
                      </c:ext>
                    </c:extLst>
                    <c:strCache>
                      <c:ptCount val="5"/>
                      <c:pt idx="1">
                        <c:v>535360</c:v>
                      </c:pt>
                      <c:pt idx="2">
                        <c:v>523696</c:v>
                      </c:pt>
                      <c:pt idx="3">
                        <c:v>511824</c:v>
                      </c:pt>
                      <c:pt idx="4">
                        <c:v>483168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גיליון1!$Z$20:$AC$20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0.12</c:v>
                      </c:pt>
                      <c:pt idx="1">
                        <c:v>0.1</c:v>
                      </c:pt>
                      <c:pt idx="2">
                        <c:v>7.4999999999999997E-2</c:v>
                      </c:pt>
                      <c:pt idx="3">
                        <c:v>0.05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גיליון1!$AD$16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EA4-4616-B0D5-4C1C07443213}"/>
                  </c:ext>
                </c:extLst>
              </c15:ser>
            </c15:filteredLineSeries>
          </c:ext>
        </c:extLst>
      </c:lineChart>
      <c:catAx>
        <c:axId val="39797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69872"/>
        <c:crosses val="autoZero"/>
        <c:auto val="1"/>
        <c:lblAlgn val="ctr"/>
        <c:lblOffset val="100"/>
        <c:noMultiLvlLbl val="0"/>
      </c:catAx>
      <c:valAx>
        <c:axId val="3979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vs</a:t>
            </a:r>
            <a:r>
              <a:rPr lang="en-US" baseline="0"/>
              <a:t> size</a:t>
            </a:r>
            <a:endParaRPr lang="he-IL"/>
          </a:p>
        </c:rich>
      </c:tx>
      <c:layout>
        <c:manualLayout>
          <c:xMode val="edge"/>
          <c:yMode val="edge"/>
          <c:x val="0.410916666666666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גיליון1!$Z$20:$AC$20</c:f>
              <c:numCache>
                <c:formatCode>General</c:formatCode>
                <c:ptCount val="4"/>
                <c:pt idx="0">
                  <c:v>0.12</c:v>
                </c:pt>
                <c:pt idx="1">
                  <c:v>0.1</c:v>
                </c:pt>
                <c:pt idx="2">
                  <c:v>7.4999999999999997E-2</c:v>
                </c:pt>
                <c:pt idx="3">
                  <c:v>0.05</c:v>
                </c:pt>
              </c:numCache>
            </c:numRef>
          </c:cat>
          <c:val>
            <c:numRef>
              <c:f>גיליון1!$AQ$10:$AT$10</c:f>
              <c:numCache>
                <c:formatCode>General</c:formatCode>
                <c:ptCount val="4"/>
                <c:pt idx="0">
                  <c:v>232706</c:v>
                </c:pt>
                <c:pt idx="1">
                  <c:v>326574</c:v>
                </c:pt>
                <c:pt idx="2">
                  <c:v>248165</c:v>
                </c:pt>
                <c:pt idx="3">
                  <c:v>282423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6-4775-B74B-D721CDDFE4A9}"/>
            </c:ext>
          </c:extLst>
        </c:ser>
        <c:ser>
          <c:idx val="1"/>
          <c:order val="1"/>
          <c:tx>
            <c:v>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גיליון1!$Z$20:$AC$20</c:f>
              <c:numCache>
                <c:formatCode>General</c:formatCode>
                <c:ptCount val="4"/>
                <c:pt idx="0">
                  <c:v>0.12</c:v>
                </c:pt>
                <c:pt idx="1">
                  <c:v>0.1</c:v>
                </c:pt>
                <c:pt idx="2">
                  <c:v>7.4999999999999997E-2</c:v>
                </c:pt>
                <c:pt idx="3">
                  <c:v>0.05</c:v>
                </c:pt>
              </c:numCache>
            </c:numRef>
          </c:cat>
          <c:val>
            <c:numRef>
              <c:f>גיליון1!$AQ$17:$AT$17</c:f>
              <c:numCache>
                <c:formatCode>General</c:formatCode>
                <c:ptCount val="4"/>
                <c:pt idx="0">
                  <c:v>1642481</c:v>
                </c:pt>
                <c:pt idx="1">
                  <c:v>1465356</c:v>
                </c:pt>
                <c:pt idx="2">
                  <c:v>1386818</c:v>
                </c:pt>
                <c:pt idx="3">
                  <c:v>1256617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6-4775-B74B-D721CDDFE4A9}"/>
            </c:ext>
          </c:extLst>
        </c:ser>
        <c:ser>
          <c:idx val="2"/>
          <c:order val="2"/>
          <c:tx>
            <c:v>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גיליון1!$Z$20:$AC$20</c:f>
              <c:numCache>
                <c:formatCode>General</c:formatCode>
                <c:ptCount val="4"/>
                <c:pt idx="0">
                  <c:v>0.12</c:v>
                </c:pt>
                <c:pt idx="1">
                  <c:v>0.1</c:v>
                </c:pt>
                <c:pt idx="2">
                  <c:v>7.4999999999999997E-2</c:v>
                </c:pt>
                <c:pt idx="3">
                  <c:v>0.05</c:v>
                </c:pt>
              </c:numCache>
            </c:numRef>
          </c:cat>
          <c:val>
            <c:numRef>
              <c:f>גיליון1!$AQ$24:$AT$24</c:f>
              <c:numCache>
                <c:formatCode>General</c:formatCode>
                <c:ptCount val="4"/>
                <c:pt idx="0">
                  <c:v>3213615</c:v>
                </c:pt>
                <c:pt idx="1">
                  <c:v>3066274</c:v>
                </c:pt>
                <c:pt idx="2">
                  <c:v>2736124</c:v>
                </c:pt>
                <c:pt idx="3">
                  <c:v>2373822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6-4775-B74B-D721CDDFE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76104"/>
        <c:axId val="39796987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גיליון1!$Y$16:$AC$16</c15:sqref>
                        </c15:formulaRef>
                      </c:ext>
                    </c:extLst>
                    <c:strCache>
                      <c:ptCount val="5"/>
                      <c:pt idx="1">
                        <c:v>535360</c:v>
                      </c:pt>
                      <c:pt idx="2">
                        <c:v>523696</c:v>
                      </c:pt>
                      <c:pt idx="3">
                        <c:v>511824</c:v>
                      </c:pt>
                      <c:pt idx="4">
                        <c:v>483168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גיליון1!$Z$20:$AC$20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0.12</c:v>
                      </c:pt>
                      <c:pt idx="1">
                        <c:v>0.1</c:v>
                      </c:pt>
                      <c:pt idx="2">
                        <c:v>7.4999999999999997E-2</c:v>
                      </c:pt>
                      <c:pt idx="3">
                        <c:v>0.05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גיליון1!$AD$16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496-4775-B74B-D721CDDFE4A9}"/>
                  </c:ext>
                </c:extLst>
              </c15:ser>
            </c15:filteredLineSeries>
          </c:ext>
        </c:extLst>
      </c:lineChart>
      <c:catAx>
        <c:axId val="39797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69872"/>
        <c:crosses val="autoZero"/>
        <c:auto val="1"/>
        <c:lblAlgn val="ctr"/>
        <c:lblOffset val="100"/>
        <c:noMultiLvlLbl val="0"/>
      </c:catAx>
      <c:valAx>
        <c:axId val="3979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376238</xdr:colOff>
      <xdr:row>25</xdr:row>
      <xdr:rowOff>123825</xdr:rowOff>
    </xdr:from>
    <xdr:to>
      <xdr:col>8</xdr:col>
      <xdr:colOff>481013</xdr:colOff>
      <xdr:row>40</xdr:row>
      <xdr:rowOff>9525</xdr:rowOff>
    </xdr:to>
    <xdr:graphicFrame macro="">
      <xdr:nvGraphicFramePr>
        <xdr:cNvPr id="7" name="תרשים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414338</xdr:colOff>
      <xdr:row>41</xdr:row>
      <xdr:rowOff>180975</xdr:rowOff>
    </xdr:from>
    <xdr:to>
      <xdr:col>8</xdr:col>
      <xdr:colOff>519113</xdr:colOff>
      <xdr:row>56</xdr:row>
      <xdr:rowOff>66675</xdr:rowOff>
    </xdr:to>
    <xdr:graphicFrame macro="">
      <xdr:nvGraphicFramePr>
        <xdr:cNvPr id="8" name="תרשים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521074</xdr:colOff>
      <xdr:row>12</xdr:row>
      <xdr:rowOff>17930</xdr:rowOff>
    </xdr:from>
    <xdr:to>
      <xdr:col>21</xdr:col>
      <xdr:colOff>252133</xdr:colOff>
      <xdr:row>26</xdr:row>
      <xdr:rowOff>94130</xdr:rowOff>
    </xdr:to>
    <xdr:graphicFrame macro="">
      <xdr:nvGraphicFramePr>
        <xdr:cNvPr id="9" name="תרשים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84045</xdr:colOff>
      <xdr:row>40</xdr:row>
      <xdr:rowOff>129987</xdr:rowOff>
    </xdr:from>
    <xdr:to>
      <xdr:col>21</xdr:col>
      <xdr:colOff>1025340</xdr:colOff>
      <xdr:row>55</xdr:row>
      <xdr:rowOff>15687</xdr:rowOff>
    </xdr:to>
    <xdr:graphicFrame macro="">
      <xdr:nvGraphicFramePr>
        <xdr:cNvPr id="10" name="תרשים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89645</xdr:colOff>
      <xdr:row>55</xdr:row>
      <xdr:rowOff>112059</xdr:rowOff>
    </xdr:from>
    <xdr:to>
      <xdr:col>21</xdr:col>
      <xdr:colOff>1030940</xdr:colOff>
      <xdr:row>69</xdr:row>
      <xdr:rowOff>188259</xdr:rowOff>
    </xdr:to>
    <xdr:graphicFrame macro="">
      <xdr:nvGraphicFramePr>
        <xdr:cNvPr id="11" name="תרשים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252133</xdr:colOff>
      <xdr:row>31</xdr:row>
      <xdr:rowOff>152399</xdr:rowOff>
    </xdr:from>
    <xdr:to>
      <xdr:col>31</xdr:col>
      <xdr:colOff>588310</xdr:colOff>
      <xdr:row>46</xdr:row>
      <xdr:rowOff>38099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302558</xdr:colOff>
      <xdr:row>30</xdr:row>
      <xdr:rowOff>134470</xdr:rowOff>
    </xdr:from>
    <xdr:to>
      <xdr:col>41</xdr:col>
      <xdr:colOff>33617</xdr:colOff>
      <xdr:row>45</xdr:row>
      <xdr:rowOff>20170</xdr:rowOff>
    </xdr:to>
    <xdr:graphicFrame macro="">
      <xdr:nvGraphicFramePr>
        <xdr:cNvPr id="12" name="תרשים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369794</xdr:colOff>
      <xdr:row>29</xdr:row>
      <xdr:rowOff>0</xdr:rowOff>
    </xdr:from>
    <xdr:to>
      <xdr:col>49</xdr:col>
      <xdr:colOff>100853</xdr:colOff>
      <xdr:row>43</xdr:row>
      <xdr:rowOff>76200</xdr:rowOff>
    </xdr:to>
    <xdr:graphicFrame macro="">
      <xdr:nvGraphicFramePr>
        <xdr:cNvPr id="14" name="תרשים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D49"/>
  <sheetViews>
    <sheetView rightToLeft="1" tabSelected="1" topLeftCell="AL1" zoomScale="85" zoomScaleNormal="85" workbookViewId="0">
      <selection activeCell="AX29" sqref="AX28:BB29"/>
    </sheetView>
  </sheetViews>
  <sheetFormatPr defaultRowHeight="15" x14ac:dyDescent="0.25"/>
  <cols>
    <col min="6" max="6" width="6.5703125" customWidth="1"/>
    <col min="7" max="7" width="6.140625" customWidth="1"/>
    <col min="8" max="8" width="8.5703125" customWidth="1"/>
    <col min="9" max="9" width="11.42578125" customWidth="1"/>
    <col min="10" max="10" width="15" customWidth="1"/>
    <col min="11" max="11" width="11.5703125" customWidth="1"/>
    <col min="13" max="13" width="14.42578125" customWidth="1"/>
    <col min="22" max="22" width="17" customWidth="1"/>
  </cols>
  <sheetData>
    <row r="1" spans="4:56" x14ac:dyDescent="0.25">
      <c r="F1">
        <v>100</v>
      </c>
      <c r="G1">
        <v>250</v>
      </c>
      <c r="H1">
        <v>500</v>
      </c>
      <c r="I1">
        <v>800</v>
      </c>
      <c r="J1">
        <v>1000</v>
      </c>
      <c r="K1" t="s">
        <v>2</v>
      </c>
      <c r="M1" t="s">
        <v>8</v>
      </c>
    </row>
    <row r="2" spans="4:56" x14ac:dyDescent="0.25">
      <c r="F2">
        <v>82</v>
      </c>
      <c r="G2">
        <v>349</v>
      </c>
      <c r="H2">
        <v>744</v>
      </c>
      <c r="I2">
        <v>1173</v>
      </c>
      <c r="J2">
        <v>1254</v>
      </c>
      <c r="K2" t="s">
        <v>0</v>
      </c>
    </row>
    <row r="3" spans="4:56" x14ac:dyDescent="0.25">
      <c r="F3">
        <v>19</v>
      </c>
      <c r="G3">
        <v>202</v>
      </c>
      <c r="H3">
        <v>424</v>
      </c>
      <c r="I3">
        <v>786</v>
      </c>
      <c r="J3">
        <v>791</v>
      </c>
      <c r="K3" t="s">
        <v>1</v>
      </c>
    </row>
    <row r="4" spans="4:56" x14ac:dyDescent="0.25">
      <c r="F4">
        <v>525</v>
      </c>
      <c r="G4">
        <v>2596</v>
      </c>
      <c r="H4">
        <v>6200</v>
      </c>
      <c r="I4">
        <v>10351</v>
      </c>
      <c r="J4">
        <v>11509</v>
      </c>
      <c r="K4" t="s">
        <v>3</v>
      </c>
    </row>
    <row r="5" spans="4:56" x14ac:dyDescent="0.25">
      <c r="F5">
        <v>31648</v>
      </c>
      <c r="G5">
        <v>1369</v>
      </c>
      <c r="H5">
        <v>3626</v>
      </c>
      <c r="I5">
        <v>9467</v>
      </c>
      <c r="J5">
        <v>8750</v>
      </c>
      <c r="K5" t="s">
        <v>4</v>
      </c>
      <c r="R5">
        <v>80992</v>
      </c>
      <c r="S5">
        <v>73654</v>
      </c>
      <c r="T5">
        <v>70402</v>
      </c>
      <c r="U5">
        <v>0.15</v>
      </c>
      <c r="AD5">
        <v>100</v>
      </c>
      <c r="AE5" s="1" t="s">
        <v>12</v>
      </c>
      <c r="AN5">
        <v>100</v>
      </c>
      <c r="AO5" s="1" t="s">
        <v>6</v>
      </c>
      <c r="AU5">
        <v>100</v>
      </c>
      <c r="AV5" s="1" t="s">
        <v>13</v>
      </c>
    </row>
    <row r="6" spans="4:56" x14ac:dyDescent="0.25">
      <c r="F6">
        <v>11004</v>
      </c>
      <c r="G6">
        <v>29004</v>
      </c>
      <c r="H6">
        <v>66104</v>
      </c>
      <c r="I6">
        <v>100504</v>
      </c>
      <c r="J6">
        <v>126204</v>
      </c>
      <c r="K6" t="s">
        <v>5</v>
      </c>
      <c r="R6">
        <v>45092</v>
      </c>
      <c r="S6">
        <v>53509</v>
      </c>
      <c r="T6">
        <v>28537</v>
      </c>
      <c r="U6">
        <v>0.125</v>
      </c>
      <c r="Z6">
        <v>0.12</v>
      </c>
      <c r="AA6">
        <v>0.1</v>
      </c>
      <c r="AB6">
        <v>7.4999999999999997E-2</v>
      </c>
      <c r="AC6">
        <v>0.5</v>
      </c>
      <c r="AD6" t="s">
        <v>16</v>
      </c>
      <c r="AJ6">
        <v>0.12</v>
      </c>
      <c r="AK6">
        <v>0.1</v>
      </c>
      <c r="AL6">
        <v>7.4999999999999997E-2</v>
      </c>
      <c r="AM6">
        <v>0.5</v>
      </c>
      <c r="AN6" t="s">
        <v>16</v>
      </c>
      <c r="AQ6">
        <v>0.12</v>
      </c>
      <c r="AR6">
        <v>0.1</v>
      </c>
      <c r="AS6">
        <v>7.4999999999999997E-2</v>
      </c>
      <c r="AT6">
        <v>0.5</v>
      </c>
      <c r="AU6" t="s">
        <v>16</v>
      </c>
      <c r="BC6">
        <v>100</v>
      </c>
      <c r="BD6" s="1" t="s">
        <v>12</v>
      </c>
    </row>
    <row r="7" spans="4:56" x14ac:dyDescent="0.25">
      <c r="F7">
        <v>11360</v>
      </c>
      <c r="G7">
        <v>15286</v>
      </c>
      <c r="H7">
        <v>34201</v>
      </c>
      <c r="I7">
        <v>79328</v>
      </c>
      <c r="J7">
        <v>95884</v>
      </c>
      <c r="K7" t="s">
        <v>9</v>
      </c>
      <c r="R7">
        <v>29668</v>
      </c>
      <c r="S7">
        <v>25475</v>
      </c>
      <c r="T7">
        <v>36779</v>
      </c>
      <c r="U7">
        <v>0.1</v>
      </c>
      <c r="Z7">
        <f>8949+2857</f>
        <v>11806</v>
      </c>
      <c r="AA7">
        <f>9168+3117</f>
        <v>12285</v>
      </c>
      <c r="AB7">
        <f>2965+8599</f>
        <v>11564</v>
      </c>
      <c r="AC7">
        <f>12242+3876</f>
        <v>16118</v>
      </c>
      <c r="AD7" t="s">
        <v>25</v>
      </c>
      <c r="AJ7">
        <f>1534+ 400</f>
        <v>1934</v>
      </c>
      <c r="AK7">
        <f>1117+310</f>
        <v>1427</v>
      </c>
      <c r="AL7">
        <f>1249+337</f>
        <v>1586</v>
      </c>
      <c r="AM7">
        <f>588+157</f>
        <v>745</v>
      </c>
      <c r="AN7" t="s">
        <v>25</v>
      </c>
      <c r="AQ7">
        <f>45240+12090</f>
        <v>57330</v>
      </c>
      <c r="AR7">
        <f>74519+20288</f>
        <v>94807</v>
      </c>
      <c r="AS7">
        <f>42512+ 11310</f>
        <v>53822</v>
      </c>
      <c r="AT7">
        <f>42533+ 11707</f>
        <v>54240</v>
      </c>
      <c r="AU7" t="s">
        <v>25</v>
      </c>
      <c r="AY7">
        <v>0.12</v>
      </c>
      <c r="AZ7">
        <v>0.1</v>
      </c>
      <c r="BA7">
        <v>7.4999999999999997E-2</v>
      </c>
      <c r="BB7">
        <v>0.5</v>
      </c>
      <c r="BC7" t="s">
        <v>16</v>
      </c>
    </row>
    <row r="8" spans="4:56" x14ac:dyDescent="0.25">
      <c r="R8">
        <v>29450</v>
      </c>
      <c r="S8">
        <v>31343</v>
      </c>
      <c r="T8">
        <v>37950</v>
      </c>
      <c r="U8">
        <v>7.4999999999999997E-2</v>
      </c>
      <c r="Z8">
        <f>8208+2997</f>
        <v>11205</v>
      </c>
      <c r="AA8">
        <f>8151+2606</f>
        <v>10757</v>
      </c>
      <c r="AB8">
        <f>6891+2137</f>
        <v>9028</v>
      </c>
      <c r="AC8">
        <f>8044+2309</f>
        <v>10353</v>
      </c>
      <c r="AD8" t="s">
        <v>26</v>
      </c>
      <c r="AJ8">
        <f>555+220</f>
        <v>775</v>
      </c>
      <c r="AK8">
        <f>470+200</f>
        <v>670</v>
      </c>
      <c r="AL8">
        <f>551+237</f>
        <v>788</v>
      </c>
      <c r="AM8">
        <f>213+162</f>
        <v>375</v>
      </c>
      <c r="AN8" t="s">
        <v>26</v>
      </c>
      <c r="AQ8">
        <f>40514+ 19682</f>
        <v>60196</v>
      </c>
      <c r="AR8">
        <f>75241+32022</f>
        <v>107263</v>
      </c>
      <c r="AS8">
        <f>43983+29716</f>
        <v>73699</v>
      </c>
      <c r="AT8">
        <f>64877+35142</f>
        <v>100019</v>
      </c>
      <c r="AU8" t="s">
        <v>26</v>
      </c>
      <c r="AY8">
        <f>13723+3681</f>
        <v>17404</v>
      </c>
      <c r="AZ8">
        <f>11729+ 3689</f>
        <v>15418</v>
      </c>
      <c r="BA8">
        <f>9298+ 3011</f>
        <v>12309</v>
      </c>
      <c r="BB8">
        <f>8400+2909</f>
        <v>11309</v>
      </c>
      <c r="BC8" t="s">
        <v>25</v>
      </c>
    </row>
    <row r="9" spans="4:56" x14ac:dyDescent="0.25">
      <c r="F9">
        <v>100</v>
      </c>
      <c r="G9">
        <v>250</v>
      </c>
      <c r="H9">
        <v>500</v>
      </c>
      <c r="I9">
        <v>800</v>
      </c>
      <c r="J9">
        <v>1000</v>
      </c>
      <c r="K9" t="s">
        <v>2</v>
      </c>
      <c r="M9" t="s">
        <v>10</v>
      </c>
      <c r="R9">
        <v>24977</v>
      </c>
      <c r="S9">
        <v>28330</v>
      </c>
      <c r="T9">
        <v>59413</v>
      </c>
      <c r="U9">
        <v>0.05</v>
      </c>
      <c r="Z9">
        <f>71376+37392</f>
        <v>108768</v>
      </c>
      <c r="AA9">
        <f>72576+32928</f>
        <v>105504</v>
      </c>
      <c r="AB9">
        <f>69648+36384</f>
        <v>106032</v>
      </c>
      <c r="AC9">
        <f>66576+29760</f>
        <v>96336</v>
      </c>
      <c r="AD9" t="s">
        <v>27</v>
      </c>
      <c r="AJ9">
        <f>49616+15004</f>
        <v>64620</v>
      </c>
      <c r="AK9">
        <f>47812+16008</f>
        <v>63820</v>
      </c>
      <c r="AL9">
        <f>49312+16708</f>
        <v>66020</v>
      </c>
      <c r="AM9">
        <f>46612+15208</f>
        <v>61820</v>
      </c>
      <c r="AN9" t="s">
        <v>27</v>
      </c>
      <c r="AQ9">
        <f>89136+26044</f>
        <v>115180</v>
      </c>
      <c r="AR9">
        <f>95540+28964</f>
        <v>124504</v>
      </c>
      <c r="AS9">
        <f>90740+29904</f>
        <v>120644</v>
      </c>
      <c r="AT9">
        <f>96004+ 32160</f>
        <v>128164</v>
      </c>
      <c r="AU9" t="s">
        <v>27</v>
      </c>
      <c r="AY9">
        <f>19105+5733</f>
        <v>24838</v>
      </c>
      <c r="AZ9">
        <f>25166+ 8149</f>
        <v>33315</v>
      </c>
      <c r="BA9">
        <f>20729+ 6400</f>
        <v>27129</v>
      </c>
      <c r="BB9">
        <f>19130+5825</f>
        <v>24955</v>
      </c>
      <c r="BC9" t="s">
        <v>26</v>
      </c>
    </row>
    <row r="10" spans="4:56" x14ac:dyDescent="0.25">
      <c r="F10">
        <v>43</v>
      </c>
      <c r="G10">
        <v>106</v>
      </c>
      <c r="H10">
        <v>221</v>
      </c>
      <c r="I10">
        <v>372</v>
      </c>
      <c r="J10">
        <v>561</v>
      </c>
      <c r="K10" t="s">
        <v>0</v>
      </c>
      <c r="R10" t="s">
        <v>13</v>
      </c>
      <c r="S10" t="s">
        <v>12</v>
      </c>
      <c r="T10" t="s">
        <v>6</v>
      </c>
      <c r="Z10">
        <f t="shared" ref="Z10:AB10" si="0">SUM(Z7:Z9)</f>
        <v>131779</v>
      </c>
      <c r="AA10">
        <f t="shared" si="0"/>
        <v>128546</v>
      </c>
      <c r="AB10">
        <f t="shared" si="0"/>
        <v>126624</v>
      </c>
      <c r="AC10">
        <f>SUM(AC7:AC9)</f>
        <v>122807</v>
      </c>
      <c r="AD10" t="s">
        <v>28</v>
      </c>
      <c r="AJ10">
        <f>SUM(AJ7:AJ9)</f>
        <v>67329</v>
      </c>
      <c r="AK10">
        <f>SUM(AK7:AK9)</f>
        <v>65917</v>
      </c>
      <c r="AL10">
        <f>SUM(AL7:AL9)</f>
        <v>68394</v>
      </c>
      <c r="AM10">
        <f>SUM(AM7:AM9)</f>
        <v>62940</v>
      </c>
      <c r="AN10" t="s">
        <v>28</v>
      </c>
      <c r="AQ10">
        <f>SUM(AQ7:AQ9)</f>
        <v>232706</v>
      </c>
      <c r="AR10">
        <f>SUM(AR7:AR9)</f>
        <v>326574</v>
      </c>
      <c r="AS10">
        <f>SUM(AS7:AS9)</f>
        <v>248165</v>
      </c>
      <c r="AT10">
        <f>SUM(AT7:AT9)</f>
        <v>282423</v>
      </c>
      <c r="AU10" t="s">
        <v>28</v>
      </c>
      <c r="AY10">
        <f>75072+32160</f>
        <v>107232</v>
      </c>
      <c r="AZ10">
        <f>72240+ 33360</f>
        <v>105600</v>
      </c>
      <c r="BA10">
        <f>73536+35232</f>
        <v>108768</v>
      </c>
      <c r="BB10">
        <f>66768+32640</f>
        <v>99408</v>
      </c>
      <c r="BC10" t="s">
        <v>27</v>
      </c>
    </row>
    <row r="11" spans="4:56" x14ac:dyDescent="0.25">
      <c r="F11">
        <v>17</v>
      </c>
      <c r="G11">
        <v>43</v>
      </c>
      <c r="H11">
        <v>95</v>
      </c>
      <c r="I11">
        <v>140</v>
      </c>
      <c r="J11">
        <v>212</v>
      </c>
      <c r="K11" t="s">
        <v>1</v>
      </c>
      <c r="V11">
        <v>800</v>
      </c>
      <c r="AG11" t="s">
        <v>17</v>
      </c>
      <c r="AY11">
        <f>SUM(AY8:AY10)</f>
        <v>149474</v>
      </c>
      <c r="AZ11">
        <f>SUM(AZ8:AZ10)</f>
        <v>154333</v>
      </c>
      <c r="BA11">
        <f>SUM(BA8:BA10)</f>
        <v>148206</v>
      </c>
      <c r="BB11">
        <f>SUM(BB8:BB10)</f>
        <v>135672</v>
      </c>
      <c r="BC11" t="s">
        <v>28</v>
      </c>
    </row>
    <row r="12" spans="4:56" x14ac:dyDescent="0.25">
      <c r="D12">
        <f>J13/J11</f>
        <v>1500.9150943396226</v>
      </c>
      <c r="F12">
        <v>16775</v>
      </c>
      <c r="G12">
        <v>49351</v>
      </c>
      <c r="H12">
        <v>86659</v>
      </c>
      <c r="I12">
        <v>146162</v>
      </c>
      <c r="J12">
        <v>220594</v>
      </c>
      <c r="K12" t="s">
        <v>3</v>
      </c>
      <c r="AD12">
        <v>500</v>
      </c>
      <c r="AE12" s="1" t="s">
        <v>12</v>
      </c>
      <c r="AN12">
        <v>500</v>
      </c>
      <c r="AO12" s="1" t="s">
        <v>6</v>
      </c>
      <c r="AU12">
        <v>500</v>
      </c>
      <c r="AV12" s="1" t="s">
        <v>13</v>
      </c>
    </row>
    <row r="13" spans="4:56" x14ac:dyDescent="0.25">
      <c r="F13">
        <v>28895</v>
      </c>
      <c r="G13">
        <v>41468</v>
      </c>
      <c r="H13">
        <v>162413</v>
      </c>
      <c r="I13">
        <v>222704</v>
      </c>
      <c r="J13">
        <v>318194</v>
      </c>
      <c r="K13" t="s">
        <v>4</v>
      </c>
      <c r="Z13">
        <v>0.12</v>
      </c>
      <c r="AA13">
        <v>0.1</v>
      </c>
      <c r="AB13">
        <v>7.4999999999999997E-2</v>
      </c>
      <c r="AC13">
        <v>0.05</v>
      </c>
      <c r="AD13" t="s">
        <v>16</v>
      </c>
      <c r="AJ13">
        <v>0.12</v>
      </c>
      <c r="AK13">
        <v>0.1</v>
      </c>
      <c r="AL13">
        <v>7.4999999999999997E-2</v>
      </c>
      <c r="AM13">
        <v>0.5</v>
      </c>
      <c r="AN13" t="s">
        <v>16</v>
      </c>
      <c r="AQ13">
        <v>0.12</v>
      </c>
      <c r="AR13">
        <v>0.1</v>
      </c>
      <c r="AS13">
        <v>7.4999999999999997E-2</v>
      </c>
      <c r="AT13">
        <v>0.5</v>
      </c>
      <c r="AU13" t="s">
        <v>16</v>
      </c>
      <c r="BC13">
        <v>500</v>
      </c>
      <c r="BD13" s="1" t="s">
        <v>12</v>
      </c>
    </row>
    <row r="14" spans="4:56" x14ac:dyDescent="0.25">
      <c r="F14">
        <v>19464</v>
      </c>
      <c r="G14">
        <v>48416</v>
      </c>
      <c r="H14">
        <v>98236</v>
      </c>
      <c r="I14">
        <v>126519</v>
      </c>
      <c r="J14">
        <v>195244</v>
      </c>
      <c r="K14" t="s">
        <v>5</v>
      </c>
      <c r="Z14">
        <f>33918+11877</f>
        <v>45795</v>
      </c>
      <c r="AA14">
        <f>40492+14141</f>
        <v>54633</v>
      </c>
      <c r="AB14">
        <f>49067+15952</f>
        <v>65019</v>
      </c>
      <c r="AC14">
        <f>58183+17564</f>
        <v>75747</v>
      </c>
      <c r="AD14" t="s">
        <v>25</v>
      </c>
      <c r="AJ14">
        <f>18769+4923</f>
        <v>23692</v>
      </c>
      <c r="AK14">
        <f>14874+4005</f>
        <v>18879</v>
      </c>
      <c r="AL14">
        <f>10238+ 2796</f>
        <v>13034</v>
      </c>
      <c r="AM14">
        <f>6584+ 1876</f>
        <v>8460</v>
      </c>
      <c r="AN14" t="s">
        <v>25</v>
      </c>
      <c r="AQ14">
        <f>407292+ 106231</f>
        <v>513523</v>
      </c>
      <c r="AR14">
        <f>287443+76467</f>
        <v>363910</v>
      </c>
      <c r="AS14">
        <f>278363+ 77634</f>
        <v>355997</v>
      </c>
      <c r="AT14">
        <f>223924+ 62357</f>
        <v>286281</v>
      </c>
      <c r="AU14" t="s">
        <v>25</v>
      </c>
      <c r="AY14">
        <v>0.12</v>
      </c>
      <c r="AZ14">
        <v>0.1</v>
      </c>
      <c r="BA14">
        <v>7.4999999999999997E-2</v>
      </c>
      <c r="BB14">
        <v>0.05</v>
      </c>
      <c r="BC14" t="s">
        <v>16</v>
      </c>
    </row>
    <row r="15" spans="4:56" x14ac:dyDescent="0.25">
      <c r="F15">
        <v>926</v>
      </c>
      <c r="G15">
        <f>K31</f>
        <v>2117</v>
      </c>
      <c r="H15">
        <v>16937</v>
      </c>
      <c r="I15">
        <v>25700</v>
      </c>
      <c r="J15">
        <v>32995</v>
      </c>
      <c r="K15" t="s">
        <v>9</v>
      </c>
      <c r="Z15">
        <f>44744+15885</f>
        <v>60629</v>
      </c>
      <c r="AA15">
        <f>46852+15557</f>
        <v>62409</v>
      </c>
      <c r="AB15">
        <f>44905+15006</f>
        <v>59911</v>
      </c>
      <c r="AC15">
        <f>43114+13395</f>
        <v>56509</v>
      </c>
      <c r="AD15" t="s">
        <v>26</v>
      </c>
      <c r="AJ15">
        <f>12541+ 3706</f>
        <v>16247</v>
      </c>
      <c r="AK15">
        <f>7900+2650</f>
        <v>10550</v>
      </c>
      <c r="AL15">
        <f>3845+1534</f>
        <v>5379</v>
      </c>
      <c r="AM15">
        <f>2904+ 1375</f>
        <v>4279</v>
      </c>
      <c r="AN15" t="s">
        <v>26</v>
      </c>
      <c r="AQ15">
        <f>331675+160027</f>
        <v>491702</v>
      </c>
      <c r="AR15">
        <f>315884+ 162394</f>
        <v>478278</v>
      </c>
      <c r="AS15">
        <f>255165+ 158128</f>
        <v>413293</v>
      </c>
      <c r="AT15">
        <f>199966+155098</f>
        <v>355064</v>
      </c>
      <c r="AU15" t="s">
        <v>26</v>
      </c>
      <c r="AY15">
        <f>33918+11877</f>
        <v>45795</v>
      </c>
      <c r="AZ15">
        <f>40492+14141</f>
        <v>54633</v>
      </c>
      <c r="BA15">
        <f>49067+15952</f>
        <v>65019</v>
      </c>
      <c r="BB15">
        <f>58183+17564</f>
        <v>75747</v>
      </c>
      <c r="BC15" t="s">
        <v>25</v>
      </c>
    </row>
    <row r="16" spans="4:56" x14ac:dyDescent="0.25">
      <c r="Z16">
        <f>366496+168864</f>
        <v>535360</v>
      </c>
      <c r="AA16">
        <f>363040+160656</f>
        <v>523696</v>
      </c>
      <c r="AB16">
        <f>360096+151728</f>
        <v>511824</v>
      </c>
      <c r="AC16">
        <f>348000+135168</f>
        <v>483168</v>
      </c>
      <c r="AD16" t="s">
        <v>27</v>
      </c>
      <c r="AJ16">
        <f>271916+ 90004</f>
        <v>361920</v>
      </c>
      <c r="AK16">
        <f>275412+99308</f>
        <v>374720</v>
      </c>
      <c r="AL16">
        <f>289612+104608</f>
        <v>394220</v>
      </c>
      <c r="AM16">
        <f>309612+84908</f>
        <v>394520</v>
      </c>
      <c r="AN16" t="s">
        <v>27</v>
      </c>
      <c r="AQ16">
        <f>494276+142980</f>
        <v>637256</v>
      </c>
      <c r="AR16">
        <f>476140+147028</f>
        <v>623168</v>
      </c>
      <c r="AS16">
        <f>469184+ 148344</f>
        <v>617528</v>
      </c>
      <c r="AT16">
        <f>463168+152104</f>
        <v>615272</v>
      </c>
      <c r="AU16" t="s">
        <v>27</v>
      </c>
      <c r="AY16">
        <f>44744+15885</f>
        <v>60629</v>
      </c>
      <c r="AZ16">
        <f>46852+15557</f>
        <v>62409</v>
      </c>
      <c r="BA16">
        <f>44905+15006</f>
        <v>59911</v>
      </c>
      <c r="BB16">
        <f>43114+13395</f>
        <v>56509</v>
      </c>
      <c r="BC16" t="s">
        <v>26</v>
      </c>
    </row>
    <row r="17" spans="4:56" x14ac:dyDescent="0.25">
      <c r="F17">
        <v>100</v>
      </c>
      <c r="G17">
        <v>250</v>
      </c>
      <c r="H17">
        <v>500</v>
      </c>
      <c r="I17">
        <v>800</v>
      </c>
      <c r="J17">
        <v>1000</v>
      </c>
      <c r="K17" t="s">
        <v>2</v>
      </c>
      <c r="M17" t="s">
        <v>11</v>
      </c>
      <c r="Z17">
        <f t="shared" ref="Z17" si="1">SUM(Z14:Z16)</f>
        <v>641784</v>
      </c>
      <c r="AA17">
        <f t="shared" ref="AA17" si="2">SUM(AA14:AA16)</f>
        <v>640738</v>
      </c>
      <c r="AB17">
        <f t="shared" ref="AB17" si="3">SUM(AB14:AB16)</f>
        <v>636754</v>
      </c>
      <c r="AC17">
        <f>SUM(AC14:AC16)</f>
        <v>615424</v>
      </c>
      <c r="AD17" t="s">
        <v>28</v>
      </c>
      <c r="AJ17">
        <f>SUM(AJ14:AJ16)</f>
        <v>401859</v>
      </c>
      <c r="AK17">
        <f>SUM(AK14:AK16)</f>
        <v>404149</v>
      </c>
      <c r="AL17">
        <f>SUM(AL14:AL16)</f>
        <v>412633</v>
      </c>
      <c r="AM17">
        <f t="shared" ref="AM17" si="4">SUM(AM14:AM16)</f>
        <v>407259</v>
      </c>
      <c r="AN17" t="s">
        <v>28</v>
      </c>
      <c r="AQ17">
        <f>SUM(AQ14:AQ16)</f>
        <v>1642481</v>
      </c>
      <c r="AR17">
        <f>SUM(AR14:AR16)</f>
        <v>1465356</v>
      </c>
      <c r="AS17">
        <f>SUM(AS14:AS16)</f>
        <v>1386818</v>
      </c>
      <c r="AT17">
        <f t="shared" ref="AT17" si="5">SUM(AT14:AT16)</f>
        <v>1256617</v>
      </c>
      <c r="AU17" t="s">
        <v>28</v>
      </c>
      <c r="AY17">
        <f>366496+168864</f>
        <v>535360</v>
      </c>
      <c r="AZ17">
        <f>363040+160656</f>
        <v>523696</v>
      </c>
      <c r="BA17">
        <f>360096+151728</f>
        <v>511824</v>
      </c>
      <c r="BB17">
        <f>348000+135168</f>
        <v>483168</v>
      </c>
      <c r="BC17" t="s">
        <v>27</v>
      </c>
    </row>
    <row r="18" spans="4:56" x14ac:dyDescent="0.25">
      <c r="D18">
        <f>J21/J19</f>
        <v>1641.563829787234</v>
      </c>
      <c r="F18">
        <v>42</v>
      </c>
      <c r="G18">
        <v>120</v>
      </c>
      <c r="H18">
        <v>281</v>
      </c>
      <c r="I18">
        <v>454</v>
      </c>
      <c r="J18">
        <v>474</v>
      </c>
      <c r="K18" t="s">
        <v>0</v>
      </c>
      <c r="AY18">
        <f t="shared" ref="AY18" si="6">SUM(AY15:AY17)</f>
        <v>641784</v>
      </c>
      <c r="AZ18">
        <f t="shared" ref="AZ18:BA18" si="7">SUM(AZ15:AZ17)</f>
        <v>640738</v>
      </c>
      <c r="BA18">
        <f t="shared" si="7"/>
        <v>636754</v>
      </c>
      <c r="BB18">
        <f>SUM(BB15:BB17)</f>
        <v>615424</v>
      </c>
      <c r="BC18" t="s">
        <v>28</v>
      </c>
    </row>
    <row r="19" spans="4:56" x14ac:dyDescent="0.25">
      <c r="F19">
        <v>17</v>
      </c>
      <c r="G19">
        <v>47</v>
      </c>
      <c r="H19">
        <v>120</v>
      </c>
      <c r="I19">
        <v>184</v>
      </c>
      <c r="J19">
        <v>188</v>
      </c>
      <c r="K19" t="s">
        <v>1</v>
      </c>
      <c r="AD19">
        <v>1000</v>
      </c>
      <c r="AE19" s="1" t="s">
        <v>12</v>
      </c>
      <c r="AN19">
        <v>1000</v>
      </c>
      <c r="AO19" s="1" t="s">
        <v>6</v>
      </c>
      <c r="AU19">
        <v>1000</v>
      </c>
      <c r="AV19" s="1" t="s">
        <v>13</v>
      </c>
    </row>
    <row r="20" spans="4:56" x14ac:dyDescent="0.25">
      <c r="F20">
        <v>16386</v>
      </c>
      <c r="G20">
        <v>46953</v>
      </c>
      <c r="H20">
        <v>110194</v>
      </c>
      <c r="I20">
        <v>178325</v>
      </c>
      <c r="J20">
        <v>186348</v>
      </c>
      <c r="K20" t="s">
        <v>3</v>
      </c>
      <c r="Z20">
        <v>0.12</v>
      </c>
      <c r="AA20">
        <v>0.1</v>
      </c>
      <c r="AB20">
        <v>7.4999999999999997E-2</v>
      </c>
      <c r="AC20">
        <v>0.05</v>
      </c>
      <c r="AD20" t="s">
        <v>16</v>
      </c>
      <c r="AJ20">
        <v>0.12</v>
      </c>
      <c r="AK20">
        <v>0.1</v>
      </c>
      <c r="AL20">
        <v>7.4999999999999997E-2</v>
      </c>
      <c r="AM20">
        <v>0.5</v>
      </c>
      <c r="AN20" t="s">
        <v>16</v>
      </c>
      <c r="AQ20">
        <v>0.12</v>
      </c>
      <c r="AR20">
        <v>0.1</v>
      </c>
      <c r="AS20">
        <v>7.4999999999999997E-2</v>
      </c>
      <c r="AT20">
        <v>0.5</v>
      </c>
      <c r="AU20" t="s">
        <v>16</v>
      </c>
      <c r="BC20">
        <v>1000</v>
      </c>
      <c r="BD20" s="1" t="s">
        <v>12</v>
      </c>
    </row>
    <row r="21" spans="4:56" x14ac:dyDescent="0.25">
      <c r="F21">
        <v>32817</v>
      </c>
      <c r="G21">
        <v>72637</v>
      </c>
      <c r="H21">
        <v>182473</v>
      </c>
      <c r="I21">
        <v>267890</v>
      </c>
      <c r="J21">
        <v>308614</v>
      </c>
      <c r="K21" t="s">
        <v>4</v>
      </c>
      <c r="Z21">
        <f>66439+25578</f>
        <v>92017</v>
      </c>
      <c r="AA21">
        <f>100658+35027</f>
        <v>135685</v>
      </c>
      <c r="AB21">
        <f>107606+39213</f>
        <v>146819</v>
      </c>
      <c r="AC21">
        <f>108249+48054</f>
        <v>156303</v>
      </c>
      <c r="AD21" t="s">
        <v>25</v>
      </c>
      <c r="AJ21">
        <f>40911+10755</f>
        <v>51666</v>
      </c>
      <c r="AK21">
        <f>29925+8009</f>
        <v>37934</v>
      </c>
      <c r="AL21">
        <f>20615+5717</f>
        <v>26332</v>
      </c>
      <c r="AM21">
        <f>14551+4032</f>
        <v>18583</v>
      </c>
      <c r="AN21" t="s">
        <v>25</v>
      </c>
      <c r="AQ21">
        <f>815314+ 211888</f>
        <v>1027202</v>
      </c>
      <c r="AR21">
        <f>707309+190282</f>
        <v>897591</v>
      </c>
      <c r="AS21">
        <f>522412+ 143867</f>
        <v>666279</v>
      </c>
      <c r="AT21">
        <f>375143+105666</f>
        <v>480809</v>
      </c>
      <c r="AU21" t="s">
        <v>25</v>
      </c>
      <c r="AY21">
        <v>0.12</v>
      </c>
      <c r="AZ21">
        <v>0.1</v>
      </c>
      <c r="BA21">
        <v>7.4999999999999997E-2</v>
      </c>
      <c r="BB21">
        <v>0.05</v>
      </c>
      <c r="BC21" t="s">
        <v>16</v>
      </c>
    </row>
    <row r="22" spans="4:56" x14ac:dyDescent="0.25">
      <c r="F22">
        <v>19276</v>
      </c>
      <c r="G22">
        <v>48792</v>
      </c>
      <c r="H22">
        <v>98236</v>
      </c>
      <c r="I22">
        <v>155952</v>
      </c>
      <c r="J22">
        <v>251088</v>
      </c>
      <c r="K22" t="s">
        <v>5</v>
      </c>
      <c r="Z22">
        <f>103369+44072</f>
        <v>147441</v>
      </c>
      <c r="AA22">
        <f>109590+42755</f>
        <v>152345</v>
      </c>
      <c r="AB22">
        <f>99847+39783</f>
        <v>139630</v>
      </c>
      <c r="AC22">
        <f>96558+40316</f>
        <v>136874</v>
      </c>
      <c r="AD22" t="s">
        <v>26</v>
      </c>
      <c r="AJ22">
        <f>24840+7414</f>
        <v>32254</v>
      </c>
      <c r="AK22">
        <f>14619+5006</f>
        <v>19625</v>
      </c>
      <c r="AL22">
        <f>7722+3134</f>
        <v>10856</v>
      </c>
      <c r="AM22">
        <f>6404+2853</f>
        <v>9257</v>
      </c>
      <c r="AN22" t="s">
        <v>26</v>
      </c>
      <c r="AQ22">
        <f>637853+304628</f>
        <v>942481</v>
      </c>
      <c r="AR22">
        <f>584213+ 322478</f>
        <v>906691</v>
      </c>
      <c r="AS22">
        <f>525172+309377</f>
        <v>834549</v>
      </c>
      <c r="AT22">
        <f>491535+ 309062</f>
        <v>800597</v>
      </c>
      <c r="AU22" t="s">
        <v>26</v>
      </c>
      <c r="AY22">
        <f>66439+25578</f>
        <v>92017</v>
      </c>
      <c r="AZ22">
        <f>100658+35027</f>
        <v>135685</v>
      </c>
      <c r="BA22">
        <f>107606+39213</f>
        <v>146819</v>
      </c>
      <c r="BB22">
        <f>108249+48054</f>
        <v>156303</v>
      </c>
      <c r="BC22" t="s">
        <v>25</v>
      </c>
    </row>
    <row r="23" spans="4:56" x14ac:dyDescent="0.25">
      <c r="F23">
        <v>1143</v>
      </c>
      <c r="G23">
        <v>12694</v>
      </c>
      <c r="H23">
        <v>18550</v>
      </c>
      <c r="I23">
        <v>27221</v>
      </c>
      <c r="J23">
        <v>33064</v>
      </c>
      <c r="K23" t="s">
        <v>9</v>
      </c>
      <c r="Z23">
        <f>695760+372048</f>
        <v>1067808</v>
      </c>
      <c r="AA23">
        <f>699456+299040</f>
        <v>998496</v>
      </c>
      <c r="AB23">
        <f>701232+295296</f>
        <v>996528</v>
      </c>
      <c r="AC23">
        <f>675888+288768</f>
        <v>964656</v>
      </c>
      <c r="AD23" t="s">
        <v>27</v>
      </c>
      <c r="AJ23">
        <f>542916+190104</f>
        <v>733020</v>
      </c>
      <c r="AK23">
        <f>529912+179608</f>
        <v>709520</v>
      </c>
      <c r="AL23">
        <f>514612+164608</f>
        <v>679220</v>
      </c>
      <c r="AM23">
        <f>501812+167908</f>
        <v>669720</v>
      </c>
      <c r="AN23" t="s">
        <v>27</v>
      </c>
      <c r="AQ23">
        <f>964652+ 279280</f>
        <v>1243932</v>
      </c>
      <c r="AR23">
        <f>968136+293856</f>
        <v>1261992</v>
      </c>
      <c r="AS23">
        <f>942192+293104</f>
        <v>1235296</v>
      </c>
      <c r="AT23">
        <f>818300+274116</f>
        <v>1092416</v>
      </c>
      <c r="AU23" t="s">
        <v>27</v>
      </c>
      <c r="AY23">
        <f>103369+44072</f>
        <v>147441</v>
      </c>
      <c r="AZ23">
        <f>109590+42755</f>
        <v>152345</v>
      </c>
      <c r="BA23">
        <f>99847+39783</f>
        <v>139630</v>
      </c>
      <c r="BB23">
        <f>96558+40316</f>
        <v>136874</v>
      </c>
      <c r="BC23" t="s">
        <v>26</v>
      </c>
    </row>
    <row r="24" spans="4:56" x14ac:dyDescent="0.25">
      <c r="Z24">
        <f t="shared" ref="Z24" si="8">SUM(Z21:Z23)</f>
        <v>1307266</v>
      </c>
      <c r="AA24">
        <f>SUM(AA21:AA23)</f>
        <v>1286526</v>
      </c>
      <c r="AB24">
        <f t="shared" ref="AB24" si="9">SUM(AB21:AB23)</f>
        <v>1282977</v>
      </c>
      <c r="AC24">
        <f>SUM(AC21:AC23)</f>
        <v>1257833</v>
      </c>
      <c r="AD24" t="s">
        <v>28</v>
      </c>
      <c r="AJ24">
        <f>SUM(AJ21:AJ23)</f>
        <v>816940</v>
      </c>
      <c r="AK24">
        <f>SUM(AK21:AK23)</f>
        <v>767079</v>
      </c>
      <c r="AL24">
        <f>SUM(AL21:AL23)</f>
        <v>716408</v>
      </c>
      <c r="AM24">
        <f t="shared" ref="AM24" si="10">SUM(AM21:AM23)</f>
        <v>697560</v>
      </c>
      <c r="AN24" t="s">
        <v>28</v>
      </c>
      <c r="AQ24">
        <f>SUM(AQ21:AQ23)</f>
        <v>3213615</v>
      </c>
      <c r="AR24">
        <f>SUM(AR21:AR23)</f>
        <v>3066274</v>
      </c>
      <c r="AS24">
        <f>SUM(AS21:AS23)</f>
        <v>2736124</v>
      </c>
      <c r="AT24">
        <f t="shared" ref="AT24" si="11">SUM(AT21:AT23)</f>
        <v>2373822</v>
      </c>
      <c r="AU24" t="s">
        <v>28</v>
      </c>
      <c r="AY24">
        <f>695760+372048</f>
        <v>1067808</v>
      </c>
      <c r="AZ24">
        <f>699456+299040</f>
        <v>998496</v>
      </c>
      <c r="BA24">
        <f>701232+295296</f>
        <v>996528</v>
      </c>
      <c r="BB24">
        <f>675888+288768</f>
        <v>964656</v>
      </c>
      <c r="BC24" t="s">
        <v>27</v>
      </c>
    </row>
    <row r="25" spans="4:56" x14ac:dyDescent="0.25">
      <c r="AY25">
        <f t="shared" ref="AY25" si="12">SUM(AY22:AY24)</f>
        <v>1307266</v>
      </c>
      <c r="AZ25">
        <f>SUM(AZ22:AZ24)</f>
        <v>1286526</v>
      </c>
      <c r="BA25">
        <f t="shared" ref="BA25" si="13">SUM(BA22:BA24)</f>
        <v>1282977</v>
      </c>
      <c r="BB25">
        <f>SUM(BB22:BB24)</f>
        <v>1257833</v>
      </c>
      <c r="BC25" t="s">
        <v>28</v>
      </c>
    </row>
    <row r="28" spans="4:56" x14ac:dyDescent="0.25">
      <c r="J28">
        <f>J23</f>
        <v>33064</v>
      </c>
      <c r="K28">
        <f>J15</f>
        <v>32995</v>
      </c>
      <c r="L28">
        <f>J7</f>
        <v>95884</v>
      </c>
      <c r="M28">
        <v>1000</v>
      </c>
      <c r="R28">
        <v>6</v>
      </c>
      <c r="S28">
        <v>4</v>
      </c>
      <c r="T28">
        <v>2</v>
      </c>
      <c r="U28">
        <v>1</v>
      </c>
      <c r="V28" t="s">
        <v>14</v>
      </c>
    </row>
    <row r="29" spans="4:56" x14ac:dyDescent="0.25">
      <c r="J29">
        <f>I23</f>
        <v>27221</v>
      </c>
      <c r="K29">
        <v>12409</v>
      </c>
      <c r="L29">
        <f>I7</f>
        <v>79328</v>
      </c>
      <c r="M29">
        <v>800</v>
      </c>
      <c r="R29">
        <f>1029+363</f>
        <v>1392</v>
      </c>
      <c r="S29">
        <f>1038+392</f>
        <v>1430</v>
      </c>
      <c r="T29">
        <f>1100+392</f>
        <v>1492</v>
      </c>
      <c r="U29">
        <f>976+373</f>
        <v>1349</v>
      </c>
      <c r="V29" t="s">
        <v>15</v>
      </c>
    </row>
    <row r="30" spans="4:56" x14ac:dyDescent="0.25">
      <c r="J30">
        <f>H23</f>
        <v>18550</v>
      </c>
      <c r="K30">
        <v>5225</v>
      </c>
      <c r="L30">
        <f>H7</f>
        <v>34201</v>
      </c>
      <c r="M30">
        <v>500</v>
      </c>
      <c r="R30">
        <f>190814+64816</f>
        <v>255630</v>
      </c>
      <c r="S30">
        <f>195623+69931</f>
        <v>265554</v>
      </c>
      <c r="T30">
        <f>222611+73032</f>
        <v>295643</v>
      </c>
      <c r="U30">
        <f>220087+80609</f>
        <v>300696</v>
      </c>
      <c r="V30" t="s">
        <v>22</v>
      </c>
    </row>
    <row r="31" spans="4:56" x14ac:dyDescent="0.25">
      <c r="J31">
        <f>G23</f>
        <v>12694</v>
      </c>
      <c r="K31">
        <v>2117</v>
      </c>
      <c r="L31">
        <f>G7</f>
        <v>15286</v>
      </c>
      <c r="M31">
        <v>250</v>
      </c>
      <c r="R31">
        <f t="shared" ref="R31:S31" si="14">R30/R29</f>
        <v>183.64224137931035</v>
      </c>
      <c r="S31">
        <f t="shared" si="14"/>
        <v>185.7020979020979</v>
      </c>
      <c r="T31">
        <f>T30/T29</f>
        <v>198.15214477211796</v>
      </c>
      <c r="U31">
        <f>U30/U29</f>
        <v>222.90289103039288</v>
      </c>
      <c r="V31" t="s">
        <v>21</v>
      </c>
    </row>
    <row r="32" spans="4:56" x14ac:dyDescent="0.25">
      <c r="J32">
        <f>F23</f>
        <v>1143</v>
      </c>
      <c r="K32">
        <f>F15</f>
        <v>926</v>
      </c>
      <c r="L32">
        <f>F7</f>
        <v>11360</v>
      </c>
      <c r="M32">
        <v>100</v>
      </c>
      <c r="R32">
        <f>1847+582</f>
        <v>2429</v>
      </c>
      <c r="S32">
        <f>1943+629</f>
        <v>2572</v>
      </c>
      <c r="T32">
        <f>1964+623</f>
        <v>2587</v>
      </c>
      <c r="U32">
        <f>1816+580</f>
        <v>2396</v>
      </c>
      <c r="V32" t="s">
        <v>18</v>
      </c>
    </row>
    <row r="33" spans="10:22" x14ac:dyDescent="0.25">
      <c r="J33" t="s">
        <v>12</v>
      </c>
      <c r="K33" t="s">
        <v>7</v>
      </c>
      <c r="L33" t="s">
        <v>6</v>
      </c>
      <c r="R33">
        <f>100441+31833</f>
        <v>132274</v>
      </c>
      <c r="S33">
        <f>105169+34223</f>
        <v>139392</v>
      </c>
      <c r="T33">
        <f>106517+34306</f>
        <v>140823</v>
      </c>
      <c r="U33">
        <f>100283+31709</f>
        <v>131992</v>
      </c>
      <c r="V33" t="s">
        <v>19</v>
      </c>
    </row>
    <row r="34" spans="10:22" x14ac:dyDescent="0.25">
      <c r="R34">
        <f t="shared" ref="R34:S34" si="15">R33/R32</f>
        <v>54.456154796212431</v>
      </c>
      <c r="S34">
        <f t="shared" si="15"/>
        <v>54.195956454121308</v>
      </c>
      <c r="T34">
        <f>T33/T32</f>
        <v>54.434866640896793</v>
      </c>
      <c r="U34">
        <f>U33/U32</f>
        <v>55.088480801335557</v>
      </c>
      <c r="V34" t="s">
        <v>23</v>
      </c>
    </row>
    <row r="35" spans="10:22" x14ac:dyDescent="0.25">
      <c r="R35">
        <f>572928+234672</f>
        <v>807600</v>
      </c>
      <c r="S35">
        <f>563856+230784</f>
        <v>794640</v>
      </c>
      <c r="T35">
        <f>564384+234816</f>
        <v>799200</v>
      </c>
      <c r="U35">
        <f>591984+230448</f>
        <v>822432</v>
      </c>
      <c r="V35" t="s">
        <v>5</v>
      </c>
    </row>
    <row r="36" spans="10:22" x14ac:dyDescent="0.25">
      <c r="R36">
        <f>3982+1633</f>
        <v>5615</v>
      </c>
      <c r="S36">
        <f>3919+1606</f>
        <v>5525</v>
      </c>
      <c r="T36">
        <f>3922+1634</f>
        <v>5556</v>
      </c>
      <c r="U36">
        <f>4113+1601</f>
        <v>5714</v>
      </c>
      <c r="V36" t="s">
        <v>20</v>
      </c>
    </row>
    <row r="37" spans="10:22" x14ac:dyDescent="0.25">
      <c r="R37">
        <f t="shared" ref="R37:S37" si="16">R35/R36</f>
        <v>143.82902938557436</v>
      </c>
      <c r="S37">
        <f t="shared" si="16"/>
        <v>143.8262443438914</v>
      </c>
      <c r="T37">
        <f>T35/T36</f>
        <v>143.84449244060474</v>
      </c>
      <c r="U37">
        <f>U35/U36</f>
        <v>143.93279663983199</v>
      </c>
      <c r="V37" t="s">
        <v>24</v>
      </c>
    </row>
    <row r="38" spans="10:22" x14ac:dyDescent="0.25">
      <c r="R38">
        <v>22044</v>
      </c>
      <c r="S38">
        <v>24049</v>
      </c>
      <c r="T38">
        <v>21046</v>
      </c>
      <c r="U38">
        <v>19031</v>
      </c>
      <c r="V38" t="s">
        <v>9</v>
      </c>
    </row>
    <row r="44" spans="10:22" x14ac:dyDescent="0.25">
      <c r="J44">
        <f>J12+J13+J14</f>
        <v>734032</v>
      </c>
      <c r="K44">
        <f>J20+J21+J22</f>
        <v>746050</v>
      </c>
      <c r="L44">
        <f>J4+J5+J6</f>
        <v>146463</v>
      </c>
      <c r="M44">
        <v>1000</v>
      </c>
    </row>
    <row r="45" spans="10:22" x14ac:dyDescent="0.25">
      <c r="J45">
        <f>I12+I13+I14</f>
        <v>495385</v>
      </c>
      <c r="K45">
        <f>I20+I21+I22</f>
        <v>602167</v>
      </c>
      <c r="L45">
        <f>I4+I5+I6</f>
        <v>120322</v>
      </c>
      <c r="M45">
        <v>800</v>
      </c>
    </row>
    <row r="46" spans="10:22" x14ac:dyDescent="0.25">
      <c r="J46">
        <f>H12+H13+H14</f>
        <v>347308</v>
      </c>
      <c r="K46">
        <f>H20+H21+H22</f>
        <v>390903</v>
      </c>
      <c r="L46">
        <f>H4+H5+H6</f>
        <v>75930</v>
      </c>
      <c r="M46">
        <v>500</v>
      </c>
    </row>
    <row r="47" spans="10:22" x14ac:dyDescent="0.25">
      <c r="J47">
        <f>G12+G13+G14</f>
        <v>139235</v>
      </c>
      <c r="K47">
        <f>G20+G21+G22</f>
        <v>168382</v>
      </c>
      <c r="L47">
        <f>G4+G5+G6</f>
        <v>32969</v>
      </c>
      <c r="M47">
        <v>250</v>
      </c>
    </row>
    <row r="48" spans="10:22" x14ac:dyDescent="0.25">
      <c r="J48">
        <f>F12+F13+F14</f>
        <v>65134</v>
      </c>
      <c r="K48">
        <f>F20+F21+F22</f>
        <v>68479</v>
      </c>
      <c r="L48">
        <f>F4+F5+F6</f>
        <v>43177</v>
      </c>
      <c r="M48">
        <v>100</v>
      </c>
    </row>
    <row r="49" spans="10:12" x14ac:dyDescent="0.25">
      <c r="J49" t="s">
        <v>13</v>
      </c>
      <c r="K49" t="s">
        <v>12</v>
      </c>
      <c r="L49" t="s">
        <v>6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2017-02-10T11:16:56Z</dcterms:modified>
</cp:coreProperties>
</file>