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iliaroberts/Desktop/"/>
    </mc:Choice>
  </mc:AlternateContent>
  <xr:revisionPtr revIDLastSave="0" documentId="8_{E5E524E8-2624-3847-BECD-5F35003B3663}" xr6:coauthVersionLast="47" xr6:coauthVersionMax="47" xr10:uidLastSave="{00000000-0000-0000-0000-000000000000}"/>
  <bookViews>
    <workbookView xWindow="140" yWindow="760" windowWidth="34400" windowHeight="19540" activeTab="5" xr2:uid="{00000000-000D-0000-FFFF-FFFF00000000}"/>
  </bookViews>
  <sheets>
    <sheet name="Crowdfunding" sheetId="1" r:id="rId1"/>
    <sheet name="category pivot" sheetId="2" r:id="rId2"/>
    <sheet name="subcategory pivot" sheetId="4" r:id="rId3"/>
    <sheet name="year outcome" sheetId="8" r:id="rId4"/>
    <sheet name="goal outcomes" sheetId="9" r:id="rId5"/>
    <sheet name="outcome statistics" sheetId="10" r:id="rId6"/>
  </sheets>
  <definedNames>
    <definedName name="_xlnm._FilterDatabase" localSheetId="0" hidden="1">Crowdfunding!$A$1:$T$1001</definedName>
    <definedName name="Goals">Crowdfunding!$D$2:$D$1001</definedName>
    <definedName name="Outcomes">Crowdfunding!$G$2:$G$1001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2" i="10"/>
  <c r="J3" i="10"/>
  <c r="J2" i="10"/>
  <c r="K3" i="10"/>
  <c r="K2" i="10"/>
  <c r="M3" i="10"/>
  <c r="M2" i="10"/>
  <c r="L3" i="10"/>
  <c r="L2" i="10"/>
  <c r="H3" i="10"/>
  <c r="H2" i="10"/>
  <c r="B3" i="9"/>
  <c r="B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9" i="9"/>
  <c r="C12" i="9"/>
  <c r="C11" i="9"/>
  <c r="C10" i="9"/>
  <c r="C8" i="9"/>
  <c r="C7" i="9"/>
  <c r="C6" i="9"/>
  <c r="C5" i="9"/>
  <c r="C4" i="9"/>
  <c r="C3" i="9"/>
  <c r="C2" i="9"/>
  <c r="B13" i="9"/>
  <c r="F2" i="1"/>
  <c r="B4" i="9"/>
  <c r="B11" i="9"/>
  <c r="B12" i="9"/>
  <c r="B10" i="9"/>
  <c r="B9" i="9"/>
  <c r="B8" i="9"/>
  <c r="B7" i="9"/>
  <c r="B6" i="9"/>
  <c r="B5" i="9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4" i="1"/>
  <c r="O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8" i="9" l="1"/>
  <c r="G8" i="9" s="1"/>
  <c r="E7" i="9"/>
  <c r="H7" i="9" s="1"/>
  <c r="E6" i="9"/>
  <c r="H6" i="9" s="1"/>
  <c r="E5" i="9"/>
  <c r="G5" i="9" s="1"/>
  <c r="E13" i="9"/>
  <c r="F13" i="9" s="1"/>
  <c r="E2" i="9"/>
  <c r="H2" i="9" s="1"/>
  <c r="E11" i="9"/>
  <c r="F11" i="9" s="1"/>
  <c r="E12" i="9"/>
  <c r="G12" i="9" s="1"/>
  <c r="E10" i="9"/>
  <c r="H10" i="9" s="1"/>
  <c r="E9" i="9"/>
  <c r="F9" i="9" s="1"/>
  <c r="E4" i="9"/>
  <c r="G4" i="9" s="1"/>
  <c r="E3" i="9"/>
  <c r="F3" i="9" s="1"/>
  <c r="G6" i="9" l="1"/>
  <c r="F2" i="9"/>
  <c r="F10" i="9"/>
  <c r="F8" i="9"/>
  <c r="H11" i="9"/>
  <c r="G2" i="9"/>
  <c r="H8" i="9"/>
  <c r="G11" i="9"/>
  <c r="G3" i="9"/>
  <c r="F6" i="9"/>
  <c r="G7" i="9"/>
  <c r="H12" i="9"/>
  <c r="G9" i="9"/>
  <c r="F5" i="9"/>
  <c r="G13" i="9"/>
  <c r="H13" i="9"/>
  <c r="H5" i="9"/>
  <c r="F4" i="9"/>
  <c r="F12" i="9"/>
  <c r="H9" i="9"/>
  <c r="H3" i="9"/>
  <c r="F7" i="9"/>
  <c r="G10" i="9"/>
  <c r="H4" i="9"/>
</calcChain>
</file>

<file path=xl/sharedStrings.xml><?xml version="1.0" encoding="utf-8"?>
<sst xmlns="http://schemas.openxmlformats.org/spreadsheetml/2006/main" count="9060" uniqueCount="2114">
  <si>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</si>
  <si>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</si>
  <si>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</si>
  <si>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</si>
  <si>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</si>
  <si>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</si>
  <si>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</si>
  <si>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</si>
  <si>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</si>
  <si>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</si>
  <si>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</si>
  <si>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</si>
  <si>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</si>
  <si>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</si>
  <si>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</si>
  <si>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</si>
  <si>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</si>
  <si>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</si>
  <si>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</si>
  <si>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</si>
  <si>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</si>
  <si>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</si>
  <si>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</si>
  <si>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</si>
  <si>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</si>
  <si>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</si>
  <si>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</si>
  <si>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</si>
  <si>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</si>
  <si>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</si>
  <si>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</si>
  <si>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</si>
  <si>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</si>
  <si>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</si>
  <si>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</si>
  <si>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</si>
  <si>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</si>
  <si>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</si>
  <si>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</si>
  <si>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</si>
  <si>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</si>
  <si>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</si>
  <si>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</si>
  <si>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</si>
  <si>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</si>
  <si>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</si>
  <si>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</si>
  <si>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</si>
  <si>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</si>
  <si>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</si>
  <si>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</si>
  <si>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</si>
  <si>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</si>
  <si>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</si>
  <si>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</si>
  <si>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</si>
  <si>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</si>
  <si>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</si>
  <si>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</si>
  <si>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</si>
  <si>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</si>
  <si>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</si>
  <si>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</si>
  <si>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</si>
  <si>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</si>
  <si>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</si>
  <si>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</si>
  <si>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</si>
  <si>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</si>
  <si>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</si>
  <si>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</si>
  <si>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</si>
  <si>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</si>
  <si>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</si>
  <si>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</si>
  <si>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</si>
  <si>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</si>
  <si>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</si>
  <si>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</si>
  <si>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</si>
  <si>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</si>
  <si>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</si>
  <si>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</si>
  <si>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</si>
  <si>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</si>
  <si>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</si>
  <si>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</si>
  <si>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</si>
  <si>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</si>
  <si>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</si>
  <si>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</si>
  <si>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</si>
  <si>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</si>
  <si>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</si>
  <si>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</si>
  <si>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</si>
  <si>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</si>
  <si>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</si>
  <si>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</si>
  <si>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</si>
  <si>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</si>
  <si>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</si>
  <si>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</si>
  <si>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</si>
  <si>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</si>
  <si>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</si>
  <si>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</si>
  <si>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</si>
  <si>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</si>
  <si>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</si>
  <si>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</si>
  <si>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</si>
  <si>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</si>
  <si>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</si>
  <si>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</si>
  <si>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</si>
  <si>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</si>
  <si>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</si>
  <si>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</si>
  <si>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</si>
  <si>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</si>
  <si>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</si>
  <si>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</si>
  <si>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</si>
  <si>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</si>
  <si>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</si>
  <si>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</si>
  <si>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</si>
  <si>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</si>
  <si>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</si>
  <si>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</si>
  <si>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</si>
  <si>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</si>
  <si>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</si>
  <si>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</si>
  <si>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</si>
  <si>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</si>
  <si>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</si>
  <si>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</si>
  <si>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</si>
  <si>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</si>
  <si>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</si>
  <si>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</si>
  <si>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</si>
  <si>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</si>
  <si>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</si>
  <si>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</si>
  <si>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</si>
  <si>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</si>
  <si>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</si>
  <si>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</si>
  <si>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</si>
  <si>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</si>
  <si>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</si>
  <si>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</si>
  <si>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</si>
  <si>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</si>
  <si>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</si>
  <si>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</si>
  <si>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</si>
  <si>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</si>
  <si>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</si>
  <si>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</si>
  <si>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</si>
  <si>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</si>
  <si>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</si>
  <si>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</si>
  <si>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</si>
  <si>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</si>
  <si>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</si>
  <si>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</si>
  <si>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</si>
  <si>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</si>
  <si>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</si>
  <si>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</si>
  <si>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</si>
  <si>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</si>
  <si>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</si>
  <si>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</si>
  <si>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</si>
  <si>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</si>
  <si>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</si>
  <si>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</si>
  <si>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</si>
  <si>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</si>
  <si>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</si>
  <si>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</si>
  <si>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</si>
  <si>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</si>
  <si>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</si>
  <si>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</si>
  <si>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</si>
  <si>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</si>
  <si>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</si>
  <si>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</si>
  <si>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</si>
  <si>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</si>
  <si>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</si>
  <si>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</si>
  <si>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</si>
  <si>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</si>
  <si>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</si>
  <si>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</si>
  <si>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</si>
  <si>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</si>
  <si>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</si>
  <si>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</si>
  <si>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</si>
  <si>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</si>
  <si>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</si>
  <si>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</si>
  <si>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</si>
  <si>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</si>
  <si>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</si>
  <si>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</si>
  <si>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</si>
  <si>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</si>
  <si>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</si>
  <si>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</si>
  <si>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</si>
  <si>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</si>
  <si>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</si>
  <si>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</si>
  <si>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</si>
  <si>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</si>
  <si>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</si>
  <si>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</si>
  <si>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</si>
  <si>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</si>
  <si>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</si>
  <si>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</si>
  <si>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</si>
  <si>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</si>
  <si>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</si>
  <si>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</si>
  <si>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</si>
  <si>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</si>
  <si>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</si>
  <si>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</si>
  <si>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</si>
  <si>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</si>
  <si>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</si>
  <si>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</si>
  <si>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</si>
  <si>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</si>
  <si>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</si>
  <si>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</si>
  <si>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</si>
  <si>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</si>
  <si>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</si>
  <si>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</si>
  <si>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</si>
  <si>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</si>
  <si>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</si>
  <si>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</si>
  <si>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</si>
  <si>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</si>
  <si>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</si>
  <si>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</si>
  <si>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</si>
  <si>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</si>
  <si>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</si>
  <si>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</si>
  <si>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</si>
  <si>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</si>
  <si>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</si>
  <si>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</si>
  <si>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</si>
  <si>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</si>
  <si>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</si>
  <si>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</si>
  <si>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</si>
  <si>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</si>
  <si>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</si>
  <si>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</si>
  <si>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</si>
  <si>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</si>
  <si>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</si>
  <si>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</si>
  <si>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</si>
  <si>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</si>
  <si>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</si>
  <si>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</si>
  <si>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</si>
  <si>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</si>
  <si>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</si>
  <si>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</si>
  <si>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</si>
  <si>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</si>
  <si>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</si>
  <si>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</si>
  <si>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</si>
  <si>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</si>
  <si>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</si>
  <si>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</si>
  <si>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</si>
  <si>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</si>
  <si>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</si>
  <si>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</si>
  <si>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</si>
  <si>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</si>
  <si>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</si>
  <si>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</si>
  <si>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</si>
  <si>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</si>
  <si>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</si>
  <si>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</si>
  <si>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</si>
  <si>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</si>
  <si>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</si>
  <si>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</si>
  <si>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</si>
  <si>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</si>
  <si>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</si>
  <si>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</si>
  <si>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</si>
  <si>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</si>
  <si>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</si>
  <si>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</si>
  <si>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</si>
  <si>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</si>
  <si>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</si>
  <si>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</si>
  <si>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</si>
  <si>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</si>
  <si>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</si>
  <si>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</si>
  <si>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</si>
  <si>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</si>
  <si>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</si>
  <si>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</si>
  <si>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</si>
  <si>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</si>
  <si>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</si>
  <si>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</si>
  <si>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</si>
  <si>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</si>
  <si>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</si>
  <si>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</si>
  <si>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</si>
  <si>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</si>
  <si>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</si>
  <si>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</si>
  <si>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</si>
  <si>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</si>
  <si>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</si>
  <si>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</si>
  <si>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</si>
  <si>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</si>
  <si>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</si>
  <si>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</si>
  <si>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</si>
  <si>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</si>
  <si>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</si>
  <si>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</si>
  <si>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</si>
  <si>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</si>
  <si>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</si>
  <si>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</si>
  <si>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</si>
  <si>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</si>
  <si>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</si>
  <si>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</si>
  <si>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</si>
  <si>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</si>
  <si>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</si>
  <si>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</si>
  <si>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</si>
  <si>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</si>
  <si>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</si>
  <si>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</si>
  <si>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</si>
  <si>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</si>
  <si>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</si>
  <si>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</si>
  <si>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</si>
  <si>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</si>
  <si>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</si>
  <si>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</si>
  <si>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</si>
  <si>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</si>
  <si>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</si>
  <si>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</si>
  <si>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</si>
  <si>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</si>
  <si>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</si>
  <si>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</si>
  <si>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</si>
  <si>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</si>
  <si>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</si>
  <si>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</si>
  <si>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</si>
  <si>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</si>
  <si>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</si>
  <si>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</si>
  <si>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</si>
  <si>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</si>
  <si>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</si>
  <si>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</si>
  <si>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</si>
  <si>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</si>
  <si>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</si>
  <si>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</si>
  <si>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</si>
  <si>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</si>
  <si>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</si>
  <si>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</si>
  <si>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</si>
  <si>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</si>
  <si>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</si>
  <si>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</si>
  <si>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</si>
  <si>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</si>
  <si>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</si>
  <si>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</si>
  <si>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</si>
  <si>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</si>
  <si>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</si>
  <si>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</si>
  <si>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</si>
  <si>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</si>
  <si>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</si>
  <si>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</si>
  <si>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</si>
  <si>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</si>
  <si>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</si>
  <si>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</si>
  <si>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</si>
  <si>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</si>
  <si>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</si>
  <si>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</si>
  <si>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</si>
  <si>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</si>
  <si>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</si>
  <si>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</si>
  <si>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</si>
  <si>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</si>
  <si>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</si>
  <si>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</si>
  <si>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</si>
  <si>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</si>
  <si>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</si>
  <si>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</si>
  <si>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</si>
  <si>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</si>
  <si>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</si>
  <si>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</si>
  <si>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</si>
  <si>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</si>
  <si>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</si>
  <si>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</si>
  <si>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</si>
  <si>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</si>
  <si>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</si>
  <si>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</si>
  <si>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</si>
  <si>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</si>
  <si>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</si>
  <si>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</si>
  <si>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</si>
  <si>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</si>
  <si>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</si>
  <si>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</si>
  <si>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</si>
  <si>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</si>
  <si>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</si>
  <si>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</si>
  <si>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</si>
  <si>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</si>
  <si>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</si>
  <si>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</si>
  <si>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</si>
  <si>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</si>
  <si>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</si>
  <si>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</si>
  <si>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</si>
  <si>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</si>
  <si>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</si>
  <si>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</si>
  <si>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</si>
  <si>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</si>
  <si>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</si>
  <si>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</si>
  <si>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</si>
  <si>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</si>
  <si>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</si>
  <si>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</si>
  <si>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</si>
  <si>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</si>
  <si>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</si>
  <si>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</si>
  <si>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</si>
  <si>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</si>
  <si>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</si>
  <si>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</si>
  <si>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</si>
  <si>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</si>
  <si>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</si>
  <si>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</si>
  <si>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</si>
  <si>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</si>
  <si>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</si>
  <si>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</si>
  <si>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</si>
  <si>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</si>
  <si>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</si>
  <si>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</si>
  <si>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</si>
  <si>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</si>
  <si>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</si>
  <si>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</si>
  <si>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</si>
  <si>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</si>
  <si>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</si>
  <si>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</si>
  <si>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</si>
  <si>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</si>
  <si>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</si>
  <si>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</si>
  <si>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</si>
  <si>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</si>
  <si>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</si>
  <si>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</si>
  <si>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</si>
  <si>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</si>
  <si>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</si>
  <si>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</si>
  <si>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</si>
  <si>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</si>
  <si>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</si>
  <si>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</si>
  <si>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</si>
  <si>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</si>
  <si>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</si>
  <si>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</si>
  <si>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</si>
  <si>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</si>
  <si>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</si>
  <si>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</si>
  <si>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</si>
  <si>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</si>
  <si>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</si>
  <si>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</si>
  <si>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</si>
  <si>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</si>
  <si>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</si>
  <si>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</si>
  <si>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</si>
  <si>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</si>
  <si>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</si>
  <si>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</si>
  <si>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</si>
  <si>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</si>
  <si>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</si>
  <si>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</si>
  <si>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</si>
  <si>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</si>
  <si>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</si>
  <si>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</si>
  <si>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</si>
  <si>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</si>
  <si>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</si>
  <si>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</si>
  <si>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</si>
  <si>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</si>
  <si>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</si>
  <si>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</si>
  <si>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</si>
  <si>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</si>
  <si>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</si>
  <si>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</si>
  <si>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</si>
  <si>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</si>
  <si>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</si>
  <si>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</si>
  <si>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</si>
  <si>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</si>
  <si>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</si>
  <si>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</si>
  <si>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</si>
  <si>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</si>
  <si>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</si>
  <si>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</si>
  <si>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</si>
  <si>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</si>
  <si>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</si>
  <si>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</si>
  <si>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</si>
  <si>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</si>
  <si>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</si>
  <si>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</si>
  <si>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</si>
  <si>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</si>
  <si>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</si>
  <si>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</si>
  <si>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</si>
  <si>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</si>
  <si>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</si>
  <si>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</si>
  <si>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</si>
  <si>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</si>
  <si>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</si>
  <si>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</si>
  <si>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</si>
  <si>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</si>
  <si>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</si>
  <si>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</si>
  <si>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</si>
  <si>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</si>
  <si>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</si>
  <si>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</si>
  <si>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</si>
  <si>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</si>
  <si>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</si>
  <si>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</si>
  <si>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</si>
  <si>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</si>
  <si>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</si>
  <si>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</si>
  <si>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</si>
  <si>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</si>
  <si>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</si>
  <si>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</si>
  <si>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</si>
  <si>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</si>
  <si>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</si>
  <si>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</si>
  <si>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</si>
  <si>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</si>
  <si>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</si>
  <si>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</si>
  <si>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</si>
  <si>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</si>
  <si>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</si>
  <si>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</si>
  <si>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</si>
  <si>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</si>
  <si>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</si>
  <si>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</si>
  <si>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</si>
  <si>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</si>
  <si>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</si>
  <si>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</si>
  <si>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</si>
  <si>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</si>
  <si>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</si>
  <si>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</si>
  <si>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</si>
  <si>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</si>
  <si>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</si>
  <si>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</si>
  <si>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</si>
  <si>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</si>
  <si>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</si>
  <si>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</si>
  <si>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</si>
  <si>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</si>
  <si>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</si>
  <si>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</si>
  <si>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</si>
  <si>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</si>
  <si>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</si>
  <si>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</si>
  <si>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</si>
  <si>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</si>
  <si>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</si>
  <si>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</si>
  <si>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</si>
  <si>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</si>
  <si>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</si>
  <si>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</si>
  <si>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</si>
  <si>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</si>
  <si>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</si>
  <si>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</si>
  <si>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</si>
  <si>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</si>
  <si>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</si>
  <si>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</si>
  <si>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</si>
  <si>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</si>
  <si>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</si>
  <si>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</si>
  <si>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</si>
  <si>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</si>
  <si>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</si>
  <si>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</si>
  <si>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</si>
  <si>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</si>
  <si>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</si>
  <si>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</si>
  <si>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</si>
  <si>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</si>
  <si>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</si>
  <si>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</si>
  <si>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</si>
  <si>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</si>
  <si>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</si>
  <si>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</si>
  <si>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</si>
  <si>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</si>
  <si>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</si>
  <si>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</si>
  <si>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</si>
  <si>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</si>
  <si>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</si>
  <si>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</si>
  <si>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</si>
  <si>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</si>
  <si>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</si>
  <si>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</si>
  <si>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</si>
  <si>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</si>
  <si>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</si>
  <si>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</si>
  <si>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</si>
  <si>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</si>
  <si>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</si>
  <si>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</si>
  <si>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</si>
  <si>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</si>
  <si>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</si>
  <si>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</si>
  <si>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</si>
  <si>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</si>
  <si>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</si>
  <si>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</si>
  <si>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</si>
  <si>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</si>
  <si>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</si>
  <si>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</si>
  <si>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</si>
  <si>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</si>
  <si>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</si>
  <si>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</si>
  <si>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</si>
  <si>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</si>
  <si>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</si>
  <si>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</si>
  <si>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</si>
  <si>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</si>
  <si>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</si>
  <si>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</si>
  <si>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</si>
  <si>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</si>
  <si>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</si>
  <si>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</si>
  <si>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</si>
  <si>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</si>
  <si>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</si>
  <si>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</si>
  <si>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</si>
  <si>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</si>
  <si>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</si>
  <si>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</si>
  <si>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</si>
  <si>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</si>
  <si>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</si>
  <si>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</si>
  <si>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</si>
  <si>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</si>
  <si>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</si>
  <si>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</si>
  <si>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</si>
  <si>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</si>
  <si>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</si>
  <si>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</si>
  <si>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</si>
  <si>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</si>
  <si>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</si>
  <si>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</si>
  <si>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</si>
  <si>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</si>
  <si>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</si>
  <si>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</si>
  <si>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</si>
  <si>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</si>
  <si>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</si>
  <si>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</si>
  <si>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</si>
  <si>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</si>
  <si>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</si>
  <si>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</si>
  <si>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</si>
  <si>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</si>
  <si>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</si>
  <si>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</si>
  <si>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</si>
  <si>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</si>
  <si>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</si>
  <si>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</si>
  <si>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</si>
  <si>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</si>
  <si>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</si>
  <si>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</si>
  <si>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</si>
  <si>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</si>
  <si>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</si>
  <si>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</si>
  <si>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</si>
  <si>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</si>
  <si>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</si>
  <si>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</si>
  <si>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</si>
  <si>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</si>
  <si>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</si>
  <si>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</si>
  <si>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</si>
  <si>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</si>
  <si>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</si>
  <si>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</si>
  <si>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</si>
  <si>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</si>
  <si>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</si>
  <si>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</si>
  <si>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</si>
  <si>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</si>
  <si>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</si>
  <si>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</si>
  <si>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</si>
  <si>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</si>
  <si>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</si>
  <si>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</si>
  <si>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</si>
  <si>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</si>
  <si>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</si>
  <si>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</si>
  <si>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</si>
  <si>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</si>
  <si>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</si>
  <si>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</si>
  <si>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</si>
  <si>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</si>
  <si>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</si>
  <si>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</si>
  <si>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</si>
  <si>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</si>
  <si>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</si>
  <si>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</si>
  <si>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</si>
  <si>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</si>
  <si>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</si>
  <si>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</si>
  <si>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</si>
  <si>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</si>
  <si>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</si>
  <si>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</si>
  <si>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</si>
  <si>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</si>
  <si>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</si>
  <si>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</si>
  <si>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</si>
  <si>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</si>
  <si>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</si>
  <si>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</si>
  <si>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</si>
  <si>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</si>
  <si>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</si>
  <si>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</si>
  <si>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</si>
  <si>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</si>
  <si>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</si>
  <si>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</si>
  <si>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</si>
  <si>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</si>
  <si>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</si>
  <si>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</si>
  <si>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</si>
  <si>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</si>
  <si>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</si>
  <si>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</si>
  <si>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</si>
  <si>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</si>
  <si>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</si>
  <si>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</si>
  <si>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</si>
  <si>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</si>
  <si>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</si>
  <si>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</si>
  <si>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</si>
  <si>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</si>
  <si>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</si>
  <si>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</si>
  <si>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</si>
  <si>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</si>
  <si>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</si>
  <si>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</si>
  <si>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</si>
  <si>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</si>
  <si>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</si>
  <si>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</si>
  <si>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</si>
  <si>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</si>
  <si>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</si>
  <si>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</si>
  <si>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</si>
  <si>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</si>
  <si>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</si>
  <si>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</si>
  <si>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</si>
  <si>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</si>
  <si>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</si>
  <si>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</si>
  <si>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</si>
  <si>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</si>
  <si>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</si>
  <si>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</si>
  <si>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</si>
  <si>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</si>
  <si>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</si>
  <si>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</si>
  <si>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</si>
  <si>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</si>
  <si>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</si>
  <si>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</si>
  <si>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</si>
  <si>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</si>
  <si>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</si>
  <si>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</si>
  <si>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</si>
  <si>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</si>
  <si>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</si>
  <si>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</si>
  <si>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</si>
  <si>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</si>
  <si>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</si>
  <si>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</si>
  <si>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</si>
  <si>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</si>
  <si>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</si>
  <si>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</si>
  <si>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</si>
  <si>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</si>
  <si>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</si>
  <si>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</si>
  <si>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</si>
  <si>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</si>
  <si>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</si>
  <si>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</si>
  <si>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</si>
  <si>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</si>
  <si>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</si>
  <si>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</si>
  <si>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</si>
  <si>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</si>
  <si>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</si>
  <si>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</si>
  <si>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</si>
  <si>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</si>
  <si>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</si>
  <si>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</si>
  <si>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</si>
  <si>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</si>
  <si>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</si>
  <si>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</si>
  <si>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</si>
  <si>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</si>
  <si>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</si>
  <si>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</si>
  <si>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</si>
  <si>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</si>
  <si>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</si>
  <si>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</si>
  <si>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</si>
  <si>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</si>
  <si>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</si>
  <si>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</si>
  <si>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</si>
  <si>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</si>
  <si>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</si>
  <si>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</si>
  <si>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</si>
  <si>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</si>
  <si>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</si>
  <si>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</si>
  <si>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</si>
  <si>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</si>
  <si>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</si>
  <si>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</si>
  <si>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</si>
  <si>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</si>
  <si>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</si>
  <si>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</si>
  <si>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</si>
  <si>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</si>
  <si>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</si>
  <si>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</si>
  <si>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</si>
  <si>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</si>
  <si>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</si>
  <si>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</si>
  <si>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</si>
  <si>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</si>
  <si>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</si>
  <si>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</si>
  <si>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</si>
  <si>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</si>
  <si>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</si>
  <si>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</si>
  <si>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</si>
  <si>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</si>
  <si>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</si>
  <si>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</si>
  <si>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</si>
  <si>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</si>
  <si>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</si>
  <si>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</si>
  <si>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</si>
  <si>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</si>
  <si>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</si>
  <si>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</si>
  <si>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</si>
  <si>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</si>
  <si>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</si>
  <si>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</si>
  <si>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</si>
  <si>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</si>
  <si>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</si>
  <si>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</si>
  <si>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</si>
  <si>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</si>
  <si>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</si>
  <si>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</si>
  <si>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</si>
  <si>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</si>
  <si>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</si>
  <si>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</si>
  <si>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</si>
  <si>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</si>
  <si>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</si>
  <si>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</si>
  <si>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</si>
  <si>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</si>
  <si>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</si>
  <si>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</si>
  <si>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</si>
  <si>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</si>
  <si>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</si>
  <si>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</si>
  <si>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</si>
  <si>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</si>
  <si>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</si>
  <si>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</si>
  <si>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</si>
  <si>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</si>
  <si>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</si>
  <si>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</si>
  <si>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</si>
  <si>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</si>
  <si>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</si>
  <si>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</si>
  <si>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</si>
  <si>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</si>
  <si>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</si>
  <si>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</si>
  <si>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</si>
  <si>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</si>
  <si>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</si>
  <si>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</si>
  <si>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</si>
  <si>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</si>
  <si>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</si>
  <si>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</si>
  <si>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</si>
  <si>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</si>
  <si>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</si>
  <si>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</si>
  <si>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</si>
  <si>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</si>
  <si>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</si>
  <si>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</si>
  <si>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</si>
  <si>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</si>
  <si>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</si>
  <si>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</si>
  <si>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</si>
  <si>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</si>
  <si>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</si>
  <si>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</si>
  <si>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</si>
  <si>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</si>
  <si>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</si>
  <si>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</si>
  <si>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</si>
  <si>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</si>
  <si>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</si>
  <si>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</si>
  <si>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</si>
  <si>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</si>
  <si>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</si>
  <si>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</si>
  <si>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</si>
  <si>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</si>
  <si>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</si>
  <si>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</si>
  <si>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</si>
  <si>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</si>
  <si>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</si>
  <si>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</si>
  <si>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</si>
  <si>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</si>
  <si>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</si>
  <si>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</si>
  <si>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</si>
  <si>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</si>
  <si>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</si>
  <si>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</si>
  <si>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</si>
  <si>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</si>
  <si>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</si>
  <si>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</si>
  <si>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</si>
  <si>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</si>
  <si>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</si>
  <si>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</si>
  <si>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</si>
  <si>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</si>
  <si>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</si>
  <si>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</si>
  <si>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</si>
  <si>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</si>
  <si>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</si>
  <si>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</si>
  <si>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</si>
  <si>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</si>
  <si>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</si>
  <si>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</si>
  <si>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</si>
  <si>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</si>
  <si>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</si>
  <si>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</si>
  <si>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</si>
  <si>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</si>
  <si>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</si>
  <si>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</si>
  <si>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</si>
  <si>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</si>
  <si>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</si>
  <si>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</si>
  <si>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</si>
  <si>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</si>
  <si>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</si>
  <si>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</si>
  <si>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</si>
  <si>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</si>
  <si>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</si>
  <si>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</si>
  <si>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</si>
  <si>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</si>
  <si>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</si>
  <si>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</si>
  <si>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</si>
  <si>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</si>
  <si>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</si>
  <si>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</si>
  <si>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</si>
  <si>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</si>
  <si>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</si>
  <si>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</si>
  <si>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</si>
  <si>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</si>
  <si>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</si>
  <si>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</si>
  <si>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</si>
  <si>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</si>
  <si>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</si>
  <si>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</si>
  <si>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</si>
  <si>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</si>
  <si>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</si>
  <si>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</si>
  <si>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</si>
  <si>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</si>
  <si>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</si>
  <si>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</si>
  <si>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</si>
  <si>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</si>
  <si>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</si>
  <si>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</si>
  <si>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</si>
  <si>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</si>
  <si>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</si>
  <si>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</si>
  <si>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</si>
  <si>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</si>
  <si>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</si>
  <si>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</si>
  <si>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</si>
  <si>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</si>
  <si>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</si>
  <si>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</si>
  <si>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</si>
  <si>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</si>
  <si>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</si>
  <si>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</si>
  <si>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</si>
  <si>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</si>
  <si>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</si>
  <si>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</si>
  <si>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</si>
  <si>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</si>
  <si>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</si>
  <si>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</si>
  <si>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</si>
  <si>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</si>
  <si>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</si>
  <si>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</si>
  <si>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</si>
  <si>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</si>
  <si>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</si>
  <si>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</si>
  <si>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</si>
  <si>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</si>
  <si>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</si>
  <si>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</si>
  <si>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</si>
  <si>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</si>
  <si>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</si>
  <si>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</si>
  <si>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</si>
  <si>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</si>
  <si>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</si>
  <si>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</si>
  <si>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</si>
  <si>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</si>
  <si>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</si>
  <si>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</si>
  <si>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</si>
  <si>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</si>
  <si>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</si>
  <si>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</si>
  <si>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</si>
  <si>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</si>
  <si>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</si>
  <si>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</si>
  <si>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</si>
  <si>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</si>
  <si>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</si>
  <si>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</si>
  <si>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</si>
  <si>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</si>
  <si>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</si>
  <si>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</si>
  <si>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</si>
  <si>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</si>
  <si>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</si>
  <si>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</si>
  <si>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</si>
  <si>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</si>
  <si>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</si>
  <si>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</si>
  <si>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</si>
  <si>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</si>
  <si>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</si>
  <si>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</si>
  <si>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</si>
  <si>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</si>
  <si>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</si>
  <si>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</si>
  <si>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</si>
  <si>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</si>
  <si>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</si>
  <si>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</si>
  <si>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</si>
  <si>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</si>
  <si>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</si>
  <si>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</si>
  <si>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</si>
  <si>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</si>
  <si>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</si>
  <si>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</si>
  <si>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</si>
  <si>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</si>
  <si>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</si>
  <si>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</si>
  <si>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</si>
  <si>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</si>
  <si>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</si>
  <si>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</si>
  <si>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</si>
  <si>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</si>
  <si>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</si>
  <si>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</si>
  <si>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</si>
  <si>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</si>
  <si>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</si>
  <si>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</si>
  <si>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</si>
  <si>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</si>
  <si>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</si>
  <si>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</si>
  <si>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</si>
  <si>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</si>
  <si>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</si>
  <si>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</si>
  <si>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</si>
  <si>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</si>
  <si>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</si>
  <si>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</si>
  <si>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</si>
  <si>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</si>
  <si>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</si>
  <si>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</si>
  <si>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</si>
  <si>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</si>
  <si>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</si>
  <si>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</si>
  <si>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</si>
  <si>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</si>
  <si>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</si>
  <si>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</si>
  <si>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</si>
  <si>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</si>
  <si>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</si>
  <si>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</si>
  <si>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</si>
  <si>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</si>
  <si>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</si>
  <si>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</si>
  <si>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</si>
  <si>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</si>
  <si>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</si>
  <si>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</si>
  <si>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</si>
  <si>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</si>
  <si>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</si>
  <si>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</si>
  <si>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</si>
  <si>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</si>
  <si>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</si>
  <si>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</si>
  <si>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</si>
  <si>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</si>
  <si>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</si>
  <si>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</si>
  <si>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</si>
  <si>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</si>
  <si>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</si>
  <si>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</si>
  <si>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</si>
  <si>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</si>
  <si>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</si>
  <si>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</si>
  <si>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</si>
  <si>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</si>
  <si>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</si>
  <si>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</si>
  <si>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</si>
  <si>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</si>
  <si>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</si>
  <si>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</si>
  <si>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</si>
  <si>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</si>
  <si>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</si>
  <si>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</si>
  <si>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</si>
  <si>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</si>
  <si>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</si>
  <si>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</si>
  <si>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</si>
  <si>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</si>
  <si>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</si>
  <si>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</si>
  <si>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</si>
  <si>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</si>
  <si>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</si>
  <si>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</si>
  <si>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</si>
  <si>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</si>
  <si>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</si>
  <si>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</si>
  <si>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</si>
  <si>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</si>
  <si>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</si>
  <si>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</si>
  <si>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</si>
  <si>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</si>
  <si>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</si>
  <si>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</si>
  <si>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</si>
  <si>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</si>
  <si>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</si>
  <si>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</si>
  <si>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</si>
  <si>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</si>
  <si>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</si>
  <si>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</si>
  <si>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</si>
  <si>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</si>
  <si>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</si>
  <si>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</si>
  <si>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</si>
  <si>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</si>
  <si>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</si>
  <si>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</si>
  <si>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</si>
  <si>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</si>
  <si>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</si>
  <si>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</si>
  <si>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</si>
  <si>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</si>
  <si>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</si>
  <si>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</si>
  <si>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</si>
  <si>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</si>
  <si>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</si>
  <si>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</si>
  <si>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</si>
  <si>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</si>
  <si>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</si>
  <si>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</si>
  <si>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</si>
  <si>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</si>
  <si>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</si>
  <si>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</si>
  <si>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</si>
  <si>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</si>
  <si>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</si>
  <si>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</si>
  <si>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</si>
  <si>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</si>
  <si>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</si>
  <si>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</si>
  <si>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</si>
  <si>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</si>
  <si>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</si>
  <si>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</si>
  <si>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</si>
  <si>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</si>
  <si>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</si>
  <si>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</si>
  <si>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</si>
  <si>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</si>
  <si>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</si>
  <si>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</si>
  <si>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</si>
  <si>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</si>
  <si>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</si>
  <si>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</si>
  <si>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</si>
  <si>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</si>
  <si>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</si>
  <si>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</si>
  <si>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</si>
  <si>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</si>
  <si>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</si>
  <si>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</si>
  <si>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</si>
  <si>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</si>
  <si>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</si>
  <si>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</si>
  <si>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</si>
  <si>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</si>
  <si>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</si>
  <si>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</si>
  <si>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</si>
  <si>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</si>
  <si>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</si>
  <si>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</si>
  <si>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</si>
  <si>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</si>
  <si>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</si>
  <si>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</si>
  <si>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</si>
  <si>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</si>
  <si>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</si>
  <si>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</si>
  <si>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</si>
  <si>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</si>
  <si>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</si>
  <si>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</si>
  <si>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</si>
  <si>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</si>
  <si>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</si>
  <si>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</si>
  <si>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</si>
  <si>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</si>
  <si>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</si>
  <si>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</si>
  <si>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</si>
  <si>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</si>
  <si>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</si>
  <si>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</si>
  <si>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</si>
  <si>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</si>
  <si>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</si>
  <si>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</si>
  <si>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</si>
  <si>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</si>
  <si>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</si>
  <si>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</si>
  <si>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</si>
  <si>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</si>
  <si>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</si>
  <si>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</si>
  <si>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</si>
  <si>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</si>
  <si>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</si>
  <si>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</si>
  <si>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</si>
  <si>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</si>
  <si>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</si>
  <si>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</si>
  <si>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</si>
  <si>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</si>
  <si>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</si>
  <si>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</si>
  <si>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</si>
  <si>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</si>
  <si>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</si>
  <si>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</si>
  <si>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</si>
  <si>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</si>
  <si>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</si>
  <si>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</si>
  <si>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</si>
  <si>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</si>
  <si>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</si>
  <si>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</si>
  <si>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</si>
  <si>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</si>
  <si>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</si>
  <si>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</si>
  <si>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</si>
  <si>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</si>
  <si>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</si>
  <si>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</si>
  <si>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</si>
  <si>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</si>
  <si>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</si>
  <si>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</si>
  <si>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</si>
  <si>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</si>
  <si>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</si>
  <si>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</si>
  <si>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</si>
  <si>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</si>
  <si>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</si>
  <si>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</si>
  <si>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</si>
  <si>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</si>
  <si>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</si>
  <si>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</si>
  <si>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</si>
  <si>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</si>
  <si>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</si>
  <si>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</si>
  <si>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</si>
  <si>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</si>
  <si>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</si>
  <si>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</si>
  <si>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</si>
  <si>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</si>
  <si>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</si>
  <si>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</si>
  <si>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</si>
  <si>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</si>
  <si>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</si>
  <si>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</si>
  <si>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</si>
  <si>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</si>
  <si>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</si>
  <si>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</si>
  <si>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</si>
  <si>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</si>
  <si>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</si>
  <si>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</si>
  <si>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</si>
  <si>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</si>
  <si>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</si>
  <si>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</si>
  <si>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</si>
  <si>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</si>
  <si>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</si>
  <si>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</si>
  <si>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</si>
  <si>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</si>
  <si>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</si>
  <si>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</si>
  <si>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</si>
  <si>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</si>
  <si>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</si>
  <si>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</si>
  <si>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</si>
  <si>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</si>
  <si>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</si>
  <si>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</si>
  <si>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</si>
  <si>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</si>
  <si>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</si>
  <si>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</si>
  <si>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</si>
  <si>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</si>
  <si>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</si>
  <si>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</si>
  <si>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</si>
  <si>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</si>
  <si>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</si>
  <si>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</si>
  <si>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</si>
  <si>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</si>
  <si>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</si>
  <si>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</si>
  <si>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</si>
  <si>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</si>
  <si>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</si>
  <si>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</si>
  <si>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</si>
  <si>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</si>
  <si>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</si>
  <si>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</si>
  <si>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</si>
  <si>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</si>
  <si>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</si>
  <si>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</si>
  <si>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</si>
  <si>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</si>
  <si>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</si>
  <si>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</si>
  <si>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</si>
  <si>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</si>
  <si>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</si>
  <si>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</si>
  <si>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</si>
  <si>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</si>
  <si>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</si>
  <si>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</si>
  <si>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</si>
  <si>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</si>
  <si>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</si>
  <si>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</si>
  <si>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</si>
  <si>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</si>
  <si>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</si>
  <si>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</si>
  <si>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</si>
  <si>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</si>
  <si>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</si>
  <si>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</si>
  <si>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</si>
  <si>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</si>
  <si>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</si>
  <si>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</si>
  <si>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</si>
  <si>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</si>
  <si>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</si>
  <si>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</si>
  <si>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</si>
  <si>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</si>
  <si>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</si>
  <si>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</si>
  <si>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</si>
  <si>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</si>
  <si>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</si>
  <si>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</si>
  <si>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</si>
  <si>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</si>
  <si>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</si>
  <si>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</si>
  <si>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</si>
  <si>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</si>
  <si>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</si>
  <si>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</si>
  <si>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</si>
  <si>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</si>
  <si>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</si>
  <si>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</si>
  <si>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</si>
  <si>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</si>
  <si>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</si>
  <si>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</si>
  <si>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</si>
  <si>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</si>
  <si>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</si>
  <si>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</si>
  <si>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</si>
  <si>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</si>
  <si>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</si>
  <si>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</si>
  <si>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</si>
  <si>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</si>
  <si>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</si>
  <si>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</si>
  <si>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</si>
  <si>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</si>
  <si>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</si>
  <si>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</si>
  <si>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</si>
  <si>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</si>
  <si>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</si>
  <si>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</si>
  <si>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</si>
  <si>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</si>
  <si>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</si>
  <si>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</si>
  <si>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</si>
  <si>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</si>
  <si>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</si>
  <si>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</si>
  <si>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</si>
  <si>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</si>
  <si>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</si>
  <si>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</si>
  <si>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</si>
  <si>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</si>
  <si>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</si>
  <si>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</si>
  <si>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</si>
  <si>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</si>
  <si>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</si>
  <si>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</si>
  <si>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</si>
  <si>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</si>
  <si>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</si>
  <si>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</si>
  <si>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</si>
  <si>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</si>
  <si>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</si>
  <si>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</si>
  <si>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</si>
  <si>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</si>
  <si>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</si>
  <si>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</si>
  <si>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</si>
  <si>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</si>
  <si>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</si>
  <si>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</si>
  <si>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</si>
  <si>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</si>
  <si>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</si>
  <si>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</si>
  <si>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</si>
  <si>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</si>
  <si>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</si>
  <si>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</si>
  <si>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</si>
  <si>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</si>
  <si>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</si>
  <si>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</si>
  <si>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</si>
  <si>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</si>
  <si>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</si>
  <si>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</si>
  <si>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</si>
  <si>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</si>
  <si>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</si>
  <si>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</si>
  <si>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</si>
  <si>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</si>
  <si>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</si>
  <si>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</si>
  <si>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</si>
  <si>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</si>
  <si>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</si>
  <si>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</si>
  <si>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</si>
  <si>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</si>
  <si>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</si>
  <si>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</si>
  <si>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</si>
  <si>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</si>
  <si>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</si>
  <si>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</si>
  <si>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</si>
  <si>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</si>
  <si>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</si>
  <si>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</si>
  <si>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</si>
  <si>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</si>
  <si>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</si>
  <si>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</si>
  <si>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</si>
  <si>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</si>
  <si>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</si>
  <si>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</si>
  <si>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</si>
  <si>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</si>
  <si>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</si>
  <si>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</si>
  <si>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</si>
  <si>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</si>
  <si>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</si>
  <si>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</si>
  <si>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</si>
  <si>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</si>
  <si>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</si>
  <si>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</si>
  <si>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</si>
  <si>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</si>
  <si>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</si>
  <si>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</si>
  <si>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</si>
  <si>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</si>
  <si>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</si>
  <si>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</si>
  <si>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</si>
  <si>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</si>
  <si>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</si>
  <si>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</si>
  <si>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</si>
  <si>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</si>
  <si>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</si>
  <si>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</si>
  <si>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</si>
  <si>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</si>
  <si>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</si>
  <si>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</si>
  <si>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</si>
  <si>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</si>
  <si>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</si>
  <si>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</si>
  <si>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</si>
  <si>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</si>
  <si>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</si>
  <si>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</si>
  <si>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</si>
  <si>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</si>
  <si>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</si>
  <si>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</si>
  <si>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</si>
  <si>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</si>
  <si>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</si>
  <si>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</si>
  <si>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</si>
  <si>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</si>
  <si>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</si>
  <si>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</si>
  <si>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</si>
  <si>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</si>
  <si>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</si>
  <si>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</si>
  <si>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</si>
  <si>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</si>
  <si>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</si>
  <si>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</si>
  <si>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</si>
  <si>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</si>
  <si>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</si>
  <si>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</si>
  <si>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</si>
  <si>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</si>
  <si>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</si>
  <si>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</si>
  <si>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</si>
  <si>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</si>
  <si>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</si>
  <si>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</si>
  <si>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</si>
  <si>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</si>
  <si>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</si>
  <si>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</si>
  <si>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</si>
  <si>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</si>
  <si>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</si>
  <si>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</si>
  <si>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</si>
  <si>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</si>
  <si>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</si>
  <si>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</si>
  <si>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</si>
  <si>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</si>
  <si>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</si>
  <si>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</si>
  <si>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</si>
  <si>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</si>
  <si>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</si>
  <si>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</si>
  <si>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</si>
  <si>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</si>
  <si>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</si>
  <si>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</si>
  <si>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</si>
  <si>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</si>
  <si>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</si>
  <si>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</si>
  <si>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</si>
  <si>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</si>
  <si>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</si>
  <si>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</si>
  <si>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</si>
  <si>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</si>
  <si>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</si>
  <si>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</si>
  <si>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</si>
  <si>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</si>
  <si>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</si>
  <si>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</si>
  <si>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</si>
  <si>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</si>
  <si>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</si>
  <si>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</si>
  <si>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</si>
  <si>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</si>
  <si>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</si>
  <si>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</si>
  <si>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</si>
  <si>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</si>
  <si>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</si>
  <si>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</si>
  <si>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</si>
  <si>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</si>
  <si>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</si>
  <si>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</si>
  <si>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</si>
  <si>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</si>
  <si>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</si>
  <si>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</si>
  <si>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</si>
  <si>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</si>
  <si>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</si>
  <si>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</si>
  <si>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</si>
  <si>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</si>
  <si>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</si>
  <si>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</si>
  <si>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</si>
  <si>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</si>
  <si>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</si>
  <si>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</si>
  <si>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</si>
  <si>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</si>
  <si>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</si>
  <si>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</si>
  <si>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</si>
  <si>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</si>
  <si>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</si>
  <si>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</si>
  <si>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</si>
  <si>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</si>
  <si>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</si>
  <si>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</si>
  <si>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</si>
  <si>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</si>
  <si>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</si>
  <si>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</si>
  <si>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</si>
  <si>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</si>
  <si>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</si>
  <si>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</si>
  <si>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</si>
  <si>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</si>
  <si>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</si>
  <si>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</si>
  <si>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</si>
  <si>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</si>
  <si>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</si>
  <si>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</si>
  <si>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</si>
  <si>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</si>
  <si>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</si>
  <si>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</si>
  <si>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</si>
  <si>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</si>
  <si>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</si>
  <si>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</si>
  <si>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</si>
  <si>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</si>
  <si>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</si>
  <si>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</si>
  <si>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</si>
  <si>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</si>
  <si>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</si>
  <si>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</si>
  <si>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</si>
  <si>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</si>
  <si>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</si>
  <si>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</si>
  <si>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</si>
  <si>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</si>
  <si>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</si>
  <si>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</si>
  <si>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</si>
  <si>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</si>
  <si>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</si>
  <si>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</si>
  <si>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</si>
  <si>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</si>
  <si>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</si>
  <si>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</si>
  <si>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</si>
  <si>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</si>
  <si>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</si>
  <si>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</si>
  <si>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</si>
  <si>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</si>
  <si>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</si>
  <si>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</si>
  <si>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</si>
  <si>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</si>
  <si>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</si>
  <si>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</si>
  <si>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</si>
  <si>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</si>
  <si>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</si>
  <si>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</si>
  <si>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</si>
  <si>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</si>
  <si>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</si>
  <si>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</si>
  <si>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</si>
  <si>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</si>
  <si>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</si>
  <si>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</si>
  <si>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</si>
  <si>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</si>
  <si>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</si>
  <si>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</si>
  <si>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</si>
  <si>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</si>
  <si>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</si>
  <si>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</si>
  <si>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</si>
  <si>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</si>
  <si>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</si>
  <si>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</si>
  <si>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</si>
  <si>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</si>
  <si>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</si>
  <si>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</si>
  <si>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</si>
  <si>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</si>
  <si>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</si>
  <si>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</si>
  <si>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</si>
  <si>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</si>
  <si>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</si>
  <si>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</si>
  <si>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</si>
  <si>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</si>
  <si>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</si>
  <si>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</si>
  <si>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</si>
  <si>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</si>
  <si>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</si>
  <si>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</si>
  <si>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</si>
  <si>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</si>
  <si>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</si>
  <si>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</si>
  <si>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</si>
  <si>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</si>
  <si>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</si>
  <si>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</si>
  <si>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</si>
  <si>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</si>
  <si>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</si>
  <si>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</si>
  <si>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</si>
  <si>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</si>
  <si>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</si>
  <si>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</si>
  <si>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</si>
  <si>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</si>
  <si>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</si>
  <si>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</si>
  <si>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</si>
  <si>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</si>
  <si>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</si>
  <si>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</si>
  <si>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</si>
  <si>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</si>
  <si>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</si>
  <si>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</si>
  <si>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</si>
  <si>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</si>
  <si>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</si>
  <si>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</si>
  <si>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Row Labels</t>
  </si>
  <si>
    <t>Grand Total</t>
  </si>
  <si>
    <t>(All)</t>
  </si>
  <si>
    <t>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</si>
  <si>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</si>
  <si>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</si>
  <si>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</si>
  <si>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</si>
  <si>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</si>
  <si>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</si>
  <si>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</si>
  <si>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</si>
  <si>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</si>
  <si>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</si>
  <si>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</si>
  <si>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</si>
  <si>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</si>
  <si>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</si>
  <si>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</si>
  <si>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</si>
  <si>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</si>
  <si>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</si>
  <si>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</si>
  <si>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</si>
  <si>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</si>
  <si>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</si>
  <si>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</si>
  <si>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</si>
  <si>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</si>
  <si>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</si>
  <si>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</si>
  <si>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</si>
  <si>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</si>
  <si>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</si>
  <si>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</si>
  <si>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</si>
  <si>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</si>
  <si>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</si>
  <si>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</si>
  <si>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</si>
  <si>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mean</t>
  </si>
  <si>
    <t>median</t>
  </si>
  <si>
    <t>minimum</t>
  </si>
  <si>
    <t>maximum</t>
  </si>
  <si>
    <t>variance</t>
  </si>
  <si>
    <t>standard dev</t>
  </si>
  <si>
    <t>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</si>
</sst>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b/>
      <sz val="12"/>
      <color rgb="FF2B2B2B"/>
      <name val="Calibri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16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2600"/>
        </patternFill>
      </fill>
    </dxf>
    <dxf>
      <fill>
        <patternFill>
          <bgColor rgb="FFFF26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26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[20230925 CrowdfundingBook.xlsx]category pivot!category outcome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D8-BB4F-A502-0A09FC5D5BE3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D8-BB4F-A502-0A09FC5D5BE3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D8-BB4F-A502-0A09FC5D5BE3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D8-BB4F-A502-0A09FC5D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0603711"/>
        <c:axId val="1861154527"/>
      </c:barChart>
      <c:catAx>
        <c:axId val="18606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54527"/>
        <c:crosses val="autoZero"/>
        <c:auto val="1"/>
        <c:lblAlgn val="ctr"/>
        <c:lblOffset val="100"/>
        <c:noMultiLvlLbl val="0"/>
      </c:catAx>
      <c:valAx>
        <c:axId val="18611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[20230925 CrowdfundingBook.xlsx]subcategory pivot!subcategory outcome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F-0448-9C74-C7DC46E11A88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B-A04E-9703-6D9E50943084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B-A04E-9703-6D9E50943084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B-A04E-9703-6D9E5094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2931168"/>
        <c:axId val="2077988383"/>
      </c:barChart>
      <c:catAx>
        <c:axId val="3629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88383"/>
        <c:crosses val="autoZero"/>
        <c:auto val="1"/>
        <c:lblAlgn val="ctr"/>
        <c:lblOffset val="100"/>
        <c:noMultiLvlLbl val="0"/>
      </c:catAx>
      <c:valAx>
        <c:axId val="20779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[20230925 CrowdfundingBook.xlsx]year outcome!PivotTable8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'year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DB4C-BF5B-0F67DFC2D7FF}"/>
            </c:ext>
          </c:extLst>
        </c:ser>
        <c:ser>
          <c:idx val="1"/>
          <c:order val="1"/>
          <c:tx>
            <c:strRef>
              <c:f>'year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'year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3C-DB4C-BF5B-0F67DFC2D7FF}"/>
            </c:ext>
          </c:extLst>
        </c:ser>
        <c:ser>
          <c:idx val="2"/>
          <c:order val="2"/>
          <c:tx>
            <c:strRef>
              <c:f>'year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3C-DB4C-BF5B-0F67DFC2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728880"/>
        <c:axId val="315520752"/>
      </c:lineChart>
      <c:catAx>
        <c:axId val="7107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20752"/>
        <c:crosses val="autoZero"/>
        <c:auto val="1"/>
        <c:lblAlgn val="ctr"/>
        <c:lblOffset val="100"/>
        <c:noMultiLvlLbl val="0"/>
      </c:catAx>
      <c:valAx>
        <c:axId val="3155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General</c:formatCode>
                <c:ptCount val="12"/>
                <c:pt idx="0">
                  <c:v>62.1</c:v>
                </c:pt>
                <c:pt idx="1">
                  <c:v>82.7</c:v>
                </c:pt>
                <c:pt idx="2">
                  <c:v>52.1</c:v>
                </c:pt>
                <c:pt idx="3">
                  <c:v>44.4</c:v>
                </c:pt>
                <c:pt idx="4">
                  <c:v>100</c:v>
                </c:pt>
                <c:pt idx="5">
                  <c:v>100</c:v>
                </c:pt>
                <c:pt idx="6">
                  <c:v>78.599999999999994</c:v>
                </c:pt>
                <c:pt idx="7">
                  <c:v>100</c:v>
                </c:pt>
                <c:pt idx="8">
                  <c:v>66.7</c:v>
                </c:pt>
                <c:pt idx="9">
                  <c:v>78.599999999999994</c:v>
                </c:pt>
                <c:pt idx="10">
                  <c:v>72.7</c:v>
                </c:pt>
                <c:pt idx="11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742-AF87-CFBBF31065FA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General</c:formatCode>
                <c:ptCount val="12"/>
                <c:pt idx="0">
                  <c:v>36.200000000000003</c:v>
                </c:pt>
                <c:pt idx="1">
                  <c:v>16.5</c:v>
                </c:pt>
                <c:pt idx="2">
                  <c:v>40</c:v>
                </c:pt>
                <c:pt idx="3">
                  <c:v>55.6</c:v>
                </c:pt>
                <c:pt idx="4">
                  <c:v>0</c:v>
                </c:pt>
                <c:pt idx="5">
                  <c:v>0</c:v>
                </c:pt>
                <c:pt idx="6">
                  <c:v>21.4</c:v>
                </c:pt>
                <c:pt idx="7">
                  <c:v>0</c:v>
                </c:pt>
                <c:pt idx="8">
                  <c:v>25</c:v>
                </c:pt>
                <c:pt idx="9">
                  <c:v>21.4</c:v>
                </c:pt>
                <c:pt idx="10">
                  <c:v>27.3</c:v>
                </c:pt>
                <c:pt idx="11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742-AF87-CFBBF31065FA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General</c:formatCode>
                <c:ptCount val="12"/>
                <c:pt idx="0">
                  <c:v>1.7</c:v>
                </c:pt>
                <c:pt idx="1">
                  <c:v>0.9</c:v>
                </c:pt>
                <c:pt idx="2">
                  <c:v>7.9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8.3000000000000007</c:v>
                </c:pt>
                <c:pt idx="9">
                  <c:v>0</c:v>
                </c:pt>
                <c:pt idx="10">
                  <c:v>0</c:v>
                </c:pt>
                <c:pt idx="1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1-4742-AF87-CFBBF310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37088"/>
        <c:axId val="364541552"/>
      </c:lineChart>
      <c:catAx>
        <c:axId val="3645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1552"/>
        <c:crosses val="autoZero"/>
        <c:auto val="1"/>
        <c:lblAlgn val="ctr"/>
        <c:lblOffset val="100"/>
        <c:noMultiLvlLbl val="0"/>
      </c:catAx>
      <c:valAx>
        <c:axId val="3645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177800</xdr:rowOff>
    </xdr:from>
    <xdr:to>
      <xdr:col>16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22084-FFEC-4CE1-6946-0F2A0030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114300</xdr:rowOff>
    </xdr:from>
    <xdr:to>
      <xdr:col>19</xdr:col>
      <xdr:colOff>787400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B6E58-CB94-CDF9-FF21-E93E3711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177800</xdr:rowOff>
    </xdr:from>
    <xdr:to>
      <xdr:col>17</xdr:col>
      <xdr:colOff>101600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290ED-F662-DCE6-4FDB-628C0FA2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139700</xdr:rowOff>
    </xdr:from>
    <xdr:to>
      <xdr:col>7</xdr:col>
      <xdr:colOff>1181100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CBA3C-79C0-DCDC-DC42-A540EBA0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a Roberts" refreshedDate="45198.702722685186" createdVersion="8" refreshedVersion="8" minRefreshableVersion="3" recordCount="1000" xr:uid="{982DC658-C9F3-3548-889D-5252F44C3C2C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A82A0-9EF8-994E-8A1D-54B35446EB26}" name="category outcom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5778D-51B8-B34D-A194-BA1A81F18792}" name="subcategory outcom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5A20C-F1A1-F64B-8005-8D2A541B7121}" name="PivotTable8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workbookViewId="0">
      <selection activeCell="S3" sqref="S3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9.83203125" style="3" customWidth="1"/>
    <col min="6" max="6" width="15" customWidth="1"/>
    <col min="8" max="8" width="13" bestFit="1" customWidth="1"/>
    <col min="9" max="9" width="13" customWidth="1"/>
    <col min="12" max="13" width="11.1640625" bestFit="1" customWidth="1"/>
    <col min="14" max="14" width="21" bestFit="1" customWidth="1"/>
    <col min="15" max="15" width="19.83203125" bestFit="1" customWidth="1"/>
    <col min="18" max="18" width="28" bestFit="1" customWidth="1"/>
    <col min="19" max="19" width="14.5" customWidth="1"/>
    <col min="20" max="20" width="12.1640625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2031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100*ABS(E2/D2)</f>
        <v>0</v>
      </c>
      <c r="G2" t="s">
        <v>14</v>
      </c>
      <c r="H2">
        <v>0</v>
      </c>
      <c r="I2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(L2/86400)+DATE(1970,1,1)</f>
        <v>42336.25</v>
      </c>
      <c r="O2" s="6">
        <f>(M2/86400)+DATE(1970,1,1)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(L3/86400)+DATE(1970,1,1)</f>
        <v>41870.208333333336</v>
      </c>
      <c r="O3" s="6">
        <f>(M3/86400)+DATE(1970,1,1)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17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>(M4/86400)+DATE(1970,1,1)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17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>(M5/86400)+DATE(1970,1,1)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ref="O6:O69" si="3">(M6/86400)+DATE(1970,1,1)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20" customHeight="1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17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17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17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17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17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17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17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17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17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17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100*ABS(E66/D66)</f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(L67/86400)+DATE(1970,1,1)</f>
        <v>40570.25</v>
      </c>
      <c r="O67" s="6">
        <f t="shared" si="3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3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17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3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ref="O70:O133" si="7">(M70/86400)+DATE(1970,1,1)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17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17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17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17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17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17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17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17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100*ABS(E130/D130)</f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3.202693602693603</v>
      </c>
      <c r="G131" t="s">
        <v>74</v>
      </c>
      <c r="H131">
        <v>55</v>
      </c>
      <c r="I131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(L131/86400)+DATE(1970,1,1)</f>
        <v>42038.25</v>
      </c>
      <c r="O131" s="6">
        <f t="shared" si="7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7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17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7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ref="O134:O197" si="11">(M134/86400)+DATE(1970,1,1)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17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17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17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17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17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17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17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17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17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100*ABS(E194/D194)</f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45.636363636363633</v>
      </c>
      <c r="G195" t="s">
        <v>14</v>
      </c>
      <c r="H195">
        <v>65</v>
      </c>
      <c r="I195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(L195/86400)+DATE(1970,1,1)</f>
        <v>43198.208333333328</v>
      </c>
      <c r="O195" s="6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ref="O198:O261" si="15">(M198/86400)+DATE(1970,1,1)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17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17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17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17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17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17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17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17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17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17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17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17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17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100*ABS(E258/D258)</f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(L259/86400)+DATE(1970,1,1)</f>
        <v>41338.25</v>
      </c>
      <c r="O259" s="6">
        <f t="shared" si="15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5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17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5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ref="O262:O325" si="19">(M262/86400)+DATE(1970,1,1)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17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17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17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17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17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17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17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17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17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17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17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17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17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100*ABS(E322/D322)</f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17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94.144366197183089</v>
      </c>
      <c r="G323" t="s">
        <v>14</v>
      </c>
      <c r="H323">
        <v>2468</v>
      </c>
      <c r="I323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(L323/86400)+DATE(1970,1,1)</f>
        <v>40634.208333333336</v>
      </c>
      <c r="O323" s="6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19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19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ref="O326:O389" si="23">(M326/86400)+DATE(1970,1,1)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17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17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17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17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17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17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17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17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17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17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17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100*ABS(E386/D386)</f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17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146.16709511568124</v>
      </c>
      <c r="G387" t="s">
        <v>20</v>
      </c>
      <c r="H387">
        <v>1137</v>
      </c>
      <c r="I387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(L387/86400)+DATE(1970,1,1)</f>
        <v>43553.208333333328</v>
      </c>
      <c r="O387" s="6">
        <f t="shared" si="23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17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3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3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ref="O390:O453" si="27">(M390/86400)+DATE(1970,1,1)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17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17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17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17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17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17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17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17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17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100*ABS(E450/D450)</f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(L451/86400)+DATE(1970,1,1)</f>
        <v>43530.25</v>
      </c>
      <c r="O451" s="6">
        <f t="shared" si="27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27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27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17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ref="O454:O517" si="31">(M454/86400)+DATE(1970,1,1)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17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17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17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17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17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17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17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17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17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17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17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17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17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17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100*ABS(E514/D514)</f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39.277108433734945</v>
      </c>
      <c r="G515" t="s">
        <v>74</v>
      </c>
      <c r="H515">
        <v>35</v>
      </c>
      <c r="I515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(L515/86400)+DATE(1970,1,1)</f>
        <v>40430.208333333336</v>
      </c>
      <c r="O515" s="6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1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1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ref="O518:O581" si="35">(M518/86400)+DATE(1970,1,1)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17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17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17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17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17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17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17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17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17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17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17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17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100*ABS(E578/D578)</f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18.853658536585368</v>
      </c>
      <c r="G579" t="s">
        <v>74</v>
      </c>
      <c r="H579">
        <v>37</v>
      </c>
      <c r="I579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(L579/86400)+DATE(1970,1,1)</f>
        <v>40613.25</v>
      </c>
      <c r="O579" s="6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5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5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ref="O582:O645" si="39">(M582/86400)+DATE(1970,1,1)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17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17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17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17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17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17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17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17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17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17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17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17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100*ABS(E642/D642)</f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17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119.96808510638297</v>
      </c>
      <c r="G643" t="s">
        <v>20</v>
      </c>
      <c r="H643">
        <v>194</v>
      </c>
      <c r="I643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(L643/86400)+DATE(1970,1,1)</f>
        <v>42786.25</v>
      </c>
      <c r="O643" s="6">
        <f t="shared" si="39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39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39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ref="O646:O709" si="43">(M646/86400)+DATE(1970,1,1)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17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17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17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17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17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17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17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17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17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17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17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100*ABS(E706/D706)</f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99.026517383618156</v>
      </c>
      <c r="G707" t="s">
        <v>14</v>
      </c>
      <c r="H707">
        <v>2025</v>
      </c>
      <c r="I707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(L707/86400)+DATE(1970,1,1)</f>
        <v>41619.25</v>
      </c>
      <c r="O707" s="6">
        <f t="shared" si="43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17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3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17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3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ref="O710:O773" si="47">(M710/86400)+DATE(1970,1,1)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17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17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17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17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17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17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17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17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17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17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17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17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17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17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17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100*ABS(E770/D770)</f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86.867834394904463</v>
      </c>
      <c r="G771" t="s">
        <v>14</v>
      </c>
      <c r="H771">
        <v>3410</v>
      </c>
      <c r="I771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(L771/86400)+DATE(1970,1,1)</f>
        <v>41501.208333333336</v>
      </c>
      <c r="O771" s="6">
        <f t="shared" si="47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47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47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ref="O774:O837" si="51">(M774/86400)+DATE(1970,1,1)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17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17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17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17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17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17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17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17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17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17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17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17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17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17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17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100*ABS(E834/D834)</f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157.69117647058823</v>
      </c>
      <c r="G835" t="s">
        <v>20</v>
      </c>
      <c r="H835">
        <v>165</v>
      </c>
      <c r="I835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(L835/86400)+DATE(1970,1,1)</f>
        <v>40588.25</v>
      </c>
      <c r="O835" s="6">
        <f t="shared" si="51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1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1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ref="O838:O901" si="55">(M838/86400)+DATE(1970,1,1)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17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17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17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17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17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17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17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17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17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17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17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17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17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17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17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17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17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17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17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100*ABS(E898/D898)</f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27.693181818181817</v>
      </c>
      <c r="G899" t="s">
        <v>14</v>
      </c>
      <c r="H899">
        <v>27</v>
      </c>
      <c r="I899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(L899/86400)+DATE(1970,1,1)</f>
        <v>43583.208333333328</v>
      </c>
      <c r="O899" s="6">
        <f t="shared" si="55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5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5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ref="O902:O965" si="59">(M902/86400)+DATE(1970,1,1)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17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17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17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17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17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17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17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17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17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17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0">100*ABS(E962/D962)</f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17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119.29824561403508</v>
      </c>
      <c r="G963" t="s">
        <v>20</v>
      </c>
      <c r="H963">
        <v>155</v>
      </c>
      <c r="I963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(L963/86400)+DATE(1970,1,1)</f>
        <v>40591.25</v>
      </c>
      <c r="O963" s="6">
        <f t="shared" si="59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59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59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ref="O966:O1001" si="63">(M966/86400)+DATE(1970,1,1)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17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17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17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17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17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num" val="100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ontainsText" dxfId="14" priority="2" operator="containsText" text="canceled">
      <formula>NOT(ISERROR(SEARCH("canceled",G1)))</formula>
    </cfRule>
    <cfRule type="containsText" dxfId="13" priority="3" operator="containsText" text="live">
      <formula>NOT(ISERROR(SEARCH("live",G1)))</formula>
    </cfRule>
    <cfRule type="containsText" dxfId="12" priority="4" operator="containsText" text="successful">
      <formula>NOT(ISERROR(SEARCH("successful",G1)))</formula>
    </cfRule>
    <cfRule type="containsText" dxfId="11" priority="5" operator="containsText" text="succesful">
      <formula>NOT(ISERROR(SEARCH("succesful",G1)))</formula>
    </cfRule>
    <cfRule type="containsText" dxfId="1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75E6-4C9D-CA48-AAB9-762EB14DB156}">
  <sheetPr codeName="Sheet2"/>
  <dimension ref="A1:F14"/>
  <sheetViews>
    <sheetView workbookViewId="0">
      <selection activeCell="E8" sqref="E8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4" t="s">
        <v>6</v>
      </c>
      <c r="B1" t="s">
        <v>2069</v>
      </c>
    </row>
    <row r="3" spans="1:6">
      <c r="A3" s="4" t="s">
        <v>2065</v>
      </c>
      <c r="B3" s="4" t="s">
        <v>2066</v>
      </c>
    </row>
    <row r="4" spans="1:6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5" t="s">
        <v>2063</v>
      </c>
      <c r="E8">
        <v>4</v>
      </c>
      <c r="F8">
        <v>4</v>
      </c>
    </row>
    <row r="9" spans="1:6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5D04-00E8-F746-BA8A-C8EC4311A382}">
  <sheetPr codeName="Sheet3"/>
  <dimension ref="A2:F30"/>
  <sheetViews>
    <sheetView workbookViewId="0">
      <selection activeCell="D40" sqref="D40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>
      <c r="A2" s="4" t="s">
        <v>6</v>
      </c>
      <c r="B2" t="s">
        <v>2069</v>
      </c>
    </row>
    <row r="4" spans="1:6">
      <c r="A4" s="4" t="s">
        <v>2065</v>
      </c>
      <c r="B4" s="4" t="s">
        <v>2066</v>
      </c>
    </row>
    <row r="5" spans="1:6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5" t="s">
        <v>2064</v>
      </c>
      <c r="E7">
        <v>4</v>
      </c>
      <c r="F7">
        <v>4</v>
      </c>
    </row>
    <row r="8" spans="1:6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5" t="s">
        <v>2042</v>
      </c>
      <c r="C10">
        <v>8</v>
      </c>
      <c r="E10">
        <v>10</v>
      </c>
      <c r="F10">
        <v>18</v>
      </c>
    </row>
    <row r="11" spans="1:6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>
      <c r="A15" s="5" t="s">
        <v>2056</v>
      </c>
      <c r="C15">
        <v>3</v>
      </c>
      <c r="E15">
        <v>4</v>
      </c>
      <c r="F15">
        <v>7</v>
      </c>
    </row>
    <row r="16" spans="1:6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5" t="s">
        <v>2055</v>
      </c>
      <c r="C20">
        <v>4</v>
      </c>
      <c r="E20">
        <v>4</v>
      </c>
      <c r="F20">
        <v>8</v>
      </c>
    </row>
    <row r="21" spans="1:6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>
      <c r="A22" s="5" t="s">
        <v>2062</v>
      </c>
      <c r="C22">
        <v>9</v>
      </c>
      <c r="E22">
        <v>5</v>
      </c>
      <c r="F22">
        <v>14</v>
      </c>
    </row>
    <row r="23" spans="1:6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>
      <c r="A25" s="5" t="s">
        <v>2058</v>
      </c>
      <c r="C25">
        <v>7</v>
      </c>
      <c r="E25">
        <v>14</v>
      </c>
      <c r="F25">
        <v>21</v>
      </c>
    </row>
    <row r="26" spans="1:6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5" t="s">
        <v>2061</v>
      </c>
      <c r="E29">
        <v>3</v>
      </c>
      <c r="F29">
        <v>3</v>
      </c>
    </row>
    <row r="30" spans="1:6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51CA-C9AF-334C-BF74-4738420001B7}">
  <sheetPr codeName="Sheet4"/>
  <dimension ref="A1:E18"/>
  <sheetViews>
    <sheetView workbookViewId="0"/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>
      <c r="A1" s="4" t="s">
        <v>2070</v>
      </c>
      <c r="B1" t="s">
        <v>2069</v>
      </c>
    </row>
    <row r="2" spans="1:5">
      <c r="A2" s="4" t="s">
        <v>2085</v>
      </c>
      <c r="B2" t="s">
        <v>2069</v>
      </c>
    </row>
    <row r="4" spans="1:5">
      <c r="A4" s="4" t="s">
        <v>2065</v>
      </c>
      <c r="B4" s="4" t="s">
        <v>2066</v>
      </c>
    </row>
    <row r="5" spans="1:5">
      <c r="A5" s="4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36FC-BF1B-D14B-945B-2465A922CEC7}">
  <sheetPr codeName="Sheet5"/>
  <dimension ref="A1:I13"/>
  <sheetViews>
    <sheetView workbookViewId="0">
      <selection activeCell="M13" sqref="M13"/>
    </sheetView>
  </sheetViews>
  <sheetFormatPr baseColWidth="10" defaultRowHeight="16"/>
  <cols>
    <col min="1" max="1" width="29.5" bestFit="1" customWidth="1"/>
    <col min="2" max="2" width="20.1640625" bestFit="1" customWidth="1"/>
    <col min="3" max="3" width="15" bestFit="1" customWidth="1"/>
    <col min="4" max="4" width="18.5" bestFit="1" customWidth="1"/>
    <col min="5" max="5" width="14.33203125" bestFit="1" customWidth="1"/>
    <col min="6" max="6" width="23.6640625" bestFit="1" customWidth="1"/>
    <col min="7" max="7" width="18.5" bestFit="1" customWidth="1"/>
    <col min="8" max="8" width="22" bestFit="1" customWidth="1"/>
  </cols>
  <sheetData>
    <row r="1" spans="1:9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  <c r="I1" s="10"/>
    </row>
    <row r="2" spans="1:9">
      <c r="A2" s="11" t="s">
        <v>2094</v>
      </c>
      <c r="B2">
        <f>COUNTIFS(Outcomes,"successful",Goals,"&lt;=1000")</f>
        <v>36</v>
      </c>
      <c r="C2">
        <f>COUNTIFS(Outcomes,"failed",Goals,"&lt;=1000")</f>
        <v>21</v>
      </c>
      <c r="D2">
        <f>COUNTIFS(Outcomes,"canceled",Goals,"&lt;=1000")</f>
        <v>1</v>
      </c>
      <c r="E2">
        <f>SUM(B2:D2)</f>
        <v>58</v>
      </c>
      <c r="F2">
        <f>ROUND(100*B2/E2,1)</f>
        <v>62.1</v>
      </c>
      <c r="G2">
        <f>ROUND(100*C2/E2,1)</f>
        <v>36.200000000000003</v>
      </c>
      <c r="H2">
        <f>ROUND(100*D2/E2,1)</f>
        <v>1.7</v>
      </c>
    </row>
    <row r="3" spans="1:9">
      <c r="A3" s="8" t="s">
        <v>2095</v>
      </c>
      <c r="B3">
        <f>COUNTIFS(Outcomes,"successful",Goals,"&gt;=1000",Goals, "&lt;=4999")</f>
        <v>191</v>
      </c>
      <c r="C3">
        <f>COUNTIFS(Outcomes,"failed",Goals,"&gt;=1000",Goals, "&lt;=4999")</f>
        <v>38</v>
      </c>
      <c r="D3">
        <f>COUNTIFS(Outcomes,"canceled",Goals,"&gt;=1000",Goals, "&lt;=4999")</f>
        <v>2</v>
      </c>
      <c r="E3">
        <f t="shared" ref="E3:E13" si="0">SUM(B3:D3)</f>
        <v>231</v>
      </c>
      <c r="F3">
        <f t="shared" ref="F3:F13" si="1">ROUND(100*B3/E3,1)</f>
        <v>82.7</v>
      </c>
      <c r="G3">
        <f t="shared" ref="G3:G13" si="2">ROUND(100*C3/E3,1)</f>
        <v>16.5</v>
      </c>
      <c r="H3">
        <f t="shared" ref="H3:H13" si="3">ROUND(100*D3/E3,1)</f>
        <v>0.9</v>
      </c>
    </row>
    <row r="4" spans="1:9">
      <c r="A4" s="8" t="s">
        <v>2096</v>
      </c>
      <c r="B4">
        <f>COUNTIFS(Outcomes,"successful",Goals,"&gt;=5000",Goals, "&lt;=9999")</f>
        <v>164</v>
      </c>
      <c r="C4">
        <f>COUNTIFS(Outcomes,"failed",Goals,"&gt;=5000",Goals, "&lt;=9999")</f>
        <v>126</v>
      </c>
      <c r="D4">
        <f>COUNTIFS(Outcomes,"canceled",Goals,"&gt;=5000",Goals, "&lt;=9999")</f>
        <v>25</v>
      </c>
      <c r="E4">
        <f t="shared" si="0"/>
        <v>315</v>
      </c>
      <c r="F4">
        <f t="shared" si="1"/>
        <v>52.1</v>
      </c>
      <c r="G4">
        <f t="shared" si="2"/>
        <v>40</v>
      </c>
      <c r="H4">
        <f t="shared" si="3"/>
        <v>7.9</v>
      </c>
    </row>
    <row r="5" spans="1:9">
      <c r="A5" s="8" t="s">
        <v>2097</v>
      </c>
      <c r="B5">
        <f>COUNTIFS(Outcomes,"successful",Goals,"&gt;=10000",Goals, "&lt;=14999")</f>
        <v>4</v>
      </c>
      <c r="C5">
        <f>COUNTIFS(Outcomes,"failed",Goals,"&gt;=10000",Goals, "&lt;=14999")</f>
        <v>5</v>
      </c>
      <c r="D5">
        <f>COUNTIFS(Outcomes,"canceled",Goals,"&gt;=10000",Goals, "&lt;=14999")</f>
        <v>0</v>
      </c>
      <c r="E5">
        <f t="shared" si="0"/>
        <v>9</v>
      </c>
      <c r="F5">
        <f t="shared" si="1"/>
        <v>44.4</v>
      </c>
      <c r="G5">
        <f t="shared" si="2"/>
        <v>55.6</v>
      </c>
      <c r="H5">
        <f t="shared" si="3"/>
        <v>0</v>
      </c>
    </row>
    <row r="6" spans="1:9">
      <c r="A6" s="8" t="s">
        <v>2098</v>
      </c>
      <c r="B6">
        <f>COUNTIFS(Outcomes,"successful",Goals,"&gt;=15000",Goals, "&lt;=19999")</f>
        <v>10</v>
      </c>
      <c r="C6">
        <f>COUNTIFS(Outcomes,"failed",Goals,"&gt;=15000",Goals, "&lt;=19999")</f>
        <v>0</v>
      </c>
      <c r="D6">
        <f>COUNTIFS(Outcomes,"canceled",Goals,"&gt;=15000",Goals, 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9">
      <c r="A7" s="8" t="s">
        <v>2099</v>
      </c>
      <c r="B7">
        <f>COUNTIFS(Outcomes,"successful",Goals,"&gt;=20000",Goals, "&lt;=24999")</f>
        <v>7</v>
      </c>
      <c r="C7">
        <f>COUNTIFS(Outcomes,"failed",Goals,"&gt;=20000",Goals, "&lt;=24999")</f>
        <v>0</v>
      </c>
      <c r="D7">
        <f>COUNTIFS(Outcomes,"canceled",Goals,"&gt;=20000",Goals, 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9">
      <c r="A8" s="8" t="s">
        <v>2100</v>
      </c>
      <c r="B8">
        <f>COUNTIFS(Outcomes,"successful",Goals,"&gt;=25000",Goals, "&lt;=29999")</f>
        <v>11</v>
      </c>
      <c r="C8">
        <f>COUNTIFS(Outcomes,"failed",Goals,"&gt;=25000",Goals, "&lt;=29999")</f>
        <v>3</v>
      </c>
      <c r="D8">
        <f>COUNTIFS(Outcomes,"canceled",Goals,"&gt;=25000",Goals, "&lt;=29999")</f>
        <v>0</v>
      </c>
      <c r="E8">
        <f t="shared" si="0"/>
        <v>14</v>
      </c>
      <c r="F8">
        <f t="shared" si="1"/>
        <v>78.599999999999994</v>
      </c>
      <c r="G8">
        <f t="shared" si="2"/>
        <v>21.4</v>
      </c>
      <c r="H8">
        <f t="shared" si="3"/>
        <v>0</v>
      </c>
    </row>
    <row r="9" spans="1:9">
      <c r="A9" s="8" t="s">
        <v>2101</v>
      </c>
      <c r="B9">
        <f>COUNTIFS(Outcomes,"successful",Goals,"&gt;=30000",Goals, "&lt;=34999")</f>
        <v>7</v>
      </c>
      <c r="C9">
        <f>COUNTIFS(Outcomes,"failed",Goals,"&gt;=30000",Goals, "&lt;=34999")</f>
        <v>0</v>
      </c>
      <c r="D9">
        <f>COUNTIFS(Outcomes,"canceled",Goals,"&gt;=30000",Goals, 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9">
      <c r="A10" s="8" t="s">
        <v>2102</v>
      </c>
      <c r="B10">
        <f>COUNTIFS(Outcomes,"successful",Goals,"&gt;=35000",Goals, "&lt;=39999")</f>
        <v>8</v>
      </c>
      <c r="C10">
        <f>COUNTIFS(Outcomes,"failed",Goals,"&gt;=35000",Goals, "&lt;=39999")</f>
        <v>3</v>
      </c>
      <c r="D10">
        <f>COUNTIFS(Outcomes,"canceled",Goals,"&gt;=35000",Goals, "&lt;=39999")</f>
        <v>1</v>
      </c>
      <c r="E10">
        <f t="shared" si="0"/>
        <v>12</v>
      </c>
      <c r="F10">
        <f t="shared" si="1"/>
        <v>66.7</v>
      </c>
      <c r="G10">
        <f t="shared" si="2"/>
        <v>25</v>
      </c>
      <c r="H10">
        <f t="shared" si="3"/>
        <v>8.3000000000000007</v>
      </c>
    </row>
    <row r="11" spans="1:9">
      <c r="A11" s="8" t="s">
        <v>2103</v>
      </c>
      <c r="B11">
        <f>COUNTIFS(Outcomes,"successful",Goals,"&gt;=40000",Goals, "&lt;=44999")</f>
        <v>11</v>
      </c>
      <c r="C11">
        <f>COUNTIFS(Outcomes,"failed",Goals,"&gt;=40000",Goals, "&lt;=44999")</f>
        <v>3</v>
      </c>
      <c r="D11">
        <f>COUNTIFS(Outcomes,"canceled",Goals,"&gt;=40000",Goals, "&lt;=44999")</f>
        <v>0</v>
      </c>
      <c r="E11">
        <f t="shared" si="0"/>
        <v>14</v>
      </c>
      <c r="F11">
        <f t="shared" si="1"/>
        <v>78.599999999999994</v>
      </c>
      <c r="G11">
        <f t="shared" si="2"/>
        <v>21.4</v>
      </c>
      <c r="H11">
        <f t="shared" si="3"/>
        <v>0</v>
      </c>
    </row>
    <row r="12" spans="1:9">
      <c r="A12" s="8" t="s">
        <v>2104</v>
      </c>
      <c r="B12">
        <f>COUNTIFS(Outcomes,"successful",Goals,"&gt;=45000",Goals, "&lt;=49999")</f>
        <v>8</v>
      </c>
      <c r="C12">
        <f>COUNTIFS(Outcomes,"failed",Goals,"&gt;=45000",Goals, "&lt;=49999")</f>
        <v>3</v>
      </c>
      <c r="D12">
        <f>COUNTIFS(Outcomes,"canceled",Goals,"&gt;=45000",Goals, "&lt;=49999")</f>
        <v>0</v>
      </c>
      <c r="E12">
        <f t="shared" si="0"/>
        <v>11</v>
      </c>
      <c r="F12">
        <f t="shared" si="1"/>
        <v>72.7</v>
      </c>
      <c r="G12">
        <f t="shared" si="2"/>
        <v>27.3</v>
      </c>
      <c r="H12">
        <f t="shared" si="3"/>
        <v>0</v>
      </c>
    </row>
    <row r="13" spans="1:9">
      <c r="A13" s="8" t="s">
        <v>2105</v>
      </c>
      <c r="B13">
        <f>COUNTIFS(Outcomes,"successful",Goals,"&gt;=50000")</f>
        <v>114</v>
      </c>
      <c r="C13">
        <f>COUNTIFS(Outcomes,"failed",Goals,"&gt;=50000")</f>
        <v>163</v>
      </c>
      <c r="D13">
        <f>COUNTIFS(Outcomes,"canceled",Goals,"&gt;=50000")</f>
        <v>28</v>
      </c>
      <c r="E13">
        <f t="shared" si="0"/>
        <v>305</v>
      </c>
      <c r="F13">
        <f t="shared" si="1"/>
        <v>37.4</v>
      </c>
      <c r="G13">
        <f t="shared" si="2"/>
        <v>53.4</v>
      </c>
      <c r="H13">
        <f t="shared" si="3"/>
        <v>9.1999999999999993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74B6-71F3-2E4D-978A-C11B92987FC8}">
  <sheetPr codeName="Sheet6"/>
  <dimension ref="A1:M566"/>
  <sheetViews>
    <sheetView tabSelected="1" workbookViewId="0">
      <selection activeCell="J37" sqref="J37"/>
    </sheetView>
  </sheetViews>
  <sheetFormatPr baseColWidth="10" defaultRowHeight="16"/>
  <cols>
    <col min="1" max="1" width="9.5" bestFit="1" customWidth="1"/>
    <col min="2" max="2" width="12.5" bestFit="1" customWidth="1"/>
    <col min="13" max="13" width="11.83203125" bestFit="1" customWidth="1"/>
  </cols>
  <sheetData>
    <row r="1" spans="1:13">
      <c r="A1" s="10" t="s">
        <v>4</v>
      </c>
      <c r="B1" s="10" t="s">
        <v>2106</v>
      </c>
      <c r="C1" s="10"/>
      <c r="D1" s="10" t="s">
        <v>4</v>
      </c>
      <c r="E1" s="10" t="s">
        <v>2106</v>
      </c>
      <c r="H1" s="10" t="s">
        <v>2107</v>
      </c>
      <c r="I1" s="10" t="s">
        <v>2108</v>
      </c>
      <c r="J1" s="10" t="s">
        <v>2109</v>
      </c>
      <c r="K1" s="10" t="s">
        <v>2110</v>
      </c>
      <c r="L1" s="10" t="s">
        <v>2111</v>
      </c>
      <c r="M1" s="10" t="s">
        <v>2112</v>
      </c>
    </row>
    <row r="2" spans="1:13">
      <c r="A2" t="s">
        <v>20</v>
      </c>
      <c r="B2">
        <v>158</v>
      </c>
      <c r="D2" t="s">
        <v>14</v>
      </c>
      <c r="E2">
        <v>0</v>
      </c>
      <c r="G2" s="10" t="s">
        <v>2113</v>
      </c>
      <c r="H2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>
        <f>_xlfn.VAR.P(B2:B566)</f>
        <v>1603373.7324019109</v>
      </c>
      <c r="M2">
        <f>_xlfn.STDEV.P(B2:B566)</f>
        <v>1266.2439466397898</v>
      </c>
    </row>
    <row r="3" spans="1:13">
      <c r="A3" t="s">
        <v>20</v>
      </c>
      <c r="B3">
        <v>1425</v>
      </c>
      <c r="D3" t="s">
        <v>14</v>
      </c>
      <c r="E3">
        <v>24</v>
      </c>
      <c r="G3" s="10" t="s">
        <v>14</v>
      </c>
      <c r="H3">
        <f>AVERAGE(E2:E365)</f>
        <v>585.61538461538464</v>
      </c>
      <c r="I3">
        <f>MEDIAN(E2:E365)</f>
        <v>114.5</v>
      </c>
      <c r="J3">
        <f>MIN(E2:E365)</f>
        <v>0</v>
      </c>
      <c r="K3">
        <f>MAX(E2:E365)</f>
        <v>6080</v>
      </c>
      <c r="L3">
        <f>_xlfn.VAR.P(E2:E365)</f>
        <v>921574.68174133555</v>
      </c>
      <c r="M3">
        <f>_xlfn.STDEV.P(E2:E365)</f>
        <v>959.98681331637863</v>
      </c>
    </row>
    <row r="4" spans="1:13">
      <c r="A4" t="s">
        <v>20</v>
      </c>
      <c r="B4">
        <v>174</v>
      </c>
      <c r="D4" t="s">
        <v>14</v>
      </c>
      <c r="E4">
        <v>53</v>
      </c>
    </row>
    <row r="5" spans="1:13">
      <c r="A5" t="s">
        <v>20</v>
      </c>
      <c r="B5">
        <v>227</v>
      </c>
      <c r="D5" t="s">
        <v>14</v>
      </c>
      <c r="E5">
        <v>18</v>
      </c>
    </row>
    <row r="6" spans="1:13">
      <c r="A6" t="s">
        <v>20</v>
      </c>
      <c r="B6">
        <v>220</v>
      </c>
      <c r="D6" t="s">
        <v>14</v>
      </c>
      <c r="E6">
        <v>44</v>
      </c>
    </row>
    <row r="7" spans="1:13">
      <c r="A7" t="s">
        <v>20</v>
      </c>
      <c r="B7">
        <v>98</v>
      </c>
      <c r="D7" t="s">
        <v>14</v>
      </c>
      <c r="E7">
        <v>27</v>
      </c>
    </row>
    <row r="8" spans="1:13">
      <c r="A8" t="s">
        <v>20</v>
      </c>
      <c r="B8">
        <v>100</v>
      </c>
      <c r="D8" t="s">
        <v>14</v>
      </c>
      <c r="E8">
        <v>55</v>
      </c>
    </row>
    <row r="9" spans="1:13">
      <c r="A9" t="s">
        <v>20</v>
      </c>
      <c r="B9">
        <v>1249</v>
      </c>
      <c r="D9" t="s">
        <v>14</v>
      </c>
      <c r="E9">
        <v>200</v>
      </c>
    </row>
    <row r="10" spans="1:13">
      <c r="A10" t="s">
        <v>20</v>
      </c>
      <c r="B10">
        <v>1396</v>
      </c>
      <c r="D10" t="s">
        <v>14</v>
      </c>
      <c r="E10">
        <v>452</v>
      </c>
    </row>
    <row r="11" spans="1:13">
      <c r="A11" t="s">
        <v>20</v>
      </c>
      <c r="B11">
        <v>890</v>
      </c>
      <c r="D11" t="s">
        <v>14</v>
      </c>
      <c r="E11">
        <v>674</v>
      </c>
    </row>
    <row r="12" spans="1:13">
      <c r="A12" t="s">
        <v>20</v>
      </c>
      <c r="B12">
        <v>142</v>
      </c>
      <c r="D12" t="s">
        <v>14</v>
      </c>
      <c r="E12">
        <v>558</v>
      </c>
    </row>
    <row r="13" spans="1:13">
      <c r="A13" t="s">
        <v>20</v>
      </c>
      <c r="B13">
        <v>2673</v>
      </c>
      <c r="D13" t="s">
        <v>14</v>
      </c>
      <c r="E13">
        <v>15</v>
      </c>
    </row>
    <row r="14" spans="1:13">
      <c r="A14" t="s">
        <v>20</v>
      </c>
      <c r="B14">
        <v>163</v>
      </c>
      <c r="D14" t="s">
        <v>14</v>
      </c>
      <c r="E14">
        <v>2307</v>
      </c>
    </row>
    <row r="15" spans="1:13">
      <c r="A15" t="s">
        <v>20</v>
      </c>
      <c r="B15">
        <v>2220</v>
      </c>
      <c r="D15" t="s">
        <v>14</v>
      </c>
      <c r="E15">
        <v>88</v>
      </c>
    </row>
    <row r="16" spans="1:13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">
    <cfRule type="containsText" dxfId="9" priority="6" operator="containsText" text="canceled">
      <formula>NOT(ISERROR(SEARCH("canceled",A2)))</formula>
    </cfRule>
    <cfRule type="containsText" dxfId="8" priority="9" operator="containsText" text="succesful">
      <formula>NOT(ISERROR(SEARCH("succesful",A2)))</formula>
    </cfRule>
    <cfRule type="containsText" dxfId="7" priority="8" operator="containsText" text="successful">
      <formula>NOT(ISERROR(SEARCH("successful",A2)))</formula>
    </cfRule>
    <cfRule type="containsText" dxfId="6" priority="7" operator="containsText" text="live">
      <formula>NOT(ISERROR(SEARCH("live",A2)))</formula>
    </cfRule>
    <cfRule type="containsText" dxfId="5" priority="10" operator="containsText" text="failed">
      <formula>NOT(ISERROR(SEARCH("failed",A2)))</formula>
    </cfRule>
  </conditionalFormatting>
  <conditionalFormatting sqref="D2:D365">
    <cfRule type="containsText" dxfId="4" priority="5" operator="containsText" text="failed">
      <formula>NOT(ISERROR(SEARCH("failed",D2)))</formula>
    </cfRule>
    <cfRule type="containsText" dxfId="3" priority="4" operator="containsText" text="succesful">
      <formula>NOT(ISERROR(SEARCH("succesful",D2)))</formula>
    </cfRule>
    <cfRule type="containsText" dxfId="2" priority="3" operator="containsText" text="successful">
      <formula>NOT(ISERROR(SEARCH("successful",D2)))</formula>
    </cfRule>
    <cfRule type="containsText" dxfId="1" priority="2" operator="containsText" text="live">
      <formula>NOT(ISERROR(SEARCH("live",D2)))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pivot</vt:lpstr>
      <vt:lpstr>subcategory pivot</vt:lpstr>
      <vt:lpstr>year outcome</vt:lpstr>
      <vt:lpstr>goal outcomes</vt:lpstr>
      <vt:lpstr>outcome statistics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Emilia Roberts</cp:lastModifiedBy>
  <dcterms:created xsi:type="dcterms:W3CDTF">2021-09-29T18:52:28Z</dcterms:created>
  <dcterms:modified xsi:type="dcterms:W3CDTF">2023-10-05T20:44:53Z</dcterms:modified>
</cp:coreProperties>
</file>