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osting Sheets\"/>
    </mc:Choice>
  </mc:AlternateContent>
  <xr:revisionPtr revIDLastSave="0" documentId="13_ncr:1_{0CC8650D-BB39-4D60-8207-BE072A2E0945}" xr6:coauthVersionLast="46" xr6:coauthVersionMax="46" xr10:uidLastSave="{00000000-0000-0000-0000-000000000000}"/>
  <bookViews>
    <workbookView xWindow="-108" yWindow="-108" windowWidth="23256" windowHeight="12576" xr2:uid="{FF9382E6-14DD-41B2-87D5-B593C3F644DC}"/>
  </bookViews>
  <sheets>
    <sheet name="600-1200x500-1000x1000-2200FDR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1" l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8" i="1"/>
  <c r="M7" i="1"/>
  <c r="Q63" i="1"/>
  <c r="Q61" i="1"/>
  <c r="Q60" i="1"/>
  <c r="F51" i="1"/>
  <c r="F45" i="1"/>
  <c r="F48" i="1" s="1"/>
  <c r="F36" i="1"/>
  <c r="D32" i="1"/>
  <c r="F32" i="1"/>
  <c r="F20" i="1"/>
  <c r="F16" i="1"/>
  <c r="N16" i="1" s="1"/>
  <c r="C89" i="1"/>
  <c r="C82" i="1"/>
  <c r="C81" i="1"/>
  <c r="F54" i="1"/>
  <c r="D45" i="1"/>
  <c r="C45" i="1"/>
  <c r="D7" i="1"/>
  <c r="C7" i="1"/>
  <c r="F55" i="1" l="1"/>
  <c r="C32" i="1"/>
  <c r="D18" i="1"/>
  <c r="C73" i="1" l="1"/>
  <c r="K5" i="1"/>
  <c r="E91" i="1" l="1"/>
  <c r="E90" i="1"/>
  <c r="D89" i="1"/>
  <c r="E89" i="1" s="1"/>
  <c r="D87" i="1"/>
  <c r="E87" i="1" s="1"/>
  <c r="D82" i="1"/>
  <c r="E82" i="1" s="1"/>
  <c r="E81" i="1"/>
  <c r="D81" i="1"/>
  <c r="E79" i="1"/>
  <c r="F67" i="1"/>
  <c r="E67" i="1"/>
  <c r="D67" i="1"/>
  <c r="C67" i="1"/>
  <c r="H64" i="1"/>
  <c r="G64" i="1"/>
  <c r="F63" i="1"/>
  <c r="F62" i="1"/>
  <c r="J62" i="1" s="1"/>
  <c r="P62" i="1" s="1"/>
  <c r="F61" i="1"/>
  <c r="F60" i="1"/>
  <c r="I60" i="1" s="1"/>
  <c r="Q59" i="1"/>
  <c r="J59" i="1"/>
  <c r="P59" i="1" s="1"/>
  <c r="I59" i="1"/>
  <c r="Q58" i="1"/>
  <c r="J58" i="1"/>
  <c r="P58" i="1" s="1"/>
  <c r="I58" i="1"/>
  <c r="C57" i="1"/>
  <c r="J57" i="1" s="1"/>
  <c r="Q56" i="1"/>
  <c r="J56" i="1"/>
  <c r="I56" i="1"/>
  <c r="K56" i="1" s="1"/>
  <c r="D55" i="1"/>
  <c r="D54" i="1"/>
  <c r="Q54" i="1" s="1"/>
  <c r="R54" i="1" s="1"/>
  <c r="S54" i="1" s="1"/>
  <c r="D53" i="1"/>
  <c r="J53" i="1" s="1"/>
  <c r="P53" i="1" s="1"/>
  <c r="D52" i="1"/>
  <c r="C52" i="1"/>
  <c r="D50" i="1"/>
  <c r="C50" i="1"/>
  <c r="Q49" i="1"/>
  <c r="P49" i="1"/>
  <c r="N49" i="1"/>
  <c r="J49" i="1"/>
  <c r="I49" i="1"/>
  <c r="D48" i="1"/>
  <c r="F46" i="1"/>
  <c r="D46" i="1"/>
  <c r="F47" i="1"/>
  <c r="I45" i="1"/>
  <c r="J44" i="1"/>
  <c r="P44" i="1" s="1"/>
  <c r="I44" i="1"/>
  <c r="K44" i="1" s="1"/>
  <c r="F42" i="1"/>
  <c r="J42" i="1" s="1"/>
  <c r="P42" i="1" s="1"/>
  <c r="N41" i="1"/>
  <c r="F41" i="1"/>
  <c r="F43" i="1" s="1"/>
  <c r="D41" i="1"/>
  <c r="C41" i="1"/>
  <c r="J41" i="1" s="1"/>
  <c r="P41" i="1" s="1"/>
  <c r="D40" i="1"/>
  <c r="C40" i="1"/>
  <c r="J39" i="1"/>
  <c r="P39" i="1" s="1"/>
  <c r="I39" i="1"/>
  <c r="K39" i="1" s="1"/>
  <c r="N36" i="1"/>
  <c r="F38" i="1"/>
  <c r="D36" i="1"/>
  <c r="C36" i="1"/>
  <c r="J36" i="1" s="1"/>
  <c r="P36" i="1" s="1"/>
  <c r="J35" i="1"/>
  <c r="P35" i="1" s="1"/>
  <c r="I35" i="1"/>
  <c r="F35" i="1"/>
  <c r="Q35" i="1" s="1"/>
  <c r="J34" i="1"/>
  <c r="P34" i="1" s="1"/>
  <c r="I34" i="1"/>
  <c r="F33" i="1"/>
  <c r="D31" i="1"/>
  <c r="I31" i="1" s="1"/>
  <c r="P30" i="1"/>
  <c r="J30" i="1"/>
  <c r="I30" i="1"/>
  <c r="K30" i="1" s="1"/>
  <c r="F29" i="1"/>
  <c r="J29" i="1" s="1"/>
  <c r="P29" i="1" s="1"/>
  <c r="Q28" i="1"/>
  <c r="K28" i="1"/>
  <c r="J28" i="1"/>
  <c r="P28" i="1" s="1"/>
  <c r="I28" i="1"/>
  <c r="F27" i="1"/>
  <c r="D27" i="1"/>
  <c r="C27" i="1"/>
  <c r="F26" i="1"/>
  <c r="D26" i="1"/>
  <c r="I26" i="1" s="1"/>
  <c r="C26" i="1"/>
  <c r="D25" i="1"/>
  <c r="C25" i="1"/>
  <c r="F24" i="1"/>
  <c r="J24" i="1" s="1"/>
  <c r="P24" i="1" s="1"/>
  <c r="F23" i="1"/>
  <c r="F25" i="1" s="1"/>
  <c r="D23" i="1"/>
  <c r="J23" i="1" s="1"/>
  <c r="P23" i="1" s="1"/>
  <c r="C23" i="1"/>
  <c r="Q20" i="1"/>
  <c r="C76" i="1" s="1"/>
  <c r="C51" i="1"/>
  <c r="D17" i="1"/>
  <c r="F21" i="1"/>
  <c r="D16" i="1"/>
  <c r="C16" i="1"/>
  <c r="F19" i="1" s="1"/>
  <c r="D77" i="1" s="1"/>
  <c r="Q15" i="1"/>
  <c r="J15" i="1"/>
  <c r="P15" i="1" s="1"/>
  <c r="I15" i="1"/>
  <c r="J14" i="1"/>
  <c r="P14" i="1" s="1"/>
  <c r="C13" i="1"/>
  <c r="C12" i="1"/>
  <c r="D10" i="1"/>
  <c r="D12" i="1" s="1"/>
  <c r="C10" i="1"/>
  <c r="D9" i="1"/>
  <c r="C9" i="1"/>
  <c r="J9" i="1" s="1"/>
  <c r="P9" i="1" s="1"/>
  <c r="D8" i="1"/>
  <c r="C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N7" i="1"/>
  <c r="F7" i="1"/>
  <c r="D11" i="1"/>
  <c r="I7" i="1"/>
  <c r="S3" i="1"/>
  <c r="J50" i="1" l="1"/>
  <c r="P50" i="1" s="1"/>
  <c r="I8" i="1"/>
  <c r="J26" i="1"/>
  <c r="P26" i="1" s="1"/>
  <c r="J27" i="1"/>
  <c r="P27" i="1" s="1"/>
  <c r="E77" i="1"/>
  <c r="J10" i="1"/>
  <c r="P10" i="1" s="1"/>
  <c r="I12" i="1"/>
  <c r="I53" i="1"/>
  <c r="I33" i="1"/>
  <c r="J33" i="1"/>
  <c r="P33" i="1" s="1"/>
  <c r="J16" i="1"/>
  <c r="P16" i="1" s="1"/>
  <c r="I24" i="1"/>
  <c r="J31" i="1"/>
  <c r="P31" i="1" s="1"/>
  <c r="K34" i="1"/>
  <c r="L34" i="1" s="1"/>
  <c r="R34" i="1" s="1"/>
  <c r="S34" i="1" s="1"/>
  <c r="F40" i="1"/>
  <c r="I40" i="1" s="1"/>
  <c r="I57" i="1"/>
  <c r="P57" i="1" s="1"/>
  <c r="J8" i="1"/>
  <c r="P8" i="1" s="1"/>
  <c r="F17" i="1"/>
  <c r="J17" i="1" s="1"/>
  <c r="P17" i="1" s="1"/>
  <c r="J32" i="1"/>
  <c r="P32" i="1" s="1"/>
  <c r="K49" i="1"/>
  <c r="I63" i="1"/>
  <c r="J7" i="1"/>
  <c r="P7" i="1" s="1"/>
  <c r="K15" i="1"/>
  <c r="L15" i="1" s="1"/>
  <c r="R15" i="1" s="1"/>
  <c r="S15" i="1" s="1"/>
  <c r="Q29" i="1"/>
  <c r="F37" i="1"/>
  <c r="J37" i="1" s="1"/>
  <c r="P37" i="1" s="1"/>
  <c r="J45" i="1"/>
  <c r="P45" i="1" s="1"/>
  <c r="J63" i="1"/>
  <c r="P63" i="1" s="1"/>
  <c r="J52" i="1"/>
  <c r="P52" i="1" s="1"/>
  <c r="J60" i="1"/>
  <c r="P60" i="1" s="1"/>
  <c r="J46" i="1"/>
  <c r="P46" i="1" s="1"/>
  <c r="K58" i="1"/>
  <c r="L58" i="1" s="1"/>
  <c r="L30" i="1"/>
  <c r="R30" i="1" s="1"/>
  <c r="S30" i="1" s="1"/>
  <c r="I47" i="1"/>
  <c r="J47" i="1"/>
  <c r="P47" i="1" s="1"/>
  <c r="L44" i="1"/>
  <c r="R44" i="1"/>
  <c r="S44" i="1" s="1"/>
  <c r="J48" i="1"/>
  <c r="P48" i="1" s="1"/>
  <c r="J43" i="1"/>
  <c r="P43" i="1" s="1"/>
  <c r="I43" i="1"/>
  <c r="Q43" i="1"/>
  <c r="J19" i="1"/>
  <c r="P19" i="1" s="1"/>
  <c r="I19" i="1"/>
  <c r="Q19" i="1"/>
  <c r="K7" i="1"/>
  <c r="J21" i="1"/>
  <c r="P21" i="1" s="1"/>
  <c r="I21" i="1"/>
  <c r="D75" i="1"/>
  <c r="E75" i="1" s="1"/>
  <c r="Q21" i="1"/>
  <c r="K31" i="1"/>
  <c r="J11" i="1"/>
  <c r="P11" i="1" s="1"/>
  <c r="I11" i="1"/>
  <c r="O11" i="1"/>
  <c r="J38" i="1"/>
  <c r="P38" i="1" s="1"/>
  <c r="I38" i="1"/>
  <c r="Q38" i="1"/>
  <c r="L39" i="1"/>
  <c r="R39" i="1"/>
  <c r="S39" i="1" s="1"/>
  <c r="K45" i="1"/>
  <c r="K8" i="1"/>
  <c r="J51" i="1"/>
  <c r="P51" i="1" s="1"/>
  <c r="I51" i="1"/>
  <c r="J25" i="1"/>
  <c r="P25" i="1" s="1"/>
  <c r="K60" i="1"/>
  <c r="O12" i="1"/>
  <c r="J12" i="1"/>
  <c r="P12" i="1" s="1"/>
  <c r="R58" i="1"/>
  <c r="S58" i="1" s="1"/>
  <c r="I10" i="1"/>
  <c r="I17" i="1"/>
  <c r="I20" i="1"/>
  <c r="I37" i="1"/>
  <c r="I42" i="1"/>
  <c r="I52" i="1"/>
  <c r="L56" i="1"/>
  <c r="R56" i="1" s="1"/>
  <c r="S56" i="1" s="1"/>
  <c r="I61" i="1"/>
  <c r="D78" i="1"/>
  <c r="E78" i="1" s="1"/>
  <c r="D13" i="1"/>
  <c r="J13" i="1" s="1"/>
  <c r="P13" i="1" s="1"/>
  <c r="N64" i="1"/>
  <c r="J20" i="1"/>
  <c r="P20" i="1" s="1"/>
  <c r="N23" i="1"/>
  <c r="K24" i="1"/>
  <c r="K26" i="1"/>
  <c r="L28" i="1"/>
  <c r="R28" i="1" s="1"/>
  <c r="S28" i="1" s="1"/>
  <c r="I29" i="1"/>
  <c r="K35" i="1"/>
  <c r="O46" i="1"/>
  <c r="I50" i="1"/>
  <c r="C55" i="1"/>
  <c r="K57" i="1"/>
  <c r="J61" i="1"/>
  <c r="P61" i="1" s="1"/>
  <c r="Q62" i="1"/>
  <c r="Q14" i="1"/>
  <c r="F18" i="1"/>
  <c r="F22" i="1" s="1"/>
  <c r="I32" i="1"/>
  <c r="I48" i="1"/>
  <c r="I25" i="1"/>
  <c r="I62" i="1"/>
  <c r="I14" i="1"/>
  <c r="I16" i="1"/>
  <c r="I23" i="1"/>
  <c r="I46" i="1"/>
  <c r="K59" i="1"/>
  <c r="D76" i="1"/>
  <c r="E76" i="1" s="1"/>
  <c r="I9" i="1"/>
  <c r="I27" i="1"/>
  <c r="I36" i="1"/>
  <c r="I41" i="1"/>
  <c r="J40" i="1" l="1"/>
  <c r="P40" i="1" s="1"/>
  <c r="K40" i="1"/>
  <c r="L40" i="1" s="1"/>
  <c r="R40" i="1" s="1"/>
  <c r="S40" i="1" s="1"/>
  <c r="K53" i="1"/>
  <c r="K33" i="1"/>
  <c r="K12" i="1"/>
  <c r="L49" i="1"/>
  <c r="R49" i="1" s="1"/>
  <c r="S49" i="1" s="1"/>
  <c r="K63" i="1"/>
  <c r="L63" i="1" s="1"/>
  <c r="R63" i="1" s="1"/>
  <c r="S63" i="1" s="1"/>
  <c r="F64" i="1"/>
  <c r="L33" i="1"/>
  <c r="R33" i="1" s="1"/>
  <c r="S33" i="1" s="1"/>
  <c r="K9" i="1"/>
  <c r="K16" i="1"/>
  <c r="K37" i="1"/>
  <c r="L45" i="1"/>
  <c r="R45" i="1" s="1"/>
  <c r="S45" i="1" s="1"/>
  <c r="K14" i="1"/>
  <c r="K17" i="1"/>
  <c r="I13" i="1"/>
  <c r="K38" i="1"/>
  <c r="K19" i="1"/>
  <c r="K29" i="1"/>
  <c r="L59" i="1"/>
  <c r="R59" i="1"/>
  <c r="S59" i="1" s="1"/>
  <c r="K25" i="1"/>
  <c r="L57" i="1"/>
  <c r="R57" i="1" s="1"/>
  <c r="S57" i="1" s="1"/>
  <c r="L26" i="1"/>
  <c r="R26" i="1" s="1"/>
  <c r="S26" i="1" s="1"/>
  <c r="K61" i="1"/>
  <c r="K10" i="1"/>
  <c r="L60" i="1"/>
  <c r="R60" i="1" s="1"/>
  <c r="S60" i="1" s="1"/>
  <c r="L8" i="1"/>
  <c r="R8" i="1"/>
  <c r="S8" i="1" s="1"/>
  <c r="L12" i="1"/>
  <c r="R12" i="1" s="1"/>
  <c r="S12" i="1" s="1"/>
  <c r="L35" i="1"/>
  <c r="R35" i="1" s="1"/>
  <c r="S35" i="1" s="1"/>
  <c r="L31" i="1"/>
  <c r="R31" i="1" s="1"/>
  <c r="S31" i="1" s="1"/>
  <c r="L53" i="1"/>
  <c r="R53" i="1" s="1"/>
  <c r="S53" i="1" s="1"/>
  <c r="K48" i="1"/>
  <c r="J55" i="1"/>
  <c r="P55" i="1" s="1"/>
  <c r="I55" i="1"/>
  <c r="L24" i="1"/>
  <c r="R24" i="1" s="1"/>
  <c r="S24" i="1" s="1"/>
  <c r="K21" i="1"/>
  <c r="K47" i="1"/>
  <c r="K62" i="1"/>
  <c r="K41" i="1"/>
  <c r="K46" i="1"/>
  <c r="K32" i="1"/>
  <c r="K50" i="1"/>
  <c r="K52" i="1"/>
  <c r="K51" i="1"/>
  <c r="O64" i="1"/>
  <c r="K43" i="1"/>
  <c r="K27" i="1"/>
  <c r="K20" i="1"/>
  <c r="I22" i="1"/>
  <c r="J22" i="1"/>
  <c r="P22" i="1" s="1"/>
  <c r="Q22" i="1"/>
  <c r="Q64" i="1" s="1"/>
  <c r="D80" i="1"/>
  <c r="E80" i="1" s="1"/>
  <c r="K36" i="1"/>
  <c r="K23" i="1"/>
  <c r="J18" i="1"/>
  <c r="P18" i="1" s="1"/>
  <c r="I18" i="1"/>
  <c r="K42" i="1"/>
  <c r="K11" i="1"/>
  <c r="L7" i="1"/>
  <c r="I64" i="1" l="1"/>
  <c r="C70" i="1" s="1"/>
  <c r="D73" i="1" s="1"/>
  <c r="E73" i="1" s="1"/>
  <c r="P64" i="1"/>
  <c r="L50" i="1"/>
  <c r="R50" i="1" s="1"/>
  <c r="S50" i="1" s="1"/>
  <c r="T50" i="1" s="1"/>
  <c r="L42" i="1"/>
  <c r="R42" i="1" s="1"/>
  <c r="S42" i="1" s="1"/>
  <c r="L43" i="1"/>
  <c r="R43" i="1" s="1"/>
  <c r="S43" i="1" s="1"/>
  <c r="L62" i="1"/>
  <c r="R62" i="1" s="1"/>
  <c r="S62" i="1" s="1"/>
  <c r="L19" i="1"/>
  <c r="R19" i="1" s="1"/>
  <c r="S19" i="1" s="1"/>
  <c r="L14" i="1"/>
  <c r="R14" i="1" s="1"/>
  <c r="S14" i="1" s="1"/>
  <c r="L9" i="1"/>
  <c r="R9" i="1" s="1"/>
  <c r="S9" i="1" s="1"/>
  <c r="L32" i="1"/>
  <c r="R32" i="1" s="1"/>
  <c r="S32" i="1" s="1"/>
  <c r="T35" i="1" s="1"/>
  <c r="K55" i="1"/>
  <c r="L10" i="1"/>
  <c r="R10" i="1" s="1"/>
  <c r="S10" i="1" s="1"/>
  <c r="L38" i="1"/>
  <c r="R38" i="1" s="1"/>
  <c r="S38" i="1" s="1"/>
  <c r="L27" i="1"/>
  <c r="R27" i="1" s="1"/>
  <c r="S27" i="1" s="1"/>
  <c r="K18" i="1"/>
  <c r="L25" i="1"/>
  <c r="R25" i="1"/>
  <c r="S25" i="1" s="1"/>
  <c r="K22" i="1"/>
  <c r="L47" i="1"/>
  <c r="R47" i="1" s="1"/>
  <c r="S47" i="1" s="1"/>
  <c r="L48" i="1"/>
  <c r="R48" i="1" s="1"/>
  <c r="S48" i="1" s="1"/>
  <c r="L61" i="1"/>
  <c r="R61" i="1" s="1"/>
  <c r="S61" i="1" s="1"/>
  <c r="M64" i="1"/>
  <c r="K13" i="1"/>
  <c r="L37" i="1"/>
  <c r="R37" i="1" s="1"/>
  <c r="S37" i="1" s="1"/>
  <c r="R7" i="1"/>
  <c r="L20" i="1"/>
  <c r="R20" i="1" s="1"/>
  <c r="S20" i="1" s="1"/>
  <c r="L51" i="1"/>
  <c r="R51" i="1" s="1"/>
  <c r="S51" i="1" s="1"/>
  <c r="L46" i="1"/>
  <c r="R46" i="1" s="1"/>
  <c r="S46" i="1" s="1"/>
  <c r="L17" i="1"/>
  <c r="R17" i="1" s="1"/>
  <c r="S17" i="1" s="1"/>
  <c r="L23" i="1"/>
  <c r="R23" i="1" s="1"/>
  <c r="S23" i="1" s="1"/>
  <c r="L52" i="1"/>
  <c r="R52" i="1" s="1"/>
  <c r="S52" i="1" s="1"/>
  <c r="L29" i="1"/>
  <c r="R29" i="1" s="1"/>
  <c r="S29" i="1" s="1"/>
  <c r="L11" i="1"/>
  <c r="R11" i="1" s="1"/>
  <c r="S11" i="1" s="1"/>
  <c r="L36" i="1"/>
  <c r="R36" i="1" s="1"/>
  <c r="S36" i="1" s="1"/>
  <c r="L41" i="1"/>
  <c r="R41" i="1" s="1"/>
  <c r="S41" i="1" s="1"/>
  <c r="L21" i="1"/>
  <c r="R21" i="1" s="1"/>
  <c r="S21" i="1" s="1"/>
  <c r="J64" i="1"/>
  <c r="L16" i="1"/>
  <c r="R16" i="1" s="1"/>
  <c r="S16" i="1" s="1"/>
  <c r="D74" i="1" l="1"/>
  <c r="D86" i="1"/>
  <c r="E86" i="1" s="1"/>
  <c r="D92" i="1"/>
  <c r="E92" i="1" s="1"/>
  <c r="P65" i="1"/>
  <c r="C74" i="1" s="1"/>
  <c r="T30" i="1"/>
  <c r="T40" i="1"/>
  <c r="T44" i="1"/>
  <c r="T48" i="1"/>
  <c r="L13" i="1"/>
  <c r="K64" i="1"/>
  <c r="L22" i="1"/>
  <c r="R22" i="1" s="1"/>
  <c r="S22" i="1" s="1"/>
  <c r="L18" i="1"/>
  <c r="R18" i="1" s="1"/>
  <c r="S18" i="1" s="1"/>
  <c r="L55" i="1"/>
  <c r="R55" i="1" s="1"/>
  <c r="S55" i="1" s="1"/>
  <c r="T63" i="1" s="1"/>
  <c r="T26" i="1"/>
  <c r="U26" i="1"/>
  <c r="E88" i="1"/>
  <c r="S7" i="1"/>
  <c r="E74" i="1" l="1"/>
  <c r="E83" i="1" s="1"/>
  <c r="E84" i="1" s="1"/>
  <c r="E85" i="1" s="1"/>
  <c r="E93" i="1" s="1"/>
  <c r="T22" i="1"/>
  <c r="L64" i="1"/>
  <c r="R13" i="1"/>
  <c r="E94" i="1" l="1"/>
  <c r="E95" i="1" s="1"/>
  <c r="E96" i="1" s="1"/>
  <c r="S13" i="1"/>
  <c r="R64" i="1"/>
  <c r="T15" i="1" l="1"/>
  <c r="T64" i="1" s="1"/>
  <c r="S64" i="1"/>
  <c r="G95" i="1" s="1"/>
  <c r="G96" i="1" s="1"/>
</calcChain>
</file>

<file path=xl/sharedStrings.xml><?xml version="1.0" encoding="utf-8"?>
<sst xmlns="http://schemas.openxmlformats.org/spreadsheetml/2006/main" count="120" uniqueCount="97">
  <si>
    <t>W</t>
  </si>
  <si>
    <t>D</t>
  </si>
  <si>
    <t>H</t>
  </si>
  <si>
    <t>B</t>
  </si>
  <si>
    <t>Q</t>
  </si>
  <si>
    <t>Sr.No.</t>
  </si>
  <si>
    <t>DESCRIPTION</t>
  </si>
  <si>
    <t>WIDTH</t>
  </si>
  <si>
    <t>LENGTH</t>
  </si>
  <si>
    <t>THK</t>
  </si>
  <si>
    <t>QTY</t>
  </si>
  <si>
    <t>SHEAR</t>
  </si>
  <si>
    <t>BEND</t>
  </si>
  <si>
    <t>WEIGHT</t>
  </si>
  <si>
    <t>AREA</t>
  </si>
  <si>
    <t>MAT. COST</t>
  </si>
  <si>
    <t>SCRAP</t>
  </si>
  <si>
    <t>LABOUR</t>
  </si>
  <si>
    <t>WELD</t>
  </si>
  <si>
    <t>HOLE</t>
  </si>
  <si>
    <t>PAINT</t>
  </si>
  <si>
    <t>OTHER</t>
  </si>
  <si>
    <t>TOTAL</t>
  </si>
  <si>
    <t>NET</t>
  </si>
  <si>
    <t>V' Channel</t>
  </si>
  <si>
    <t>H' Channel</t>
  </si>
  <si>
    <t>V' C Channel</t>
  </si>
  <si>
    <t>S' Channel</t>
  </si>
  <si>
    <t>Indexing L</t>
  </si>
  <si>
    <t>C plt mtg ch</t>
  </si>
  <si>
    <t>B. C. Angle</t>
  </si>
  <si>
    <t>Corner Piece Sq.</t>
  </si>
  <si>
    <t>Corner Piece Triangle.</t>
  </si>
  <si>
    <t>Door</t>
  </si>
  <si>
    <t>V' Supp. Ch.</t>
  </si>
  <si>
    <t>H' Supp. Ch.</t>
  </si>
  <si>
    <t>Gasket</t>
  </si>
  <si>
    <t>Lock</t>
  </si>
  <si>
    <t>Hinges</t>
  </si>
  <si>
    <t>Hardware</t>
  </si>
  <si>
    <t>Base</t>
  </si>
  <si>
    <t>Plinth plates</t>
  </si>
  <si>
    <t>Base Cover thk</t>
  </si>
  <si>
    <t>Base Cover Thin</t>
  </si>
  <si>
    <t>Top and Bottom</t>
  </si>
  <si>
    <t>Eye Bolts</t>
  </si>
  <si>
    <t>Bottom Cover '4'</t>
  </si>
  <si>
    <t>Bottom Cover '5'</t>
  </si>
  <si>
    <t>B. C. Clamps</t>
  </si>
  <si>
    <t>Back Cover</t>
  </si>
  <si>
    <t>B. C. Rest. Ch.</t>
  </si>
  <si>
    <t>Side Cover</t>
  </si>
  <si>
    <t>S. C. Mtg. Bkt.</t>
  </si>
  <si>
    <t>Component Plate</t>
  </si>
  <si>
    <t>Cross Channel</t>
  </si>
  <si>
    <t>C. P. Bracket</t>
  </si>
  <si>
    <t>Canopy</t>
  </si>
  <si>
    <t>Studs</t>
  </si>
  <si>
    <t>Drawing Pocket</t>
  </si>
  <si>
    <t>Side C Plate</t>
  </si>
  <si>
    <t>Plate on Antivibra</t>
  </si>
  <si>
    <t>Antivibration Pad</t>
  </si>
  <si>
    <t>Cable Suport</t>
  </si>
  <si>
    <t>Glass</t>
  </si>
  <si>
    <t>MCCB BKT</t>
  </si>
  <si>
    <t>Transport</t>
  </si>
  <si>
    <t>Filters</t>
  </si>
  <si>
    <t>Assly</t>
  </si>
  <si>
    <t>Packing</t>
  </si>
  <si>
    <t>Cutouts &amp; other</t>
  </si>
  <si>
    <t>Enclosure</t>
  </si>
  <si>
    <t>Weight</t>
  </si>
  <si>
    <t>Kg</t>
  </si>
  <si>
    <t>Description</t>
  </si>
  <si>
    <t>Rate</t>
  </si>
  <si>
    <t>Qty</t>
  </si>
  <si>
    <t>Amount</t>
  </si>
  <si>
    <t>Steel with transport</t>
  </si>
  <si>
    <t>Powder Coat</t>
  </si>
  <si>
    <t>Lifting L</t>
  </si>
  <si>
    <t>Machined Parts on frame</t>
  </si>
  <si>
    <t>Machined Parts on door</t>
  </si>
  <si>
    <t>Assembly</t>
  </si>
  <si>
    <t>Total</t>
  </si>
  <si>
    <t>Profit &amp; Overheads</t>
  </si>
  <si>
    <t>Labour</t>
  </si>
  <si>
    <t>4" Filters</t>
  </si>
  <si>
    <t>Scrap Loss</t>
  </si>
  <si>
    <t>on steel</t>
  </si>
  <si>
    <t>AV pad</t>
  </si>
  <si>
    <t>Scrap rebate</t>
  </si>
  <si>
    <t>60 days credit</t>
  </si>
  <si>
    <t>Grand Total</t>
  </si>
  <si>
    <t>Say</t>
  </si>
  <si>
    <t>Max Size</t>
  </si>
  <si>
    <t>Steel Price</t>
  </si>
  <si>
    <t>COSTING OF ECO FRAME 43mm (Split Doors Single Front)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</si>
</sst>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37">
    <xf numFmtId="0" fontId="0" fillId="0" borderId="0" xfId="0"/>
    <xf numFmtId="0" fontId="2" fillId="0" borderId="0" xfId="1" applyFont="1"/>
    <xf numFmtId="0" fontId="3" fillId="0" borderId="0" xfId="1" applyFont="1"/>
    <xf numFmtId="0" fontId="3" fillId="0" borderId="0" xfId="1" applyFont="1" applyAlignment="1">
      <alignment horizontal="center"/>
    </xf>
    <xf numFmtId="1" fontId="2" fillId="0" borderId="0" xfId="1" applyNumberFormat="1" applyFont="1"/>
    <xf numFmtId="9" fontId="2" fillId="0" borderId="0" xfId="1" applyNumberFormat="1" applyFont="1"/>
    <xf numFmtId="0" fontId="2" fillId="0" borderId="1" xfId="1" applyFont="1" applyBorder="1" applyAlignment="1">
      <alignment horizontal="left"/>
    </xf>
    <xf numFmtId="0" fontId="2" fillId="0" borderId="2" xfId="1" applyFont="1" applyBorder="1"/>
    <xf numFmtId="0" fontId="2" fillId="0" borderId="3" xfId="1" quotePrefix="1" applyFont="1" applyBorder="1"/>
    <xf numFmtId="0" fontId="2" fillId="0" borderId="3" xfId="1" applyFont="1" applyBorder="1"/>
    <xf numFmtId="1" fontId="2" fillId="0" borderId="3" xfId="1" applyNumberFormat="1" applyFont="1" applyBorder="1"/>
    <xf numFmtId="0" fontId="2" fillId="0" borderId="4" xfId="1" applyFont="1" applyBorder="1"/>
    <xf numFmtId="0" fontId="2" fillId="0" borderId="0" xfId="1" quotePrefix="1" applyFont="1"/>
    <xf numFmtId="0" fontId="2" fillId="0" borderId="5" xfId="1" applyFont="1" applyBorder="1"/>
    <xf numFmtId="1" fontId="2" fillId="0" borderId="5" xfId="1" applyNumberFormat="1" applyFont="1" applyBorder="1"/>
    <xf numFmtId="0" fontId="4" fillId="0" borderId="0" xfId="1" applyFont="1"/>
    <xf numFmtId="0" fontId="4" fillId="0" borderId="0" xfId="1" applyFont="1" applyAlignment="1">
      <alignment horizontal="right"/>
    </xf>
    <xf numFmtId="0" fontId="4" fillId="0" borderId="5" xfId="1" applyFont="1" applyBorder="1"/>
    <xf numFmtId="0" fontId="4" fillId="0" borderId="5" xfId="1" applyFont="1" applyBorder="1" applyAlignment="1">
      <alignment horizontal="right"/>
    </xf>
    <xf numFmtId="0" fontId="2" fillId="2" borderId="3" xfId="1" applyFont="1" applyFill="1" applyBorder="1"/>
    <xf numFmtId="0" fontId="2" fillId="2" borderId="0" xfId="1" applyFont="1" applyFill="1"/>
    <xf numFmtId="0" fontId="2" fillId="2" borderId="5" xfId="1" applyFont="1" applyFill="1" applyBorder="1"/>
    <xf numFmtId="1" fontId="4" fillId="0" borderId="0" xfId="1" applyNumberFormat="1" applyFont="1"/>
    <xf numFmtId="0" fontId="4" fillId="0" borderId="1" xfId="1" applyFont="1" applyBorder="1"/>
    <xf numFmtId="0" fontId="4" fillId="0" borderId="1" xfId="1" applyFont="1" applyBorder="1" applyAlignment="1">
      <alignment horizontal="center"/>
    </xf>
    <xf numFmtId="1" fontId="3" fillId="0" borderId="0" xfId="1" applyNumberFormat="1" applyFont="1"/>
    <xf numFmtId="0" fontId="1" fillId="0" borderId="0" xfId="1"/>
    <xf numFmtId="0" fontId="4" fillId="0" borderId="0" xfId="1" applyFont="1" applyAlignment="1">
      <alignment horizontal="center"/>
    </xf>
    <xf numFmtId="0" fontId="4" fillId="0" borderId="1" xfId="1" applyFont="1" applyBorder="1" applyAlignment="1">
      <alignment vertical="center"/>
    </xf>
    <xf numFmtId="0" fontId="4" fillId="0" borderId="1" xfId="1" applyFont="1" applyBorder="1" applyAlignment="1">
      <alignment horizontal="right"/>
    </xf>
    <xf numFmtId="9" fontId="4" fillId="0" borderId="1" xfId="1" applyNumberFormat="1" applyFont="1" applyBorder="1"/>
    <xf numFmtId="9" fontId="4" fillId="0" borderId="0" xfId="1" applyNumberFormat="1" applyFont="1"/>
    <xf numFmtId="1" fontId="4" fillId="0" borderId="1" xfId="1" applyNumberFormat="1" applyFont="1" applyBorder="1"/>
    <xf numFmtId="0" fontId="2" fillId="0" borderId="0" xfId="1" applyFont="1" applyAlignment="1">
      <alignment horizontal="center"/>
    </xf>
    <xf numFmtId="0" fontId="2" fillId="0" borderId="0" xfId="2" applyFont="1"/>
    <xf numFmtId="0" fontId="6" fillId="0" borderId="0" xfId="2" applyFont="1"/>
    <xf numFmtId="0" fontId="3" fillId="0" borderId="0" xfId="2" applyFont="1"/>
  </cellXfs>
  <cellStyles count="3">
    <cellStyle name="Normal" xfId="0" builtinId="0"/>
    <cellStyle name="Normal 3" xfId="2" xr:uid="{045F3097-5B76-421A-9B16-78082490B58C}"/>
    <cellStyle name="Normal 3 2" xfId="1" xr:uid="{FE4F5290-14A8-47A5-BDB4-8EFB99E35B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6BCE5-8C06-4586-8BBF-E20CF475692F}">
  <dimension ref="A1:W415"/>
  <sheetViews>
    <sheetView tabSelected="1" zoomScale="80" zoomScaleNormal="80" workbookViewId="0">
      <pane xSplit="2" ySplit="6" topLeftCell="C43" activePane="bottomRight" state="frozen"/>
      <selection pane="topRight" activeCell="C1" sqref="C1"/>
      <selection pane="bottomLeft" activeCell="A7" sqref="A7"/>
      <selection pane="bottomRight" activeCell="C73" sqref="C73"/>
    </sheetView>
  </sheetViews>
  <sheetFormatPr defaultColWidth="9.109375" defaultRowHeight="11.4" x14ac:dyDescent="0.2"/>
  <cols>
    <col min="1" max="1" width="3.88671875" style="1" customWidth="1"/>
    <col min="2" max="2" width="13.109375" style="1" customWidth="1"/>
    <col min="3" max="3" width="7" style="1" customWidth="1"/>
    <col min="4" max="4" width="6.33203125" style="1" customWidth="1"/>
    <col min="5" max="5" width="7.33203125" style="1" customWidth="1"/>
    <col min="6" max="6" width="6.5546875" style="1" customWidth="1"/>
    <col min="7" max="7" width="9.109375" style="1"/>
    <col min="8" max="8" width="4.44140625" style="1" customWidth="1"/>
    <col min="9" max="9" width="5.33203125" style="1" customWidth="1"/>
    <col min="10" max="10" width="5.44140625" style="1" customWidth="1"/>
    <col min="11" max="11" width="6.109375" style="1" customWidth="1"/>
    <col min="12" max="12" width="5.44140625" style="1" customWidth="1"/>
    <col min="13" max="14" width="7.88671875" style="1" customWidth="1"/>
    <col min="15" max="15" width="6.44140625" style="1" customWidth="1"/>
    <col min="16" max="16" width="6.88671875" style="1" customWidth="1"/>
    <col min="17" max="17" width="6" style="1" customWidth="1"/>
    <col min="18" max="18" width="6.33203125" style="1" customWidth="1"/>
    <col min="19" max="19" width="7.44140625" style="1" customWidth="1"/>
    <col min="20" max="20" width="6.5546875" style="1" customWidth="1"/>
    <col min="21" max="21" width="5.109375" style="1" customWidth="1"/>
    <col min="22" max="16384" width="9.109375" style="1"/>
  </cols>
  <sheetData>
    <row r="1" spans="1:20" ht="12" x14ac:dyDescent="0.25">
      <c r="B1" s="36" t="s">
        <v>96</v>
      </c>
      <c r="I1" s="34" t="s">
        <v>95</v>
      </c>
    </row>
    <row r="2" spans="1:20" ht="12" x14ac:dyDescent="0.25">
      <c r="B2" s="2" t="s">
        <v>94</v>
      </c>
      <c r="C2" s="1">
        <v>1200</v>
      </c>
      <c r="D2" s="1">
        <v>1000</v>
      </c>
      <c r="E2" s="1">
        <v>2200</v>
      </c>
      <c r="I2" s="35">
        <v>70</v>
      </c>
    </row>
    <row r="3" spans="1:20" ht="12" x14ac:dyDescent="0.25"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P3" s="4"/>
      <c r="S3" s="1">
        <f>1/S5</f>
        <v>1.3333333333333333</v>
      </c>
    </row>
    <row r="4" spans="1:20" ht="12" x14ac:dyDescent="0.25">
      <c r="B4" s="2"/>
      <c r="C4" s="3">
        <v>1000</v>
      </c>
      <c r="D4" s="3">
        <v>800</v>
      </c>
      <c r="E4" s="3">
        <v>2000</v>
      </c>
      <c r="F4" s="3">
        <v>100</v>
      </c>
      <c r="G4" s="3">
        <v>1</v>
      </c>
      <c r="M4" s="4"/>
      <c r="N4" s="4"/>
      <c r="O4" s="4"/>
      <c r="P4" s="4"/>
    </row>
    <row r="5" spans="1:20" x14ac:dyDescent="0.2">
      <c r="K5" s="1">
        <f>I2</f>
        <v>70</v>
      </c>
      <c r="L5" s="5">
        <v>0.1</v>
      </c>
      <c r="M5" s="1">
        <v>20</v>
      </c>
      <c r="P5" s="1">
        <v>13</v>
      </c>
      <c r="S5" s="1">
        <v>0.75</v>
      </c>
    </row>
    <row r="6" spans="1:20" x14ac:dyDescent="0.2">
      <c r="A6" s="6" t="s">
        <v>5</v>
      </c>
      <c r="B6" s="6" t="s">
        <v>6</v>
      </c>
      <c r="C6" s="6" t="s">
        <v>7</v>
      </c>
      <c r="D6" s="6" t="s">
        <v>8</v>
      </c>
      <c r="E6" s="6" t="s">
        <v>9</v>
      </c>
      <c r="F6" s="6" t="s">
        <v>10</v>
      </c>
      <c r="G6" s="6" t="s">
        <v>11</v>
      </c>
      <c r="H6" s="6" t="s">
        <v>12</v>
      </c>
      <c r="I6" s="6" t="s">
        <v>13</v>
      </c>
      <c r="J6" s="6" t="s">
        <v>14</v>
      </c>
      <c r="K6" s="6" t="s">
        <v>15</v>
      </c>
      <c r="L6" s="6" t="s">
        <v>16</v>
      </c>
      <c r="M6" s="6" t="s">
        <v>17</v>
      </c>
      <c r="N6" s="6" t="s">
        <v>18</v>
      </c>
      <c r="O6" s="6" t="s">
        <v>19</v>
      </c>
      <c r="P6" s="6" t="s">
        <v>20</v>
      </c>
      <c r="Q6" s="6" t="s">
        <v>21</v>
      </c>
      <c r="R6" s="6" t="s">
        <v>22</v>
      </c>
      <c r="S6" s="6" t="s">
        <v>23</v>
      </c>
      <c r="T6" s="6"/>
    </row>
    <row r="7" spans="1:20" x14ac:dyDescent="0.2">
      <c r="A7" s="7">
        <v>1</v>
      </c>
      <c r="B7" s="8" t="s">
        <v>24</v>
      </c>
      <c r="C7" s="9">
        <f>27.5+43+43+25-1.75*6</f>
        <v>128</v>
      </c>
      <c r="D7" s="9">
        <f>E4-76</f>
        <v>1924</v>
      </c>
      <c r="E7" s="1">
        <v>2</v>
      </c>
      <c r="F7" s="9">
        <f>G$4*4</f>
        <v>4</v>
      </c>
      <c r="G7" s="9">
        <v>1</v>
      </c>
      <c r="H7" s="9">
        <v>2</v>
      </c>
      <c r="I7" s="9">
        <f t="shared" ref="I7:I51" si="0">C7/1000*D7/1000*E7*F7*8</f>
        <v>15.761407999999999</v>
      </c>
      <c r="J7" s="9">
        <f t="shared" ref="J7:J51" si="1">C7/1000*D7/1000*2*10.76*F7</f>
        <v>21.19909376</v>
      </c>
      <c r="K7" s="10">
        <f>I7*K$5</f>
        <v>1103.29856</v>
      </c>
      <c r="L7" s="10">
        <f>K7*L$5</f>
        <v>110.32985600000001</v>
      </c>
      <c r="M7" s="10">
        <f>I7*M$5</f>
        <v>315.22816</v>
      </c>
      <c r="N7" s="10">
        <f>650*G4</f>
        <v>650</v>
      </c>
      <c r="O7" s="10">
        <v>0</v>
      </c>
      <c r="P7" s="10">
        <f>J7*P$5</f>
        <v>275.58821888</v>
      </c>
      <c r="Q7" s="10">
        <v>0</v>
      </c>
      <c r="R7" s="10">
        <f>K7+L7+M7+N7+O7+P7+Q7</f>
        <v>2454.4447948800002</v>
      </c>
      <c r="S7" s="10">
        <f t="shared" ref="S7:S63" si="2">R7/S$5</f>
        <v>3272.5930598400005</v>
      </c>
    </row>
    <row r="8" spans="1:20" x14ac:dyDescent="0.2">
      <c r="A8" s="11">
        <f t="shared" ref="A8:A63" si="3">A7+1</f>
        <v>2</v>
      </c>
      <c r="B8" s="12" t="s">
        <v>25</v>
      </c>
      <c r="C8" s="1">
        <f>20+44*2-2.65*4</f>
        <v>97.4</v>
      </c>
      <c r="D8" s="1">
        <f>C4-89</f>
        <v>911</v>
      </c>
      <c r="E8" s="1">
        <v>3</v>
      </c>
      <c r="F8" s="1">
        <v>0</v>
      </c>
      <c r="G8" s="1">
        <v>1</v>
      </c>
      <c r="H8" s="1">
        <v>2</v>
      </c>
      <c r="I8" s="1">
        <f t="shared" si="0"/>
        <v>0</v>
      </c>
      <c r="J8" s="1">
        <f t="shared" si="1"/>
        <v>0</v>
      </c>
      <c r="K8" s="4">
        <f t="shared" ref="K8:K51" si="4">I8*K$5</f>
        <v>0</v>
      </c>
      <c r="L8" s="4">
        <f t="shared" ref="L8:L51" si="5">K8*L$5</f>
        <v>0</v>
      </c>
      <c r="M8" s="4">
        <f>I8*M$5</f>
        <v>0</v>
      </c>
      <c r="N8" s="4">
        <v>0</v>
      </c>
      <c r="O8" s="4">
        <v>0</v>
      </c>
      <c r="P8" s="4">
        <f t="shared" ref="P8:P45" si="6">J8*P$5</f>
        <v>0</v>
      </c>
      <c r="Q8" s="4">
        <v>0</v>
      </c>
      <c r="R8" s="4">
        <f t="shared" ref="R8:R63" si="7">K8+L8+M8+N8+O8+P8+Q8</f>
        <v>0</v>
      </c>
      <c r="S8" s="4">
        <f t="shared" si="2"/>
        <v>0</v>
      </c>
    </row>
    <row r="9" spans="1:20" x14ac:dyDescent="0.2">
      <c r="A9" s="11">
        <f t="shared" si="3"/>
        <v>3</v>
      </c>
      <c r="B9" s="12" t="s">
        <v>26</v>
      </c>
      <c r="C9" s="1">
        <f>44*4-2.65*4</f>
        <v>165.4</v>
      </c>
      <c r="D9" s="1">
        <f>B4</f>
        <v>0</v>
      </c>
      <c r="E9" s="1">
        <v>3</v>
      </c>
      <c r="F9" s="1">
        <v>0</v>
      </c>
      <c r="G9" s="1">
        <v>1</v>
      </c>
      <c r="H9" s="1">
        <v>2</v>
      </c>
      <c r="I9" s="1">
        <f t="shared" si="0"/>
        <v>0</v>
      </c>
      <c r="J9" s="1">
        <f t="shared" si="1"/>
        <v>0</v>
      </c>
      <c r="K9" s="4">
        <f t="shared" si="4"/>
        <v>0</v>
      </c>
      <c r="L9" s="4">
        <f t="shared" si="5"/>
        <v>0</v>
      </c>
      <c r="M9" s="4">
        <f t="shared" ref="M9:M63" si="8">I9*M$5</f>
        <v>0</v>
      </c>
      <c r="N9" s="4">
        <v>0</v>
      </c>
      <c r="O9" s="4">
        <v>0</v>
      </c>
      <c r="P9" s="4">
        <f t="shared" si="6"/>
        <v>0</v>
      </c>
      <c r="Q9" s="4">
        <v>0</v>
      </c>
      <c r="R9" s="4">
        <f t="shared" si="7"/>
        <v>0</v>
      </c>
      <c r="S9" s="4">
        <f t="shared" si="2"/>
        <v>0</v>
      </c>
    </row>
    <row r="10" spans="1:20" x14ac:dyDescent="0.2">
      <c r="A10" s="11">
        <f t="shared" si="3"/>
        <v>4</v>
      </c>
      <c r="B10" s="12" t="s">
        <v>27</v>
      </c>
      <c r="C10" s="1">
        <f>20+44*2-2.65*4</f>
        <v>97.4</v>
      </c>
      <c r="D10" s="1">
        <f>D4-98</f>
        <v>702</v>
      </c>
      <c r="E10" s="1">
        <v>3</v>
      </c>
      <c r="F10" s="1">
        <v>0</v>
      </c>
      <c r="G10" s="1">
        <v>1</v>
      </c>
      <c r="H10" s="1">
        <v>2</v>
      </c>
      <c r="I10" s="1">
        <f t="shared" si="0"/>
        <v>0</v>
      </c>
      <c r="J10" s="1">
        <f t="shared" si="1"/>
        <v>0</v>
      </c>
      <c r="K10" s="4">
        <f t="shared" si="4"/>
        <v>0</v>
      </c>
      <c r="L10" s="4">
        <f t="shared" si="5"/>
        <v>0</v>
      </c>
      <c r="M10" s="4">
        <f t="shared" si="8"/>
        <v>0</v>
      </c>
      <c r="N10" s="4">
        <v>0</v>
      </c>
      <c r="O10" s="4">
        <v>0</v>
      </c>
      <c r="P10" s="4">
        <f t="shared" si="6"/>
        <v>0</v>
      </c>
      <c r="Q10" s="4">
        <v>0</v>
      </c>
      <c r="R10" s="4">
        <f t="shared" si="7"/>
        <v>0</v>
      </c>
      <c r="S10" s="4">
        <f t="shared" si="2"/>
        <v>0</v>
      </c>
    </row>
    <row r="11" spans="1:20" x14ac:dyDescent="0.2">
      <c r="A11" s="11">
        <f t="shared" si="3"/>
        <v>5</v>
      </c>
      <c r="B11" s="1" t="s">
        <v>28</v>
      </c>
      <c r="C11" s="1">
        <v>53</v>
      </c>
      <c r="D11" s="1">
        <f>D7</f>
        <v>1924</v>
      </c>
      <c r="E11" s="1">
        <v>2</v>
      </c>
      <c r="F11" s="1">
        <v>0</v>
      </c>
      <c r="G11" s="1">
        <v>1</v>
      </c>
      <c r="H11" s="1">
        <v>1</v>
      </c>
      <c r="I11" s="1">
        <f t="shared" si="0"/>
        <v>0</v>
      </c>
      <c r="J11" s="1">
        <f t="shared" si="1"/>
        <v>0</v>
      </c>
      <c r="K11" s="4">
        <f t="shared" si="4"/>
        <v>0</v>
      </c>
      <c r="L11" s="4">
        <f t="shared" si="5"/>
        <v>0</v>
      </c>
      <c r="M11" s="4">
        <f t="shared" si="8"/>
        <v>0</v>
      </c>
      <c r="N11" s="4">
        <v>0</v>
      </c>
      <c r="O11" s="4">
        <f>D11/25*F11*0.15</f>
        <v>0</v>
      </c>
      <c r="P11" s="4">
        <f t="shared" si="6"/>
        <v>0</v>
      </c>
      <c r="Q11" s="4">
        <v>0</v>
      </c>
      <c r="R11" s="4">
        <f t="shared" si="7"/>
        <v>0</v>
      </c>
      <c r="S11" s="4">
        <f t="shared" si="2"/>
        <v>0</v>
      </c>
    </row>
    <row r="12" spans="1:20" x14ac:dyDescent="0.2">
      <c r="A12" s="11">
        <f t="shared" si="3"/>
        <v>6</v>
      </c>
      <c r="B12" s="1" t="s">
        <v>29</v>
      </c>
      <c r="C12" s="1">
        <f>44+25</f>
        <v>69</v>
      </c>
      <c r="D12" s="1">
        <f>D10</f>
        <v>702</v>
      </c>
      <c r="E12" s="1">
        <v>3</v>
      </c>
      <c r="F12" s="1">
        <v>0</v>
      </c>
      <c r="G12" s="1">
        <v>1</v>
      </c>
      <c r="H12" s="1">
        <v>1</v>
      </c>
      <c r="I12" s="1">
        <f t="shared" si="0"/>
        <v>0</v>
      </c>
      <c r="J12" s="1">
        <f t="shared" si="1"/>
        <v>0</v>
      </c>
      <c r="K12" s="4">
        <f t="shared" si="4"/>
        <v>0</v>
      </c>
      <c r="L12" s="4">
        <f t="shared" si="5"/>
        <v>0</v>
      </c>
      <c r="M12" s="4">
        <f t="shared" si="8"/>
        <v>0</v>
      </c>
      <c r="N12" s="4">
        <v>0</v>
      </c>
      <c r="O12" s="4">
        <f>D12/25*F12*0.15</f>
        <v>0</v>
      </c>
      <c r="P12" s="4">
        <f t="shared" si="6"/>
        <v>0</v>
      </c>
      <c r="Q12" s="4">
        <v>0</v>
      </c>
      <c r="R12" s="4">
        <f t="shared" si="7"/>
        <v>0</v>
      </c>
      <c r="S12" s="4">
        <f t="shared" si="2"/>
        <v>0</v>
      </c>
    </row>
    <row r="13" spans="1:20" x14ac:dyDescent="0.2">
      <c r="A13" s="11">
        <f t="shared" si="3"/>
        <v>7</v>
      </c>
      <c r="B13" s="1" t="s">
        <v>30</v>
      </c>
      <c r="C13" s="1">
        <f>15+38+15</f>
        <v>68</v>
      </c>
      <c r="D13" s="1">
        <f>D10</f>
        <v>702</v>
      </c>
      <c r="E13" s="1">
        <v>2</v>
      </c>
      <c r="F13" s="1">
        <v>0</v>
      </c>
      <c r="G13" s="1">
        <v>1</v>
      </c>
      <c r="H13" s="1">
        <v>1</v>
      </c>
      <c r="I13" s="1">
        <f t="shared" si="0"/>
        <v>0</v>
      </c>
      <c r="J13" s="1">
        <f t="shared" si="1"/>
        <v>0</v>
      </c>
      <c r="K13" s="4">
        <f t="shared" si="4"/>
        <v>0</v>
      </c>
      <c r="L13" s="4">
        <f t="shared" si="5"/>
        <v>0</v>
      </c>
      <c r="M13" s="4">
        <f t="shared" si="8"/>
        <v>0</v>
      </c>
      <c r="N13" s="4">
        <v>0</v>
      </c>
      <c r="O13" s="4">
        <v>0</v>
      </c>
      <c r="P13" s="4">
        <f>J13*P$5</f>
        <v>0</v>
      </c>
      <c r="Q13" s="4">
        <v>0</v>
      </c>
      <c r="R13" s="4">
        <f t="shared" si="7"/>
        <v>0</v>
      </c>
      <c r="S13" s="4">
        <f t="shared" si="2"/>
        <v>0</v>
      </c>
    </row>
    <row r="14" spans="1:20" x14ac:dyDescent="0.2">
      <c r="A14" s="11">
        <f t="shared" si="3"/>
        <v>8</v>
      </c>
      <c r="B14" s="1" t="s">
        <v>31</v>
      </c>
      <c r="C14" s="1">
        <v>0</v>
      </c>
      <c r="F14" s="1">
        <v>0</v>
      </c>
      <c r="I14" s="1">
        <f t="shared" si="0"/>
        <v>0</v>
      </c>
      <c r="J14" s="1">
        <f t="shared" si="1"/>
        <v>0</v>
      </c>
      <c r="K14" s="4">
        <f t="shared" si="4"/>
        <v>0</v>
      </c>
      <c r="L14" s="4">
        <f t="shared" si="5"/>
        <v>0</v>
      </c>
      <c r="M14" s="4">
        <f t="shared" si="8"/>
        <v>0</v>
      </c>
      <c r="N14" s="4">
        <v>0</v>
      </c>
      <c r="O14" s="4">
        <v>0</v>
      </c>
      <c r="P14" s="4">
        <f t="shared" si="6"/>
        <v>0</v>
      </c>
      <c r="Q14" s="4">
        <f>40*F14</f>
        <v>0</v>
      </c>
      <c r="R14" s="4">
        <f t="shared" si="7"/>
        <v>0</v>
      </c>
      <c r="S14" s="4">
        <f t="shared" si="2"/>
        <v>0</v>
      </c>
      <c r="T14" s="4"/>
    </row>
    <row r="15" spans="1:20" x14ac:dyDescent="0.2">
      <c r="A15" s="11">
        <f t="shared" si="3"/>
        <v>9</v>
      </c>
      <c r="B15" s="13" t="s">
        <v>32</v>
      </c>
      <c r="C15" s="13">
        <v>0</v>
      </c>
      <c r="D15" s="13"/>
      <c r="E15" s="13"/>
      <c r="F15" s="13">
        <v>0</v>
      </c>
      <c r="G15" s="13"/>
      <c r="H15" s="13"/>
      <c r="I15" s="1">
        <f t="shared" si="0"/>
        <v>0</v>
      </c>
      <c r="J15" s="13">
        <f t="shared" si="1"/>
        <v>0</v>
      </c>
      <c r="K15" s="14">
        <f t="shared" si="4"/>
        <v>0</v>
      </c>
      <c r="L15" s="14">
        <f t="shared" si="5"/>
        <v>0</v>
      </c>
      <c r="M15" s="14">
        <f t="shared" si="8"/>
        <v>0</v>
      </c>
      <c r="N15" s="14">
        <v>0</v>
      </c>
      <c r="O15" s="14">
        <v>0</v>
      </c>
      <c r="P15" s="4">
        <f t="shared" si="6"/>
        <v>0</v>
      </c>
      <c r="Q15" s="4">
        <f>F15*1.6</f>
        <v>0</v>
      </c>
      <c r="R15" s="14">
        <f t="shared" si="7"/>
        <v>0</v>
      </c>
      <c r="S15" s="14">
        <f t="shared" si="2"/>
        <v>0</v>
      </c>
      <c r="T15" s="14">
        <f>SUM(S7:S15)</f>
        <v>3272.5930598400005</v>
      </c>
    </row>
    <row r="16" spans="1:20" x14ac:dyDescent="0.2">
      <c r="A16" s="11">
        <f t="shared" si="3"/>
        <v>10</v>
      </c>
      <c r="B16" s="9" t="s">
        <v>33</v>
      </c>
      <c r="C16" s="9">
        <f>C4/2-6+40-1.75*4+45</f>
        <v>572</v>
      </c>
      <c r="D16" s="9">
        <f>E4+23</f>
        <v>2023</v>
      </c>
      <c r="E16" s="9">
        <v>2</v>
      </c>
      <c r="F16" s="9">
        <f>G4*2</f>
        <v>2</v>
      </c>
      <c r="G16" s="9">
        <v>2</v>
      </c>
      <c r="H16" s="9">
        <v>4</v>
      </c>
      <c r="I16" s="9">
        <f t="shared" si="0"/>
        <v>37.028991999999995</v>
      </c>
      <c r="J16" s="9">
        <f t="shared" si="1"/>
        <v>49.803994239999994</v>
      </c>
      <c r="K16" s="10">
        <f t="shared" si="4"/>
        <v>2592.0294399999998</v>
      </c>
      <c r="L16" s="10">
        <f t="shared" si="5"/>
        <v>259.202944</v>
      </c>
      <c r="M16" s="4">
        <f t="shared" si="8"/>
        <v>740.57983999999988</v>
      </c>
      <c r="N16" s="10">
        <f>F16*125</f>
        <v>250</v>
      </c>
      <c r="O16" s="10">
        <v>0</v>
      </c>
      <c r="P16" s="10">
        <f t="shared" si="6"/>
        <v>647.45192511999994</v>
      </c>
      <c r="Q16" s="10">
        <v>0</v>
      </c>
      <c r="R16" s="10">
        <f t="shared" si="7"/>
        <v>4489.2641491199993</v>
      </c>
      <c r="S16" s="10">
        <f t="shared" si="2"/>
        <v>5985.6855321599987</v>
      </c>
      <c r="T16" s="9"/>
    </row>
    <row r="17" spans="1:21" x14ac:dyDescent="0.2">
      <c r="A17" s="11">
        <f t="shared" si="3"/>
        <v>11</v>
      </c>
      <c r="B17" s="12" t="s">
        <v>34</v>
      </c>
      <c r="C17" s="1">
        <v>69</v>
      </c>
      <c r="D17" s="1">
        <f>E4-140</f>
        <v>1860</v>
      </c>
      <c r="E17" s="1">
        <v>1.6</v>
      </c>
      <c r="F17" s="1">
        <f>F16*2</f>
        <v>4</v>
      </c>
      <c r="G17" s="1">
        <v>1</v>
      </c>
      <c r="H17" s="1">
        <v>2</v>
      </c>
      <c r="I17" s="1">
        <f t="shared" si="0"/>
        <v>6.5710080000000008</v>
      </c>
      <c r="J17" s="1">
        <f t="shared" si="1"/>
        <v>11.0475072</v>
      </c>
      <c r="K17" s="4">
        <f t="shared" si="4"/>
        <v>459.97056000000003</v>
      </c>
      <c r="L17" s="4">
        <f t="shared" si="5"/>
        <v>45.997056000000008</v>
      </c>
      <c r="M17" s="4">
        <f t="shared" si="8"/>
        <v>131.42016000000001</v>
      </c>
      <c r="N17" s="4">
        <v>0</v>
      </c>
      <c r="O17" s="4">
        <v>0</v>
      </c>
      <c r="P17" s="4">
        <f t="shared" si="6"/>
        <v>143.61759359999999</v>
      </c>
      <c r="Q17" s="4">
        <v>0</v>
      </c>
      <c r="R17" s="4">
        <f t="shared" si="7"/>
        <v>781.00536959999999</v>
      </c>
      <c r="S17" s="4">
        <f t="shared" si="2"/>
        <v>1041.3404928</v>
      </c>
    </row>
    <row r="18" spans="1:21" x14ac:dyDescent="0.2">
      <c r="A18" s="11">
        <f t="shared" si="3"/>
        <v>12</v>
      </c>
      <c r="B18" s="12" t="s">
        <v>35</v>
      </c>
      <c r="C18" s="1">
        <v>69</v>
      </c>
      <c r="D18" s="1">
        <f>C4/2-100</f>
        <v>400</v>
      </c>
      <c r="E18" s="1">
        <v>1.6</v>
      </c>
      <c r="F18" s="1">
        <f>2*F16</f>
        <v>4</v>
      </c>
      <c r="G18" s="1">
        <v>1</v>
      </c>
      <c r="H18" s="1">
        <v>2</v>
      </c>
      <c r="I18" s="1">
        <f t="shared" si="0"/>
        <v>1.4131200000000002</v>
      </c>
      <c r="J18" s="1">
        <f t="shared" si="1"/>
        <v>2.3758080000000001</v>
      </c>
      <c r="K18" s="4">
        <f t="shared" si="4"/>
        <v>98.918400000000005</v>
      </c>
      <c r="L18" s="4">
        <f t="shared" si="5"/>
        <v>9.891840000000002</v>
      </c>
      <c r="M18" s="4">
        <f t="shared" si="8"/>
        <v>28.262400000000003</v>
      </c>
      <c r="N18" s="4">
        <v>0</v>
      </c>
      <c r="O18" s="4">
        <v>0</v>
      </c>
      <c r="P18" s="4">
        <f t="shared" si="6"/>
        <v>30.885504000000001</v>
      </c>
      <c r="Q18" s="4">
        <v>0</v>
      </c>
      <c r="R18" s="4">
        <f t="shared" si="7"/>
        <v>167.958144</v>
      </c>
      <c r="S18" s="4">
        <f t="shared" si="2"/>
        <v>223.94419200000002</v>
      </c>
    </row>
    <row r="19" spans="1:21" x14ac:dyDescent="0.2">
      <c r="A19" s="11">
        <f t="shared" si="3"/>
        <v>13</v>
      </c>
      <c r="B19" s="1" t="s">
        <v>36</v>
      </c>
      <c r="F19" s="1">
        <f>((C16/1000*2)+(D16/1000*2))*F16</f>
        <v>10.38</v>
      </c>
      <c r="I19" s="1">
        <f t="shared" si="0"/>
        <v>0</v>
      </c>
      <c r="J19" s="1">
        <f t="shared" si="1"/>
        <v>0</v>
      </c>
      <c r="K19" s="4">
        <f t="shared" si="4"/>
        <v>0</v>
      </c>
      <c r="L19" s="4">
        <f t="shared" si="5"/>
        <v>0</v>
      </c>
      <c r="M19" s="4">
        <f t="shared" si="8"/>
        <v>0</v>
      </c>
      <c r="N19" s="4">
        <v>0</v>
      </c>
      <c r="O19" s="4">
        <v>0</v>
      </c>
      <c r="P19" s="4">
        <f t="shared" si="6"/>
        <v>0</v>
      </c>
      <c r="Q19" s="4">
        <f>F19*35</f>
        <v>363.3</v>
      </c>
      <c r="R19" s="4">
        <f t="shared" si="7"/>
        <v>363.3</v>
      </c>
      <c r="S19" s="4">
        <f t="shared" si="2"/>
        <v>484.40000000000003</v>
      </c>
    </row>
    <row r="20" spans="1:21" x14ac:dyDescent="0.2">
      <c r="A20" s="11">
        <f t="shared" si="3"/>
        <v>14</v>
      </c>
      <c r="B20" s="1" t="s">
        <v>37</v>
      </c>
      <c r="F20" s="1">
        <f>G4*1</f>
        <v>1</v>
      </c>
      <c r="I20" s="1">
        <f t="shared" si="0"/>
        <v>0</v>
      </c>
      <c r="J20" s="1">
        <f t="shared" si="1"/>
        <v>0</v>
      </c>
      <c r="K20" s="4">
        <f t="shared" si="4"/>
        <v>0</v>
      </c>
      <c r="L20" s="4">
        <f t="shared" si="5"/>
        <v>0</v>
      </c>
      <c r="M20" s="4">
        <f t="shared" si="8"/>
        <v>0</v>
      </c>
      <c r="N20" s="4">
        <v>0</v>
      </c>
      <c r="O20" s="4">
        <v>0</v>
      </c>
      <c r="P20" s="4">
        <f t="shared" si="6"/>
        <v>0</v>
      </c>
      <c r="Q20" s="4">
        <f>750*F20</f>
        <v>750</v>
      </c>
      <c r="R20" s="4">
        <f t="shared" si="7"/>
        <v>750</v>
      </c>
      <c r="S20" s="4">
        <f t="shared" si="2"/>
        <v>1000</v>
      </c>
    </row>
    <row r="21" spans="1:21" x14ac:dyDescent="0.2">
      <c r="A21" s="11">
        <f t="shared" si="3"/>
        <v>15</v>
      </c>
      <c r="B21" s="1" t="s">
        <v>38</v>
      </c>
      <c r="F21" s="1">
        <f>F16*4</f>
        <v>8</v>
      </c>
      <c r="I21" s="1">
        <f t="shared" si="0"/>
        <v>0</v>
      </c>
      <c r="J21" s="1">
        <f t="shared" si="1"/>
        <v>0</v>
      </c>
      <c r="K21" s="4">
        <f t="shared" si="4"/>
        <v>0</v>
      </c>
      <c r="L21" s="4">
        <f t="shared" si="5"/>
        <v>0</v>
      </c>
      <c r="M21" s="4">
        <f t="shared" si="8"/>
        <v>0</v>
      </c>
      <c r="N21" s="4">
        <v>0</v>
      </c>
      <c r="O21" s="4">
        <v>0</v>
      </c>
      <c r="P21" s="4">
        <f t="shared" si="6"/>
        <v>0</v>
      </c>
      <c r="Q21" s="4">
        <f>F21*60</f>
        <v>480</v>
      </c>
      <c r="R21" s="4">
        <f t="shared" si="7"/>
        <v>480</v>
      </c>
      <c r="S21" s="4">
        <f t="shared" si="2"/>
        <v>640</v>
      </c>
      <c r="T21" s="4"/>
    </row>
    <row r="22" spans="1:21" x14ac:dyDescent="0.2">
      <c r="A22" s="11">
        <f t="shared" si="3"/>
        <v>16</v>
      </c>
      <c r="B22" s="13" t="s">
        <v>39</v>
      </c>
      <c r="C22" s="13"/>
      <c r="D22" s="13"/>
      <c r="E22" s="13"/>
      <c r="F22" s="13">
        <f>F17*4+F18*3</f>
        <v>28</v>
      </c>
      <c r="G22" s="13"/>
      <c r="H22" s="13"/>
      <c r="I22" s="13">
        <f t="shared" si="0"/>
        <v>0</v>
      </c>
      <c r="J22" s="13">
        <f t="shared" si="1"/>
        <v>0</v>
      </c>
      <c r="K22" s="14">
        <f t="shared" si="4"/>
        <v>0</v>
      </c>
      <c r="L22" s="14">
        <f t="shared" si="5"/>
        <v>0</v>
      </c>
      <c r="M22" s="14">
        <f t="shared" si="8"/>
        <v>0</v>
      </c>
      <c r="N22" s="14">
        <v>0</v>
      </c>
      <c r="O22" s="14">
        <v>0</v>
      </c>
      <c r="P22" s="4">
        <f t="shared" si="6"/>
        <v>0</v>
      </c>
      <c r="Q22" s="14">
        <f>F22*8</f>
        <v>224</v>
      </c>
      <c r="R22" s="14">
        <f t="shared" si="7"/>
        <v>224</v>
      </c>
      <c r="S22" s="14">
        <f t="shared" si="2"/>
        <v>298.66666666666669</v>
      </c>
      <c r="T22" s="4">
        <f>SUM(S16:S22)</f>
        <v>9674.0368836266643</v>
      </c>
    </row>
    <row r="23" spans="1:21" x14ac:dyDescent="0.2">
      <c r="A23" s="11">
        <f t="shared" si="3"/>
        <v>17</v>
      </c>
      <c r="B23" s="15" t="s">
        <v>40</v>
      </c>
      <c r="C23" s="16">
        <f>F4+79.4</f>
        <v>179.4</v>
      </c>
      <c r="D23" s="15">
        <f>D4+189.4</f>
        <v>989.4</v>
      </c>
      <c r="E23" s="15">
        <v>3</v>
      </c>
      <c r="F23" s="15">
        <f>2*G$4</f>
        <v>2</v>
      </c>
      <c r="G23" s="9">
        <v>1</v>
      </c>
      <c r="H23" s="9">
        <v>4</v>
      </c>
      <c r="I23" s="9">
        <f t="shared" si="0"/>
        <v>8.5199212800000002</v>
      </c>
      <c r="J23" s="9">
        <f t="shared" si="1"/>
        <v>7.6395294143999992</v>
      </c>
      <c r="K23" s="10">
        <f t="shared" si="4"/>
        <v>596.39448960000004</v>
      </c>
      <c r="L23" s="10">
        <f t="shared" si="5"/>
        <v>59.63944896000001</v>
      </c>
      <c r="M23" s="4">
        <f t="shared" si="8"/>
        <v>170.3984256</v>
      </c>
      <c r="N23" s="10">
        <f>50*F23</f>
        <v>100</v>
      </c>
      <c r="O23" s="10">
        <v>0</v>
      </c>
      <c r="P23" s="10">
        <f t="shared" si="6"/>
        <v>99.313882387199996</v>
      </c>
      <c r="Q23" s="10">
        <v>0</v>
      </c>
      <c r="R23" s="10">
        <f t="shared" si="7"/>
        <v>1025.7462465471999</v>
      </c>
      <c r="S23" s="10">
        <f t="shared" si="2"/>
        <v>1367.6616620629331</v>
      </c>
      <c r="T23" s="9"/>
    </row>
    <row r="24" spans="1:21" x14ac:dyDescent="0.2">
      <c r="A24" s="11">
        <f t="shared" si="3"/>
        <v>18</v>
      </c>
      <c r="B24" s="15" t="s">
        <v>41</v>
      </c>
      <c r="C24" s="16">
        <v>85</v>
      </c>
      <c r="D24" s="15">
        <v>85</v>
      </c>
      <c r="E24" s="15">
        <v>2</v>
      </c>
      <c r="F24" s="15">
        <f>4*0</f>
        <v>0</v>
      </c>
      <c r="G24" s="1">
        <v>1</v>
      </c>
      <c r="H24" s="1">
        <v>2</v>
      </c>
      <c r="I24" s="1">
        <f t="shared" si="0"/>
        <v>0</v>
      </c>
      <c r="J24" s="1">
        <f t="shared" si="1"/>
        <v>0</v>
      </c>
      <c r="K24" s="4">
        <f t="shared" si="4"/>
        <v>0</v>
      </c>
      <c r="L24" s="4">
        <f t="shared" si="5"/>
        <v>0</v>
      </c>
      <c r="M24" s="4">
        <f t="shared" si="8"/>
        <v>0</v>
      </c>
      <c r="N24" s="4">
        <v>0</v>
      </c>
      <c r="O24" s="4">
        <v>0</v>
      </c>
      <c r="P24" s="4">
        <f t="shared" si="6"/>
        <v>0</v>
      </c>
      <c r="Q24" s="4">
        <v>0</v>
      </c>
      <c r="R24" s="4">
        <f t="shared" si="7"/>
        <v>0</v>
      </c>
      <c r="S24" s="4">
        <f t="shared" si="2"/>
        <v>0</v>
      </c>
    </row>
    <row r="25" spans="1:21" x14ac:dyDescent="0.2">
      <c r="A25" s="11">
        <f t="shared" si="3"/>
        <v>19</v>
      </c>
      <c r="B25" s="15" t="s">
        <v>42</v>
      </c>
      <c r="C25" s="16">
        <f>F4+82</f>
        <v>182</v>
      </c>
      <c r="D25" s="16">
        <f>C4-79</f>
        <v>921</v>
      </c>
      <c r="E25" s="15">
        <v>3</v>
      </c>
      <c r="F25" s="15">
        <f>F23</f>
        <v>2</v>
      </c>
      <c r="G25" s="1">
        <v>1</v>
      </c>
      <c r="H25" s="1">
        <v>0</v>
      </c>
      <c r="I25" s="1">
        <f t="shared" si="0"/>
        <v>8.0458560000000006</v>
      </c>
      <c r="J25" s="1">
        <f t="shared" si="1"/>
        <v>7.2144508799999993</v>
      </c>
      <c r="K25" s="4">
        <f t="shared" si="4"/>
        <v>563.20992000000001</v>
      </c>
      <c r="L25" s="4">
        <f t="shared" si="5"/>
        <v>56.320992000000004</v>
      </c>
      <c r="M25" s="4">
        <f t="shared" si="8"/>
        <v>160.91712000000001</v>
      </c>
      <c r="N25" s="4">
        <v>0</v>
      </c>
      <c r="O25" s="4">
        <v>0</v>
      </c>
      <c r="P25" s="4">
        <f t="shared" si="6"/>
        <v>93.787861439999986</v>
      </c>
      <c r="Q25" s="4">
        <v>0</v>
      </c>
      <c r="R25" s="4">
        <f t="shared" si="7"/>
        <v>874.23589344000004</v>
      </c>
      <c r="S25" s="4">
        <f t="shared" si="2"/>
        <v>1165.64785792</v>
      </c>
    </row>
    <row r="26" spans="1:21" x14ac:dyDescent="0.2">
      <c r="A26" s="11">
        <f t="shared" si="3"/>
        <v>20</v>
      </c>
      <c r="B26" s="17" t="s">
        <v>43</v>
      </c>
      <c r="C26" s="18">
        <f>F4+3</f>
        <v>103</v>
      </c>
      <c r="D26" s="18">
        <f>C4-162</f>
        <v>838</v>
      </c>
      <c r="E26" s="17">
        <v>1.6</v>
      </c>
      <c r="F26" s="17">
        <f>2*G$4</f>
        <v>2</v>
      </c>
      <c r="G26" s="13"/>
      <c r="H26" s="13"/>
      <c r="I26" s="13">
        <f t="shared" si="0"/>
        <v>2.2096383999999998</v>
      </c>
      <c r="J26" s="13">
        <f t="shared" si="1"/>
        <v>3.7149545599999994</v>
      </c>
      <c r="K26" s="14">
        <f t="shared" si="4"/>
        <v>154.67468799999997</v>
      </c>
      <c r="L26" s="14">
        <f t="shared" si="5"/>
        <v>15.467468799999999</v>
      </c>
      <c r="M26" s="14">
        <f t="shared" si="8"/>
        <v>44.192767999999994</v>
      </c>
      <c r="N26" s="14">
        <v>0</v>
      </c>
      <c r="O26" s="14">
        <v>0</v>
      </c>
      <c r="P26" s="4">
        <f t="shared" si="6"/>
        <v>48.294409279999989</v>
      </c>
      <c r="Q26" s="14">
        <v>0</v>
      </c>
      <c r="R26" s="14">
        <f t="shared" si="7"/>
        <v>262.62933407999998</v>
      </c>
      <c r="S26" s="14">
        <f t="shared" si="2"/>
        <v>350.17244543999999</v>
      </c>
      <c r="T26" s="14">
        <f>SUM(S23:S26)</f>
        <v>2883.4819654229332</v>
      </c>
      <c r="U26" s="4">
        <f>SUM(S23:S26)</f>
        <v>2883.4819654229332</v>
      </c>
    </row>
    <row r="27" spans="1:21" x14ac:dyDescent="0.2">
      <c r="A27" s="11">
        <f t="shared" si="3"/>
        <v>21</v>
      </c>
      <c r="B27" s="9" t="s">
        <v>44</v>
      </c>
      <c r="C27" s="9">
        <f>C4+43*2+25*2-1.75*8</f>
        <v>1122</v>
      </c>
      <c r="D27" s="9">
        <f>D4-29*2+27*2+43*2-1.75*8</f>
        <v>868</v>
      </c>
      <c r="E27" s="19">
        <v>2</v>
      </c>
      <c r="F27" s="9">
        <f>G4*2</f>
        <v>2</v>
      </c>
      <c r="G27" s="9">
        <v>1</v>
      </c>
      <c r="H27" s="9">
        <v>4</v>
      </c>
      <c r="I27" s="9">
        <f t="shared" si="0"/>
        <v>31.164672000000003</v>
      </c>
      <c r="J27" s="9">
        <f t="shared" si="1"/>
        <v>41.916483840000005</v>
      </c>
      <c r="K27" s="10">
        <f t="shared" si="4"/>
        <v>2181.5270400000004</v>
      </c>
      <c r="L27" s="10">
        <f t="shared" si="5"/>
        <v>218.15270400000006</v>
      </c>
      <c r="M27" s="4">
        <f t="shared" si="8"/>
        <v>623.29344000000003</v>
      </c>
      <c r="N27" s="10">
        <v>20</v>
      </c>
      <c r="O27" s="10">
        <v>0</v>
      </c>
      <c r="P27" s="10">
        <f t="shared" si="6"/>
        <v>544.9142899200001</v>
      </c>
      <c r="Q27" s="10">
        <v>0</v>
      </c>
      <c r="R27" s="10">
        <f t="shared" si="7"/>
        <v>3587.8874739200005</v>
      </c>
      <c r="S27" s="10">
        <f t="shared" si="2"/>
        <v>4783.8499652266673</v>
      </c>
      <c r="T27" s="9"/>
    </row>
    <row r="28" spans="1:21" x14ac:dyDescent="0.2">
      <c r="A28" s="11">
        <f t="shared" si="3"/>
        <v>22</v>
      </c>
      <c r="B28" s="1" t="s">
        <v>36</v>
      </c>
      <c r="F28" s="1">
        <v>0</v>
      </c>
      <c r="I28" s="1">
        <f t="shared" si="0"/>
        <v>0</v>
      </c>
      <c r="J28" s="1">
        <f t="shared" si="1"/>
        <v>0</v>
      </c>
      <c r="K28" s="4">
        <f t="shared" si="4"/>
        <v>0</v>
      </c>
      <c r="L28" s="4">
        <f t="shared" si="5"/>
        <v>0</v>
      </c>
      <c r="M28" s="4">
        <f t="shared" si="8"/>
        <v>0</v>
      </c>
      <c r="N28" s="4">
        <v>0</v>
      </c>
      <c r="O28" s="4">
        <v>0</v>
      </c>
      <c r="P28" s="4">
        <f t="shared" si="6"/>
        <v>0</v>
      </c>
      <c r="Q28" s="4">
        <f>12*F28</f>
        <v>0</v>
      </c>
      <c r="R28" s="4">
        <f t="shared" si="7"/>
        <v>0</v>
      </c>
      <c r="S28" s="4">
        <f t="shared" si="2"/>
        <v>0</v>
      </c>
    </row>
    <row r="29" spans="1:21" x14ac:dyDescent="0.2">
      <c r="A29" s="11">
        <f t="shared" si="3"/>
        <v>23</v>
      </c>
      <c r="B29" s="1" t="s">
        <v>45</v>
      </c>
      <c r="C29" s="1">
        <v>100</v>
      </c>
      <c r="D29" s="1">
        <v>62</v>
      </c>
      <c r="E29" s="1">
        <v>4</v>
      </c>
      <c r="F29" s="1">
        <f>G4*4</f>
        <v>4</v>
      </c>
      <c r="I29" s="1">
        <f t="shared" si="0"/>
        <v>0.79359999999999997</v>
      </c>
      <c r="J29" s="1">
        <f t="shared" si="1"/>
        <v>0.53369599999999995</v>
      </c>
      <c r="K29" s="4">
        <f t="shared" si="4"/>
        <v>55.552</v>
      </c>
      <c r="L29" s="4">
        <f t="shared" si="5"/>
        <v>5.5552000000000001</v>
      </c>
      <c r="M29" s="4">
        <f t="shared" si="8"/>
        <v>15.872</v>
      </c>
      <c r="N29" s="4">
        <v>0</v>
      </c>
      <c r="O29" s="4">
        <v>0</v>
      </c>
      <c r="P29" s="4">
        <f t="shared" si="6"/>
        <v>6.9380479999999993</v>
      </c>
      <c r="Q29" s="4">
        <f>40*F29</f>
        <v>160</v>
      </c>
      <c r="R29" s="4">
        <f t="shared" si="7"/>
        <v>243.91724799999997</v>
      </c>
      <c r="S29" s="4">
        <f t="shared" si="2"/>
        <v>325.2229973333333</v>
      </c>
    </row>
    <row r="30" spans="1:21" x14ac:dyDescent="0.2">
      <c r="A30" s="11">
        <f t="shared" si="3"/>
        <v>24</v>
      </c>
      <c r="B30" s="13" t="s">
        <v>39</v>
      </c>
      <c r="C30" s="13"/>
      <c r="D30" s="13"/>
      <c r="E30" s="13"/>
      <c r="F30" s="13"/>
      <c r="G30" s="13"/>
      <c r="H30" s="13"/>
      <c r="I30" s="13">
        <f t="shared" si="0"/>
        <v>0</v>
      </c>
      <c r="J30" s="13">
        <f t="shared" si="1"/>
        <v>0</v>
      </c>
      <c r="K30" s="14">
        <f t="shared" si="4"/>
        <v>0</v>
      </c>
      <c r="L30" s="14">
        <f t="shared" si="5"/>
        <v>0</v>
      </c>
      <c r="M30" s="14">
        <f t="shared" si="8"/>
        <v>0</v>
      </c>
      <c r="N30" s="14">
        <v>0</v>
      </c>
      <c r="O30" s="14">
        <v>0</v>
      </c>
      <c r="P30" s="4">
        <f t="shared" si="6"/>
        <v>0</v>
      </c>
      <c r="Q30" s="14">
        <v>0</v>
      </c>
      <c r="R30" s="14">
        <f t="shared" si="7"/>
        <v>0</v>
      </c>
      <c r="S30" s="14">
        <f t="shared" si="2"/>
        <v>0</v>
      </c>
      <c r="T30" s="14">
        <f>SUM(S27:S30)</f>
        <v>5109.0729625600006</v>
      </c>
    </row>
    <row r="31" spans="1:21" x14ac:dyDescent="0.2">
      <c r="A31" s="11">
        <f t="shared" si="3"/>
        <v>25</v>
      </c>
      <c r="B31" s="9" t="s">
        <v>46</v>
      </c>
      <c r="C31" s="9">
        <v>132</v>
      </c>
      <c r="D31" s="9">
        <f>C4</f>
        <v>1000</v>
      </c>
      <c r="E31" s="9">
        <v>3</v>
      </c>
      <c r="F31" s="9">
        <v>0</v>
      </c>
      <c r="G31" s="9">
        <v>1</v>
      </c>
      <c r="H31" s="9">
        <v>4</v>
      </c>
      <c r="I31" s="9">
        <f t="shared" si="0"/>
        <v>0</v>
      </c>
      <c r="J31" s="9">
        <f t="shared" si="1"/>
        <v>0</v>
      </c>
      <c r="K31" s="10">
        <f t="shared" si="4"/>
        <v>0</v>
      </c>
      <c r="L31" s="10">
        <f t="shared" si="5"/>
        <v>0</v>
      </c>
      <c r="M31" s="4">
        <f t="shared" si="8"/>
        <v>0</v>
      </c>
      <c r="N31" s="10">
        <v>0</v>
      </c>
      <c r="O31" s="10">
        <v>0</v>
      </c>
      <c r="P31" s="10">
        <f t="shared" si="6"/>
        <v>0</v>
      </c>
      <c r="Q31" s="10">
        <v>0</v>
      </c>
      <c r="R31" s="10">
        <f t="shared" si="7"/>
        <v>0</v>
      </c>
      <c r="S31" s="10">
        <f t="shared" si="2"/>
        <v>0</v>
      </c>
      <c r="T31" s="9"/>
    </row>
    <row r="32" spans="1:21" x14ac:dyDescent="0.2">
      <c r="A32" s="11">
        <f t="shared" si="3"/>
        <v>26</v>
      </c>
      <c r="B32" s="1" t="s">
        <v>47</v>
      </c>
      <c r="C32" s="1">
        <f>C4-150</f>
        <v>850</v>
      </c>
      <c r="D32" s="1">
        <f>D4-100</f>
        <v>700</v>
      </c>
      <c r="E32" s="1">
        <v>2</v>
      </c>
      <c r="F32" s="4">
        <f>G4*1</f>
        <v>1</v>
      </c>
      <c r="G32" s="1">
        <v>1</v>
      </c>
      <c r="H32" s="1">
        <v>5</v>
      </c>
      <c r="I32" s="1">
        <f t="shared" si="0"/>
        <v>9.52</v>
      </c>
      <c r="J32" s="1">
        <f t="shared" si="1"/>
        <v>12.804399999999999</v>
      </c>
      <c r="K32" s="4">
        <f t="shared" si="4"/>
        <v>666.4</v>
      </c>
      <c r="L32" s="4">
        <f t="shared" si="5"/>
        <v>66.64</v>
      </c>
      <c r="M32" s="4">
        <f t="shared" si="8"/>
        <v>190.39999999999998</v>
      </c>
      <c r="N32" s="4">
        <v>0</v>
      </c>
      <c r="O32" s="4">
        <v>0</v>
      </c>
      <c r="P32" s="4">
        <f>J32*P$5</f>
        <v>166.4572</v>
      </c>
      <c r="Q32" s="4">
        <v>0</v>
      </c>
      <c r="R32" s="4">
        <f t="shared" si="7"/>
        <v>1089.8971999999999</v>
      </c>
      <c r="S32" s="4">
        <f t="shared" si="2"/>
        <v>1453.1962666666666</v>
      </c>
      <c r="T32" s="4"/>
    </row>
    <row r="33" spans="1:20" x14ac:dyDescent="0.2">
      <c r="A33" s="11">
        <f t="shared" si="3"/>
        <v>27</v>
      </c>
      <c r="B33" s="1" t="s">
        <v>48</v>
      </c>
      <c r="C33" s="1">
        <v>25</v>
      </c>
      <c r="D33" s="1">
        <v>60</v>
      </c>
      <c r="E33" s="1">
        <v>3</v>
      </c>
      <c r="F33" s="1">
        <f>(F32+F31)*2</f>
        <v>2</v>
      </c>
      <c r="G33" s="1">
        <v>1</v>
      </c>
      <c r="H33" s="1">
        <v>2</v>
      </c>
      <c r="I33" s="1">
        <f t="shared" si="0"/>
        <v>7.2000000000000008E-2</v>
      </c>
      <c r="J33" s="1">
        <f t="shared" si="1"/>
        <v>6.4560000000000006E-2</v>
      </c>
      <c r="K33" s="4">
        <f t="shared" si="4"/>
        <v>5.0400000000000009</v>
      </c>
      <c r="L33" s="4">
        <f t="shared" si="5"/>
        <v>0.50400000000000011</v>
      </c>
      <c r="M33" s="4">
        <f t="shared" si="8"/>
        <v>1.4400000000000002</v>
      </c>
      <c r="N33" s="4">
        <v>0</v>
      </c>
      <c r="O33" s="4">
        <v>0</v>
      </c>
      <c r="P33" s="4">
        <f t="shared" si="6"/>
        <v>0.83928000000000003</v>
      </c>
      <c r="Q33" s="4">
        <v>0</v>
      </c>
      <c r="R33" s="4">
        <f t="shared" si="7"/>
        <v>7.8232800000000022</v>
      </c>
      <c r="S33" s="4">
        <f t="shared" si="2"/>
        <v>10.431040000000003</v>
      </c>
    </row>
    <row r="34" spans="1:20" x14ac:dyDescent="0.2">
      <c r="A34" s="11">
        <f t="shared" si="3"/>
        <v>28</v>
      </c>
      <c r="B34" s="1" t="s">
        <v>39</v>
      </c>
      <c r="I34" s="1">
        <f t="shared" si="0"/>
        <v>0</v>
      </c>
      <c r="J34" s="1">
        <f t="shared" si="1"/>
        <v>0</v>
      </c>
      <c r="K34" s="4">
        <f t="shared" si="4"/>
        <v>0</v>
      </c>
      <c r="L34" s="4">
        <f t="shared" si="5"/>
        <v>0</v>
      </c>
      <c r="M34" s="4">
        <f t="shared" si="8"/>
        <v>0</v>
      </c>
      <c r="N34" s="4">
        <v>0</v>
      </c>
      <c r="O34" s="4">
        <v>0</v>
      </c>
      <c r="P34" s="4">
        <f t="shared" si="6"/>
        <v>0</v>
      </c>
      <c r="Q34" s="4">
        <v>0</v>
      </c>
      <c r="R34" s="4">
        <f t="shared" si="7"/>
        <v>0</v>
      </c>
      <c r="S34" s="4">
        <f t="shared" si="2"/>
        <v>0</v>
      </c>
    </row>
    <row r="35" spans="1:20" x14ac:dyDescent="0.2">
      <c r="A35" s="11">
        <f t="shared" si="3"/>
        <v>29</v>
      </c>
      <c r="B35" s="13" t="s">
        <v>36</v>
      </c>
      <c r="C35" s="13"/>
      <c r="D35" s="13"/>
      <c r="E35" s="13"/>
      <c r="F35" s="13">
        <f>((C4/1000*2)+(D4/1000*2))*G4</f>
        <v>3.6</v>
      </c>
      <c r="G35" s="13"/>
      <c r="H35" s="13"/>
      <c r="I35" s="13">
        <f t="shared" si="0"/>
        <v>0</v>
      </c>
      <c r="J35" s="13">
        <f t="shared" si="1"/>
        <v>0</v>
      </c>
      <c r="K35" s="14">
        <f t="shared" si="4"/>
        <v>0</v>
      </c>
      <c r="L35" s="14">
        <f t="shared" si="5"/>
        <v>0</v>
      </c>
      <c r="M35" s="14">
        <f t="shared" si="8"/>
        <v>0</v>
      </c>
      <c r="N35" s="14">
        <v>0</v>
      </c>
      <c r="O35" s="14">
        <v>0</v>
      </c>
      <c r="P35" s="4">
        <f t="shared" si="6"/>
        <v>0</v>
      </c>
      <c r="Q35" s="14">
        <f>12*F35</f>
        <v>43.2</v>
      </c>
      <c r="R35" s="14">
        <f t="shared" si="7"/>
        <v>43.2</v>
      </c>
      <c r="S35" s="14">
        <f t="shared" si="2"/>
        <v>57.6</v>
      </c>
      <c r="T35" s="14">
        <f>SUM(S31:S35)</f>
        <v>1521.2273066666664</v>
      </c>
    </row>
    <row r="36" spans="1:20" x14ac:dyDescent="0.2">
      <c r="A36" s="11">
        <f t="shared" si="3"/>
        <v>30</v>
      </c>
      <c r="B36" s="19" t="s">
        <v>49</v>
      </c>
      <c r="C36" s="19">
        <f>C4+28</f>
        <v>1028</v>
      </c>
      <c r="D36" s="19">
        <f>E4+25</f>
        <v>2025</v>
      </c>
      <c r="E36" s="19">
        <v>1.6</v>
      </c>
      <c r="F36" s="19">
        <f>G4*1</f>
        <v>1</v>
      </c>
      <c r="G36" s="9">
        <v>2</v>
      </c>
      <c r="H36" s="9">
        <v>4</v>
      </c>
      <c r="I36" s="9">
        <f t="shared" si="0"/>
        <v>26.645760000000003</v>
      </c>
      <c r="J36" s="9">
        <f t="shared" si="1"/>
        <v>44.798183999999999</v>
      </c>
      <c r="K36" s="10">
        <f t="shared" si="4"/>
        <v>1865.2032000000002</v>
      </c>
      <c r="L36" s="10">
        <f t="shared" si="5"/>
        <v>186.52032000000003</v>
      </c>
      <c r="M36" s="4">
        <f t="shared" si="8"/>
        <v>532.91520000000003</v>
      </c>
      <c r="N36" s="10">
        <f>20*F36</f>
        <v>20</v>
      </c>
      <c r="O36" s="10">
        <v>0</v>
      </c>
      <c r="P36" s="10">
        <f t="shared" si="6"/>
        <v>582.37639200000001</v>
      </c>
      <c r="Q36" s="10">
        <v>0</v>
      </c>
      <c r="R36" s="10">
        <f t="shared" si="7"/>
        <v>3187.015112</v>
      </c>
      <c r="S36" s="10">
        <f t="shared" si="2"/>
        <v>4249.3534826666664</v>
      </c>
      <c r="T36" s="9"/>
    </row>
    <row r="37" spans="1:20" x14ac:dyDescent="0.2">
      <c r="A37" s="11">
        <f t="shared" si="3"/>
        <v>31</v>
      </c>
      <c r="B37" s="20" t="s">
        <v>30</v>
      </c>
      <c r="C37" s="20">
        <v>100</v>
      </c>
      <c r="D37" s="20">
        <v>100</v>
      </c>
      <c r="E37" s="20">
        <v>3</v>
      </c>
      <c r="F37" s="20">
        <f>F36*8</f>
        <v>8</v>
      </c>
      <c r="G37" s="1">
        <v>1</v>
      </c>
      <c r="H37" s="1">
        <v>2</v>
      </c>
      <c r="I37" s="1">
        <f t="shared" si="0"/>
        <v>1.92</v>
      </c>
      <c r="J37" s="1">
        <f t="shared" si="1"/>
        <v>1.7216</v>
      </c>
      <c r="K37" s="4">
        <f t="shared" si="4"/>
        <v>134.4</v>
      </c>
      <c r="L37" s="4">
        <f t="shared" si="5"/>
        <v>13.440000000000001</v>
      </c>
      <c r="M37" s="4">
        <f t="shared" si="8"/>
        <v>38.4</v>
      </c>
      <c r="N37" s="4">
        <v>0</v>
      </c>
      <c r="O37" s="4">
        <v>0</v>
      </c>
      <c r="P37" s="4">
        <f t="shared" si="6"/>
        <v>22.380800000000001</v>
      </c>
      <c r="Q37" s="4">
        <v>0</v>
      </c>
      <c r="R37" s="4">
        <f t="shared" si="7"/>
        <v>208.6208</v>
      </c>
      <c r="S37" s="4">
        <f t="shared" si="2"/>
        <v>278.16106666666667</v>
      </c>
    </row>
    <row r="38" spans="1:20" x14ac:dyDescent="0.2">
      <c r="A38" s="11">
        <f t="shared" si="3"/>
        <v>32</v>
      </c>
      <c r="B38" s="20" t="s">
        <v>36</v>
      </c>
      <c r="C38" s="20"/>
      <c r="D38" s="20"/>
      <c r="E38" s="20"/>
      <c r="F38" s="20">
        <f>((C4*2/1000)+(E4*2/1000))*F36</f>
        <v>6</v>
      </c>
      <c r="I38" s="1">
        <f t="shared" si="0"/>
        <v>0</v>
      </c>
      <c r="J38" s="1">
        <f t="shared" si="1"/>
        <v>0</v>
      </c>
      <c r="K38" s="4">
        <f t="shared" si="4"/>
        <v>0</v>
      </c>
      <c r="L38" s="4">
        <f t="shared" si="5"/>
        <v>0</v>
      </c>
      <c r="M38" s="4">
        <f t="shared" si="8"/>
        <v>0</v>
      </c>
      <c r="N38" s="4">
        <v>0</v>
      </c>
      <c r="O38" s="4">
        <v>0</v>
      </c>
      <c r="P38" s="4">
        <f t="shared" si="6"/>
        <v>0</v>
      </c>
      <c r="Q38" s="4">
        <f>30*F38</f>
        <v>180</v>
      </c>
      <c r="R38" s="4">
        <f t="shared" si="7"/>
        <v>180</v>
      </c>
      <c r="S38" s="4">
        <f t="shared" si="2"/>
        <v>240</v>
      </c>
    </row>
    <row r="39" spans="1:20" x14ac:dyDescent="0.2">
      <c r="A39" s="11">
        <f t="shared" si="3"/>
        <v>33</v>
      </c>
      <c r="B39" s="20" t="s">
        <v>39</v>
      </c>
      <c r="C39" s="20"/>
      <c r="D39" s="20"/>
      <c r="E39" s="20"/>
      <c r="F39" s="20"/>
      <c r="I39" s="1">
        <f t="shared" si="0"/>
        <v>0</v>
      </c>
      <c r="J39" s="1">
        <f t="shared" si="1"/>
        <v>0</v>
      </c>
      <c r="K39" s="4">
        <f t="shared" si="4"/>
        <v>0</v>
      </c>
      <c r="L39" s="4">
        <f t="shared" si="5"/>
        <v>0</v>
      </c>
      <c r="M39" s="4">
        <f t="shared" si="8"/>
        <v>0</v>
      </c>
      <c r="N39" s="4">
        <v>0</v>
      </c>
      <c r="O39" s="4">
        <v>0</v>
      </c>
      <c r="P39" s="4">
        <f t="shared" si="6"/>
        <v>0</v>
      </c>
      <c r="Q39" s="4">
        <v>0</v>
      </c>
      <c r="R39" s="4">
        <f t="shared" si="7"/>
        <v>0</v>
      </c>
      <c r="S39" s="4">
        <f t="shared" si="2"/>
        <v>0</v>
      </c>
    </row>
    <row r="40" spans="1:20" x14ac:dyDescent="0.2">
      <c r="A40" s="11">
        <f t="shared" si="3"/>
        <v>34</v>
      </c>
      <c r="B40" s="21" t="s">
        <v>50</v>
      </c>
      <c r="C40" s="21">
        <f>20*4+100</f>
        <v>180</v>
      </c>
      <c r="D40" s="21">
        <f>E4-150</f>
        <v>1850</v>
      </c>
      <c r="E40" s="21">
        <v>1.6</v>
      </c>
      <c r="F40" s="21">
        <f>F36*1</f>
        <v>1</v>
      </c>
      <c r="G40" s="13">
        <v>1</v>
      </c>
      <c r="H40" s="13">
        <v>2</v>
      </c>
      <c r="I40" s="13">
        <f t="shared" si="0"/>
        <v>4.2624000000000004</v>
      </c>
      <c r="J40" s="13">
        <f t="shared" si="1"/>
        <v>7.1661600000000005</v>
      </c>
      <c r="K40" s="14">
        <f t="shared" si="4"/>
        <v>298.36800000000005</v>
      </c>
      <c r="L40" s="14">
        <f t="shared" si="5"/>
        <v>29.836800000000007</v>
      </c>
      <c r="M40" s="14">
        <f t="shared" si="8"/>
        <v>85.248000000000005</v>
      </c>
      <c r="N40" s="14">
        <v>0</v>
      </c>
      <c r="O40" s="14">
        <v>0</v>
      </c>
      <c r="P40" s="4">
        <f t="shared" si="6"/>
        <v>93.160080000000008</v>
      </c>
      <c r="Q40" s="14">
        <v>0</v>
      </c>
      <c r="R40" s="14">
        <f t="shared" si="7"/>
        <v>506.61288000000002</v>
      </c>
      <c r="S40" s="14">
        <f t="shared" si="2"/>
        <v>675.48383999999999</v>
      </c>
      <c r="T40" s="14">
        <f>SUM(S36:S40)</f>
        <v>5442.9983893333329</v>
      </c>
    </row>
    <row r="41" spans="1:20" x14ac:dyDescent="0.2">
      <c r="A41" s="11">
        <f t="shared" si="3"/>
        <v>35</v>
      </c>
      <c r="B41" s="9" t="s">
        <v>51</v>
      </c>
      <c r="C41" s="9">
        <f>D4-29*2-8+20*4</f>
        <v>814</v>
      </c>
      <c r="D41" s="9">
        <f>E4-8+20*4</f>
        <v>2072</v>
      </c>
      <c r="E41" s="19">
        <v>1.6</v>
      </c>
      <c r="F41" s="9">
        <f>G4*2</f>
        <v>2</v>
      </c>
      <c r="G41" s="9">
        <v>2</v>
      </c>
      <c r="H41" s="9">
        <v>4</v>
      </c>
      <c r="I41" s="9">
        <f t="shared" si="0"/>
        <v>43.1771648</v>
      </c>
      <c r="J41" s="9">
        <f t="shared" si="1"/>
        <v>72.591608319999992</v>
      </c>
      <c r="K41" s="10">
        <f t="shared" si="4"/>
        <v>3022.4015359999999</v>
      </c>
      <c r="L41" s="10">
        <f t="shared" si="5"/>
        <v>302.24015359999999</v>
      </c>
      <c r="M41" s="4">
        <f t="shared" si="8"/>
        <v>863.54329600000005</v>
      </c>
      <c r="N41" s="10">
        <f>10*F41</f>
        <v>20</v>
      </c>
      <c r="O41" s="10">
        <v>0</v>
      </c>
      <c r="P41" s="10">
        <f t="shared" si="6"/>
        <v>943.69090815999994</v>
      </c>
      <c r="Q41" s="10">
        <v>0</v>
      </c>
      <c r="R41" s="10">
        <f t="shared" si="7"/>
        <v>5151.8758937599996</v>
      </c>
      <c r="S41" s="10">
        <f t="shared" si="2"/>
        <v>6869.1678583466664</v>
      </c>
      <c r="T41" s="10"/>
    </row>
    <row r="42" spans="1:20" x14ac:dyDescent="0.2">
      <c r="A42" s="11">
        <f t="shared" si="3"/>
        <v>36</v>
      </c>
      <c r="B42" s="1" t="s">
        <v>52</v>
      </c>
      <c r="C42" s="1">
        <v>75</v>
      </c>
      <c r="D42" s="1">
        <v>40</v>
      </c>
      <c r="E42" s="1">
        <v>2</v>
      </c>
      <c r="F42" s="1">
        <f>8*F41</f>
        <v>16</v>
      </c>
      <c r="G42" s="1">
        <v>0.5</v>
      </c>
      <c r="H42" s="1">
        <v>1</v>
      </c>
      <c r="I42" s="1">
        <f t="shared" si="0"/>
        <v>0.76800000000000002</v>
      </c>
      <c r="J42" s="1">
        <f t="shared" si="1"/>
        <v>1.0329600000000001</v>
      </c>
      <c r="K42" s="4">
        <f t="shared" si="4"/>
        <v>53.76</v>
      </c>
      <c r="L42" s="4">
        <f t="shared" si="5"/>
        <v>5.3760000000000003</v>
      </c>
      <c r="M42" s="4">
        <f t="shared" si="8"/>
        <v>15.36</v>
      </c>
      <c r="N42" s="4">
        <v>0</v>
      </c>
      <c r="O42" s="4">
        <v>0</v>
      </c>
      <c r="P42" s="4">
        <f t="shared" si="6"/>
        <v>13.42848</v>
      </c>
      <c r="Q42" s="4">
        <v>0</v>
      </c>
      <c r="R42" s="4">
        <f t="shared" si="7"/>
        <v>87.924479999999988</v>
      </c>
      <c r="S42" s="4">
        <f t="shared" si="2"/>
        <v>117.23263999999999</v>
      </c>
    </row>
    <row r="43" spans="1:20" x14ac:dyDescent="0.2">
      <c r="A43" s="11">
        <f t="shared" si="3"/>
        <v>37</v>
      </c>
      <c r="B43" s="1" t="s">
        <v>36</v>
      </c>
      <c r="F43" s="1">
        <f>((D4*2/1000)+(E4*2/1000))*F41</f>
        <v>11.2</v>
      </c>
      <c r="I43" s="1">
        <f t="shared" si="0"/>
        <v>0</v>
      </c>
      <c r="J43" s="1">
        <f t="shared" si="1"/>
        <v>0</v>
      </c>
      <c r="K43" s="4">
        <f t="shared" si="4"/>
        <v>0</v>
      </c>
      <c r="L43" s="4">
        <f t="shared" si="5"/>
        <v>0</v>
      </c>
      <c r="M43" s="4">
        <f t="shared" si="8"/>
        <v>0</v>
      </c>
      <c r="N43" s="4">
        <v>0</v>
      </c>
      <c r="O43" s="4">
        <v>0</v>
      </c>
      <c r="P43" s="4">
        <f t="shared" si="6"/>
        <v>0</v>
      </c>
      <c r="Q43" s="4">
        <f>12*F43</f>
        <v>134.39999999999998</v>
      </c>
      <c r="R43" s="4">
        <f t="shared" si="7"/>
        <v>134.39999999999998</v>
      </c>
      <c r="S43" s="4">
        <f t="shared" si="2"/>
        <v>179.19999999999996</v>
      </c>
    </row>
    <row r="44" spans="1:20" x14ac:dyDescent="0.2">
      <c r="A44" s="11">
        <f t="shared" si="3"/>
        <v>38</v>
      </c>
      <c r="B44" s="13" t="s">
        <v>39</v>
      </c>
      <c r="C44" s="13"/>
      <c r="D44" s="13"/>
      <c r="E44" s="13"/>
      <c r="F44" s="13"/>
      <c r="G44" s="13"/>
      <c r="H44" s="13"/>
      <c r="I44" s="13">
        <f t="shared" si="0"/>
        <v>0</v>
      </c>
      <c r="J44" s="13">
        <f t="shared" si="1"/>
        <v>0</v>
      </c>
      <c r="K44" s="14">
        <f t="shared" si="4"/>
        <v>0</v>
      </c>
      <c r="L44" s="14">
        <f t="shared" si="5"/>
        <v>0</v>
      </c>
      <c r="M44" s="14">
        <f t="shared" si="8"/>
        <v>0</v>
      </c>
      <c r="N44" s="14">
        <v>0</v>
      </c>
      <c r="O44" s="14">
        <v>0</v>
      </c>
      <c r="P44" s="4">
        <f t="shared" si="6"/>
        <v>0</v>
      </c>
      <c r="Q44" s="14">
        <v>0</v>
      </c>
      <c r="R44" s="14">
        <f t="shared" si="7"/>
        <v>0</v>
      </c>
      <c r="S44" s="14">
        <f t="shared" si="2"/>
        <v>0</v>
      </c>
      <c r="T44" s="14">
        <f>SUM(S41:S44)</f>
        <v>7165.6004983466664</v>
      </c>
    </row>
    <row r="45" spans="1:20" x14ac:dyDescent="0.2">
      <c r="A45" s="11">
        <f t="shared" si="3"/>
        <v>39</v>
      </c>
      <c r="B45" s="9" t="s">
        <v>53</v>
      </c>
      <c r="C45" s="9">
        <f>C4-60+25*4</f>
        <v>1040</v>
      </c>
      <c r="D45" s="9">
        <f>E4-100+22*4</f>
        <v>1988</v>
      </c>
      <c r="E45" s="9">
        <v>2</v>
      </c>
      <c r="F45" s="9">
        <f>G4*1</f>
        <v>1</v>
      </c>
      <c r="G45" s="9">
        <v>2</v>
      </c>
      <c r="H45" s="9">
        <v>6</v>
      </c>
      <c r="I45" s="9">
        <f t="shared" si="0"/>
        <v>33.08032</v>
      </c>
      <c r="J45" s="9">
        <f t="shared" si="1"/>
        <v>44.493030400000002</v>
      </c>
      <c r="K45" s="10">
        <f t="shared" si="4"/>
        <v>2315.6224000000002</v>
      </c>
      <c r="L45" s="10">
        <f t="shared" si="5"/>
        <v>231.56224000000003</v>
      </c>
      <c r="M45" s="4">
        <f t="shared" si="8"/>
        <v>661.60640000000001</v>
      </c>
      <c r="N45" s="10">
        <v>0</v>
      </c>
      <c r="O45" s="10">
        <v>0</v>
      </c>
      <c r="P45" s="10">
        <f t="shared" si="6"/>
        <v>578.40939520000006</v>
      </c>
      <c r="Q45" s="10">
        <v>0</v>
      </c>
      <c r="R45" s="10">
        <f t="shared" si="7"/>
        <v>3787.2004352000004</v>
      </c>
      <c r="S45" s="10">
        <f t="shared" si="2"/>
        <v>5049.6005802666668</v>
      </c>
      <c r="T45" s="9"/>
    </row>
    <row r="46" spans="1:20" x14ac:dyDescent="0.2">
      <c r="A46" s="11">
        <f t="shared" si="3"/>
        <v>40</v>
      </c>
      <c r="B46" s="1" t="s">
        <v>54</v>
      </c>
      <c r="C46" s="1">
        <v>42</v>
      </c>
      <c r="D46" s="1">
        <f>D4-103</f>
        <v>697</v>
      </c>
      <c r="E46" s="1">
        <v>2</v>
      </c>
      <c r="F46" s="1">
        <f>G4*4</f>
        <v>4</v>
      </c>
      <c r="G46" s="1">
        <v>2</v>
      </c>
      <c r="H46" s="1">
        <v>2</v>
      </c>
      <c r="I46" s="1">
        <f t="shared" si="0"/>
        <v>1.8735360000000001</v>
      </c>
      <c r="J46" s="1">
        <f t="shared" si="1"/>
        <v>2.5199059200000002</v>
      </c>
      <c r="K46" s="4">
        <f t="shared" si="4"/>
        <v>131.14752000000001</v>
      </c>
      <c r="L46" s="4">
        <f t="shared" si="5"/>
        <v>13.114752000000003</v>
      </c>
      <c r="M46" s="4">
        <f t="shared" si="8"/>
        <v>37.47072</v>
      </c>
      <c r="N46" s="4">
        <v>0</v>
      </c>
      <c r="O46" s="4">
        <f>D46/25*F46*0.2</f>
        <v>22.304000000000002</v>
      </c>
      <c r="P46" s="4">
        <f>J46*30</f>
        <v>75.597177600000009</v>
      </c>
      <c r="Q46" s="4">
        <v>0</v>
      </c>
      <c r="R46" s="4">
        <f t="shared" si="7"/>
        <v>279.63416960000006</v>
      </c>
      <c r="S46" s="4">
        <f t="shared" si="2"/>
        <v>372.84555946666677</v>
      </c>
    </row>
    <row r="47" spans="1:20" x14ac:dyDescent="0.2">
      <c r="A47" s="11">
        <f t="shared" si="3"/>
        <v>41</v>
      </c>
      <c r="B47" s="1" t="s">
        <v>55</v>
      </c>
      <c r="C47" s="1">
        <v>100</v>
      </c>
      <c r="D47" s="1">
        <v>110</v>
      </c>
      <c r="E47" s="1">
        <v>4</v>
      </c>
      <c r="F47" s="1">
        <f>F45*4</f>
        <v>4</v>
      </c>
      <c r="G47" s="1">
        <v>1</v>
      </c>
      <c r="H47" s="1">
        <v>1</v>
      </c>
      <c r="I47" s="1">
        <f t="shared" si="0"/>
        <v>1.4079999999999999</v>
      </c>
      <c r="J47" s="1">
        <f t="shared" si="1"/>
        <v>0.94687999999999994</v>
      </c>
      <c r="K47" s="4">
        <f t="shared" si="4"/>
        <v>98.559999999999988</v>
      </c>
      <c r="L47" s="4">
        <f t="shared" si="5"/>
        <v>9.8559999999999999</v>
      </c>
      <c r="M47" s="4">
        <f t="shared" si="8"/>
        <v>28.159999999999997</v>
      </c>
      <c r="N47" s="4">
        <v>0</v>
      </c>
      <c r="O47" s="4">
        <v>0</v>
      </c>
      <c r="P47" s="4">
        <f>J47*30</f>
        <v>28.406399999999998</v>
      </c>
      <c r="Q47" s="4">
        <v>0</v>
      </c>
      <c r="R47" s="4">
        <f t="shared" si="7"/>
        <v>164.98239999999996</v>
      </c>
      <c r="S47" s="4">
        <f t="shared" si="2"/>
        <v>219.97653333333326</v>
      </c>
    </row>
    <row r="48" spans="1:20" x14ac:dyDescent="0.2">
      <c r="A48" s="11">
        <f t="shared" si="3"/>
        <v>42</v>
      </c>
      <c r="B48" s="13" t="s">
        <v>39</v>
      </c>
      <c r="C48" s="13">
        <v>69</v>
      </c>
      <c r="D48" s="13">
        <f>C4-100</f>
        <v>900</v>
      </c>
      <c r="E48" s="13">
        <v>1.6</v>
      </c>
      <c r="F48" s="13">
        <f>F45*2</f>
        <v>2</v>
      </c>
      <c r="G48" s="13"/>
      <c r="H48" s="13"/>
      <c r="I48" s="13">
        <f t="shared" si="0"/>
        <v>1.5897600000000003</v>
      </c>
      <c r="J48" s="13">
        <f t="shared" si="1"/>
        <v>2.6727840000000005</v>
      </c>
      <c r="K48" s="14">
        <f t="shared" si="4"/>
        <v>111.28320000000002</v>
      </c>
      <c r="L48" s="14">
        <f t="shared" si="5"/>
        <v>11.128320000000002</v>
      </c>
      <c r="M48" s="14">
        <f t="shared" si="8"/>
        <v>31.795200000000005</v>
      </c>
      <c r="N48" s="14">
        <v>0</v>
      </c>
      <c r="O48" s="14">
        <v>0</v>
      </c>
      <c r="P48" s="4">
        <f t="shared" ref="P48:P53" si="9">J48*P$5</f>
        <v>34.746192000000008</v>
      </c>
      <c r="Q48" s="14">
        <v>0</v>
      </c>
      <c r="R48" s="14">
        <f t="shared" si="7"/>
        <v>188.95291200000003</v>
      </c>
      <c r="S48" s="14">
        <f t="shared" si="2"/>
        <v>251.93721600000003</v>
      </c>
      <c r="T48" s="14">
        <f>SUM(S45:S48)</f>
        <v>5894.3598890666672</v>
      </c>
    </row>
    <row r="49" spans="1:20" x14ac:dyDescent="0.2">
      <c r="A49" s="11">
        <f t="shared" si="3"/>
        <v>43</v>
      </c>
      <c r="B49" s="1" t="s">
        <v>56</v>
      </c>
      <c r="C49" s="1">
        <v>400</v>
      </c>
      <c r="D49" s="1">
        <v>400</v>
      </c>
      <c r="E49" s="1">
        <v>2</v>
      </c>
      <c r="F49" s="1">
        <v>0</v>
      </c>
      <c r="G49" s="1">
        <v>4</v>
      </c>
      <c r="H49" s="1">
        <v>4</v>
      </c>
      <c r="I49" s="9">
        <f t="shared" si="0"/>
        <v>0</v>
      </c>
      <c r="J49" s="9">
        <f t="shared" si="1"/>
        <v>0</v>
      </c>
      <c r="K49" s="10">
        <f t="shared" si="4"/>
        <v>0</v>
      </c>
      <c r="L49" s="10">
        <f t="shared" si="5"/>
        <v>0</v>
      </c>
      <c r="M49" s="4">
        <f t="shared" si="8"/>
        <v>0</v>
      </c>
      <c r="N49" s="10">
        <f>100*F49</f>
        <v>0</v>
      </c>
      <c r="O49" s="10">
        <v>0</v>
      </c>
      <c r="P49" s="10">
        <f t="shared" si="9"/>
        <v>0</v>
      </c>
      <c r="Q49" s="10">
        <f>50*F49*4</f>
        <v>0</v>
      </c>
      <c r="R49" s="10">
        <f t="shared" si="7"/>
        <v>0</v>
      </c>
      <c r="S49" s="10">
        <f t="shared" si="2"/>
        <v>0</v>
      </c>
      <c r="T49" s="9"/>
    </row>
    <row r="50" spans="1:20" x14ac:dyDescent="0.2">
      <c r="A50" s="11">
        <f t="shared" si="3"/>
        <v>44</v>
      </c>
      <c r="B50" s="13" t="s">
        <v>57</v>
      </c>
      <c r="C50" s="13">
        <f>30+30+200</f>
        <v>260</v>
      </c>
      <c r="D50" s="13">
        <f>(C4+(D4-150))/2</f>
        <v>825</v>
      </c>
      <c r="E50" s="13">
        <v>1.6</v>
      </c>
      <c r="F50" s="13">
        <v>0</v>
      </c>
      <c r="G50" s="13">
        <v>2</v>
      </c>
      <c r="H50" s="13">
        <v>2</v>
      </c>
      <c r="I50" s="13">
        <f t="shared" si="0"/>
        <v>0</v>
      </c>
      <c r="J50" s="13">
        <f t="shared" si="1"/>
        <v>0</v>
      </c>
      <c r="K50" s="14">
        <f t="shared" si="4"/>
        <v>0</v>
      </c>
      <c r="L50" s="14">
        <f t="shared" si="5"/>
        <v>0</v>
      </c>
      <c r="M50" s="14">
        <f t="shared" si="8"/>
        <v>0</v>
      </c>
      <c r="N50" s="14">
        <v>0</v>
      </c>
      <c r="O50" s="14">
        <v>0</v>
      </c>
      <c r="P50" s="14">
        <f t="shared" si="9"/>
        <v>0</v>
      </c>
      <c r="Q50" s="14">
        <v>0</v>
      </c>
      <c r="R50" s="14">
        <f t="shared" si="7"/>
        <v>0</v>
      </c>
      <c r="S50" s="14">
        <f t="shared" si="2"/>
        <v>0</v>
      </c>
      <c r="T50" s="14">
        <f>SUM(S49:S50)</f>
        <v>0</v>
      </c>
    </row>
    <row r="51" spans="1:20" x14ac:dyDescent="0.2">
      <c r="A51" s="11">
        <f t="shared" si="3"/>
        <v>45</v>
      </c>
      <c r="B51" s="1" t="s">
        <v>58</v>
      </c>
      <c r="C51" s="1">
        <f>D18+100</f>
        <v>500</v>
      </c>
      <c r="D51" s="1">
        <v>300</v>
      </c>
      <c r="E51" s="1">
        <v>1.5</v>
      </c>
      <c r="F51" s="1">
        <f>G4*1</f>
        <v>1</v>
      </c>
      <c r="G51" s="1">
        <v>4</v>
      </c>
      <c r="H51" s="1">
        <v>2</v>
      </c>
      <c r="I51" s="1">
        <f t="shared" si="0"/>
        <v>1.7999999999999998</v>
      </c>
      <c r="J51" s="1">
        <f t="shared" si="1"/>
        <v>3.2279999999999998</v>
      </c>
      <c r="K51" s="4">
        <f t="shared" si="4"/>
        <v>125.99999999999999</v>
      </c>
      <c r="L51" s="4">
        <f t="shared" si="5"/>
        <v>12.6</v>
      </c>
      <c r="M51" s="4">
        <f t="shared" si="8"/>
        <v>36</v>
      </c>
      <c r="N51" s="4">
        <v>0</v>
      </c>
      <c r="O51" s="4">
        <v>0</v>
      </c>
      <c r="P51" s="4">
        <f t="shared" si="9"/>
        <v>41.963999999999999</v>
      </c>
      <c r="Q51" s="4">
        <v>0</v>
      </c>
      <c r="R51" s="4">
        <f t="shared" si="7"/>
        <v>216.56399999999999</v>
      </c>
      <c r="S51" s="4">
        <f t="shared" si="2"/>
        <v>288.75200000000001</v>
      </c>
    </row>
    <row r="52" spans="1:20" x14ac:dyDescent="0.2">
      <c r="A52" s="11">
        <f t="shared" si="3"/>
        <v>46</v>
      </c>
      <c r="B52" s="15" t="s">
        <v>59</v>
      </c>
      <c r="C52" s="15">
        <f>190+40</f>
        <v>230</v>
      </c>
      <c r="D52" s="15">
        <f>E4-100</f>
        <v>1900</v>
      </c>
      <c r="E52" s="15">
        <v>2</v>
      </c>
      <c r="F52" s="15">
        <v>0</v>
      </c>
      <c r="G52" s="1">
        <v>1</v>
      </c>
      <c r="H52" s="1">
        <v>2</v>
      </c>
      <c r="I52" s="1">
        <f>C52/1000*D52/1000*E52*F52*8</f>
        <v>0</v>
      </c>
      <c r="J52" s="1">
        <f>C52/1000*D52/1000*2*10.76*F52</f>
        <v>0</v>
      </c>
      <c r="K52" s="4">
        <f>I52*K$5</f>
        <v>0</v>
      </c>
      <c r="L52" s="4">
        <f>K52*L$5</f>
        <v>0</v>
      </c>
      <c r="M52" s="4">
        <f t="shared" si="8"/>
        <v>0</v>
      </c>
      <c r="N52" s="4">
        <v>0</v>
      </c>
      <c r="O52" s="4">
        <v>0</v>
      </c>
      <c r="P52" s="4">
        <f t="shared" si="9"/>
        <v>0</v>
      </c>
      <c r="Q52" s="4">
        <v>0</v>
      </c>
      <c r="R52" s="4">
        <f>K52+L52+M52+N52+O52+P52+Q52</f>
        <v>0</v>
      </c>
      <c r="S52" s="4">
        <f>R52/S$5</f>
        <v>0</v>
      </c>
    </row>
    <row r="53" spans="1:20" x14ac:dyDescent="0.2">
      <c r="A53" s="11">
        <f t="shared" si="3"/>
        <v>47</v>
      </c>
      <c r="B53" s="15" t="s">
        <v>60</v>
      </c>
      <c r="C53" s="15">
        <v>50</v>
      </c>
      <c r="D53" s="15">
        <f>(C4*2+D4*2)*G4</f>
        <v>3600</v>
      </c>
      <c r="E53" s="15">
        <v>3</v>
      </c>
      <c r="F53" s="15">
        <v>0</v>
      </c>
      <c r="G53" s="15"/>
      <c r="H53" s="15"/>
      <c r="I53" s="15">
        <f>C53/1000*D53/1000*E53*F53*8</f>
        <v>0</v>
      </c>
      <c r="J53" s="15">
        <f>C53/1000*D53/1000*2*10.76*F53</f>
        <v>0</v>
      </c>
      <c r="K53" s="22">
        <f>I53*K$5</f>
        <v>0</v>
      </c>
      <c r="L53" s="22">
        <f>K53*L$5</f>
        <v>0</v>
      </c>
      <c r="M53" s="4">
        <f t="shared" si="8"/>
        <v>0</v>
      </c>
      <c r="N53" s="22">
        <v>0</v>
      </c>
      <c r="O53" s="22">
        <v>0</v>
      </c>
      <c r="P53" s="4">
        <f t="shared" si="9"/>
        <v>0</v>
      </c>
      <c r="Q53" s="22">
        <v>0</v>
      </c>
      <c r="R53" s="22">
        <f>K53+L53+M53+N53+O53+P53+Q53</f>
        <v>0</v>
      </c>
      <c r="S53" s="22">
        <f>R53/S$5</f>
        <v>0</v>
      </c>
    </row>
    <row r="54" spans="1:20" x14ac:dyDescent="0.2">
      <c r="A54" s="11">
        <f t="shared" si="3"/>
        <v>48</v>
      </c>
      <c r="B54" s="15" t="s">
        <v>61</v>
      </c>
      <c r="C54" s="15"/>
      <c r="D54" s="15">
        <f>((C4*2+D4*2)*G4)/1000</f>
        <v>3.6</v>
      </c>
      <c r="E54" s="15">
        <v>15</v>
      </c>
      <c r="F54" s="15">
        <f>F53</f>
        <v>0</v>
      </c>
      <c r="G54" s="15"/>
      <c r="H54" s="15"/>
      <c r="I54" s="15"/>
      <c r="J54" s="15"/>
      <c r="K54" s="22"/>
      <c r="L54" s="22"/>
      <c r="M54" s="4">
        <f t="shared" si="8"/>
        <v>0</v>
      </c>
      <c r="N54" s="22">
        <v>0</v>
      </c>
      <c r="O54" s="22">
        <v>0</v>
      </c>
      <c r="P54" s="22">
        <v>0</v>
      </c>
      <c r="Q54" s="22">
        <f>D54*F54*220</f>
        <v>0</v>
      </c>
      <c r="R54" s="22">
        <f t="shared" si="7"/>
        <v>0</v>
      </c>
      <c r="S54" s="22">
        <f t="shared" si="2"/>
        <v>0</v>
      </c>
    </row>
    <row r="55" spans="1:20" x14ac:dyDescent="0.2">
      <c r="A55" s="11">
        <f t="shared" si="3"/>
        <v>49</v>
      </c>
      <c r="B55" s="1" t="s">
        <v>62</v>
      </c>
      <c r="C55" s="1">
        <f>D18+45</f>
        <v>445</v>
      </c>
      <c r="D55" s="1">
        <f>20+20</f>
        <v>40</v>
      </c>
      <c r="E55" s="1">
        <v>2</v>
      </c>
      <c r="F55" s="1">
        <f>F16*2</f>
        <v>4</v>
      </c>
      <c r="G55" s="1">
        <v>4</v>
      </c>
      <c r="H55" s="1">
        <v>2</v>
      </c>
      <c r="I55" s="1">
        <f t="shared" ref="I55:I63" si="10">C55/1000*D55/1000*E55*F55*8</f>
        <v>1.1392</v>
      </c>
      <c r="J55" s="1">
        <f>C55/1000*D55/1000*2*10.76*F55</f>
        <v>1.532224</v>
      </c>
      <c r="K55" s="4">
        <f>I55*K$5</f>
        <v>79.744</v>
      </c>
      <c r="L55" s="4">
        <f t="shared" ref="L55:L63" si="11">K55*L$5</f>
        <v>7.9744000000000002</v>
      </c>
      <c r="M55" s="4">
        <f t="shared" si="8"/>
        <v>22.783999999999999</v>
      </c>
      <c r="N55" s="4">
        <v>0</v>
      </c>
      <c r="O55" s="4">
        <v>0</v>
      </c>
      <c r="P55" s="4">
        <f>J55*P$5</f>
        <v>19.918911999999999</v>
      </c>
      <c r="Q55" s="4">
        <v>0</v>
      </c>
      <c r="R55" s="4">
        <f t="shared" si="7"/>
        <v>130.421312</v>
      </c>
      <c r="S55" s="4">
        <f t="shared" si="2"/>
        <v>173.89508266666667</v>
      </c>
    </row>
    <row r="56" spans="1:20" x14ac:dyDescent="0.2">
      <c r="A56" s="11">
        <f t="shared" si="3"/>
        <v>50</v>
      </c>
      <c r="B56" s="1" t="s">
        <v>63</v>
      </c>
      <c r="C56" s="1">
        <v>2</v>
      </c>
      <c r="D56" s="1">
        <v>2</v>
      </c>
      <c r="F56" s="1">
        <v>0</v>
      </c>
      <c r="I56" s="1">
        <f t="shared" si="10"/>
        <v>0</v>
      </c>
      <c r="J56" s="1">
        <f>C56*D56*F56</f>
        <v>0</v>
      </c>
      <c r="K56" s="4">
        <f>I56*K$5</f>
        <v>0</v>
      </c>
      <c r="L56" s="4">
        <f t="shared" si="11"/>
        <v>0</v>
      </c>
      <c r="M56" s="4">
        <f t="shared" si="8"/>
        <v>0</v>
      </c>
      <c r="N56" s="4">
        <v>0</v>
      </c>
      <c r="O56" s="4">
        <v>0</v>
      </c>
      <c r="P56" s="4">
        <v>0</v>
      </c>
      <c r="Q56" s="4">
        <f>J56*100</f>
        <v>0</v>
      </c>
      <c r="R56" s="4">
        <f t="shared" si="7"/>
        <v>0</v>
      </c>
      <c r="S56" s="4">
        <f t="shared" si="2"/>
        <v>0</v>
      </c>
    </row>
    <row r="57" spans="1:20" x14ac:dyDescent="0.2">
      <c r="A57" s="11">
        <f t="shared" si="3"/>
        <v>51</v>
      </c>
      <c r="B57" s="1" t="s">
        <v>64</v>
      </c>
      <c r="C57" s="1">
        <f>25*2+150*2+280</f>
        <v>630</v>
      </c>
      <c r="D57" s="1">
        <v>210</v>
      </c>
      <c r="E57" s="1">
        <v>3</v>
      </c>
      <c r="F57" s="1">
        <v>0</v>
      </c>
      <c r="I57" s="1">
        <f t="shared" si="10"/>
        <v>0</v>
      </c>
      <c r="J57" s="1">
        <f>C57/1000*D57/1000*2*10.76*F57</f>
        <v>0</v>
      </c>
      <c r="K57" s="4">
        <f>I57*K$5</f>
        <v>0</v>
      </c>
      <c r="L57" s="4">
        <f t="shared" si="11"/>
        <v>0</v>
      </c>
      <c r="M57" s="4">
        <f t="shared" si="8"/>
        <v>0</v>
      </c>
      <c r="N57" s="4">
        <v>0</v>
      </c>
      <c r="O57" s="4">
        <v>0</v>
      </c>
      <c r="P57" s="4">
        <f>I57*30</f>
        <v>0</v>
      </c>
      <c r="Q57" s="4">
        <v>0</v>
      </c>
      <c r="R57" s="4">
        <f t="shared" si="7"/>
        <v>0</v>
      </c>
      <c r="S57" s="4">
        <f t="shared" si="2"/>
        <v>0</v>
      </c>
    </row>
    <row r="58" spans="1:20" x14ac:dyDescent="0.2">
      <c r="A58" s="11">
        <f t="shared" si="3"/>
        <v>52</v>
      </c>
      <c r="B58" s="1" t="s">
        <v>65</v>
      </c>
      <c r="F58" s="1">
        <v>0</v>
      </c>
      <c r="I58" s="1">
        <f t="shared" si="10"/>
        <v>0</v>
      </c>
      <c r="J58" s="1">
        <f>C58*D58*F58</f>
        <v>0</v>
      </c>
      <c r="K58" s="4">
        <f>J58*85</f>
        <v>0</v>
      </c>
      <c r="L58" s="4">
        <f t="shared" si="11"/>
        <v>0</v>
      </c>
      <c r="M58" s="4">
        <f t="shared" si="8"/>
        <v>0</v>
      </c>
      <c r="N58" s="4">
        <v>0</v>
      </c>
      <c r="O58" s="4">
        <v>0</v>
      </c>
      <c r="P58" s="4">
        <f t="shared" ref="P58:P63" si="12">J58*P$5</f>
        <v>0</v>
      </c>
      <c r="Q58" s="4">
        <f>150*F58</f>
        <v>0</v>
      </c>
      <c r="R58" s="4">
        <f t="shared" si="7"/>
        <v>0</v>
      </c>
      <c r="S58" s="4">
        <f t="shared" si="2"/>
        <v>0</v>
      </c>
    </row>
    <row r="59" spans="1:20" x14ac:dyDescent="0.2">
      <c r="A59" s="11">
        <f t="shared" si="3"/>
        <v>53</v>
      </c>
      <c r="B59" s="1" t="s">
        <v>66</v>
      </c>
      <c r="F59" s="1">
        <v>0</v>
      </c>
      <c r="I59" s="1">
        <f t="shared" si="10"/>
        <v>0</v>
      </c>
      <c r="J59" s="1">
        <f>C59/1000*D59/1000*2*10.76*F59</f>
        <v>0</v>
      </c>
      <c r="K59" s="4">
        <f>I59*K$5</f>
        <v>0</v>
      </c>
      <c r="L59" s="4">
        <f t="shared" si="11"/>
        <v>0</v>
      </c>
      <c r="M59" s="4">
        <f t="shared" si="8"/>
        <v>0</v>
      </c>
      <c r="N59" s="4">
        <v>0</v>
      </c>
      <c r="O59" s="4">
        <v>0</v>
      </c>
      <c r="P59" s="4">
        <f t="shared" si="12"/>
        <v>0</v>
      </c>
      <c r="Q59" s="4">
        <f>120*F59</f>
        <v>0</v>
      </c>
      <c r="R59" s="4">
        <f t="shared" si="7"/>
        <v>0</v>
      </c>
      <c r="S59" s="4">
        <f t="shared" si="2"/>
        <v>0</v>
      </c>
    </row>
    <row r="60" spans="1:20" x14ac:dyDescent="0.2">
      <c r="A60" s="11">
        <f t="shared" si="3"/>
        <v>54</v>
      </c>
      <c r="B60" s="1" t="s">
        <v>39</v>
      </c>
      <c r="F60" s="1">
        <f>G$4</f>
        <v>1</v>
      </c>
      <c r="I60" s="1">
        <f t="shared" si="10"/>
        <v>0</v>
      </c>
      <c r="J60" s="1">
        <f>C60/1000*D60/1000*2*10.76*F60</f>
        <v>0</v>
      </c>
      <c r="K60" s="4">
        <f>I60*K$5</f>
        <v>0</v>
      </c>
      <c r="L60" s="4">
        <f t="shared" si="11"/>
        <v>0</v>
      </c>
      <c r="M60" s="4">
        <f t="shared" si="8"/>
        <v>0</v>
      </c>
      <c r="N60" s="4">
        <v>0</v>
      </c>
      <c r="O60" s="4">
        <v>0</v>
      </c>
      <c r="P60" s="4">
        <f t="shared" si="12"/>
        <v>0</v>
      </c>
      <c r="Q60" s="4">
        <f>300*F60</f>
        <v>300</v>
      </c>
      <c r="R60" s="4">
        <f t="shared" si="7"/>
        <v>300</v>
      </c>
      <c r="S60" s="4">
        <f t="shared" si="2"/>
        <v>400</v>
      </c>
    </row>
    <row r="61" spans="1:20" x14ac:dyDescent="0.2">
      <c r="A61" s="11">
        <f t="shared" si="3"/>
        <v>55</v>
      </c>
      <c r="B61" s="1" t="s">
        <v>67</v>
      </c>
      <c r="F61" s="1">
        <f>G$4</f>
        <v>1</v>
      </c>
      <c r="I61" s="1">
        <f t="shared" si="10"/>
        <v>0</v>
      </c>
      <c r="J61" s="1">
        <f>C61/1000*D61/1000*2*10.76*F61</f>
        <v>0</v>
      </c>
      <c r="K61" s="4">
        <f>I61*K$5</f>
        <v>0</v>
      </c>
      <c r="L61" s="4">
        <f t="shared" si="11"/>
        <v>0</v>
      </c>
      <c r="M61" s="4">
        <f t="shared" si="8"/>
        <v>0</v>
      </c>
      <c r="N61" s="4">
        <v>0</v>
      </c>
      <c r="O61" s="4">
        <v>0</v>
      </c>
      <c r="P61" s="4">
        <f t="shared" si="12"/>
        <v>0</v>
      </c>
      <c r="Q61" s="4">
        <f>300*F61</f>
        <v>300</v>
      </c>
      <c r="R61" s="4">
        <f t="shared" si="7"/>
        <v>300</v>
      </c>
      <c r="S61" s="4">
        <f t="shared" si="2"/>
        <v>400</v>
      </c>
    </row>
    <row r="62" spans="1:20" x14ac:dyDescent="0.2">
      <c r="A62" s="11">
        <f t="shared" si="3"/>
        <v>56</v>
      </c>
      <c r="B62" s="1" t="s">
        <v>68</v>
      </c>
      <c r="F62" s="1">
        <f>G$4</f>
        <v>1</v>
      </c>
      <c r="I62" s="1">
        <f t="shared" si="10"/>
        <v>0</v>
      </c>
      <c r="J62" s="1">
        <f>C62/1000*D62/1000*2*10.76*F62</f>
        <v>0</v>
      </c>
      <c r="K62" s="4">
        <f>I62*K$5</f>
        <v>0</v>
      </c>
      <c r="L62" s="4">
        <f t="shared" si="11"/>
        <v>0</v>
      </c>
      <c r="M62" s="4">
        <f t="shared" si="8"/>
        <v>0</v>
      </c>
      <c r="N62" s="4">
        <v>0</v>
      </c>
      <c r="O62" s="4">
        <v>0</v>
      </c>
      <c r="P62" s="4">
        <f t="shared" si="12"/>
        <v>0</v>
      </c>
      <c r="Q62" s="4">
        <f>250*F62</f>
        <v>250</v>
      </c>
      <c r="R62" s="4">
        <f t="shared" si="7"/>
        <v>250</v>
      </c>
      <c r="S62" s="4">
        <f t="shared" si="2"/>
        <v>333.33333333333331</v>
      </c>
    </row>
    <row r="63" spans="1:20" x14ac:dyDescent="0.2">
      <c r="A63" s="11">
        <f t="shared" si="3"/>
        <v>57</v>
      </c>
      <c r="B63" s="1" t="s">
        <v>69</v>
      </c>
      <c r="F63" s="1">
        <f>G$4</f>
        <v>1</v>
      </c>
      <c r="I63" s="1">
        <f t="shared" si="10"/>
        <v>0</v>
      </c>
      <c r="J63" s="1">
        <f>C63/1000*D63/1000*2*10.76*F63</f>
        <v>0</v>
      </c>
      <c r="K63" s="4">
        <f>I63*K$5</f>
        <v>0</v>
      </c>
      <c r="L63" s="4">
        <f t="shared" si="11"/>
        <v>0</v>
      </c>
      <c r="M63" s="4">
        <f t="shared" si="8"/>
        <v>0</v>
      </c>
      <c r="N63" s="4">
        <v>0</v>
      </c>
      <c r="O63" s="4">
        <v>0</v>
      </c>
      <c r="P63" s="4">
        <f t="shared" si="12"/>
        <v>0</v>
      </c>
      <c r="Q63" s="4">
        <f>300*F63</f>
        <v>300</v>
      </c>
      <c r="R63" s="4">
        <f t="shared" si="7"/>
        <v>300</v>
      </c>
      <c r="S63" s="4">
        <f t="shared" si="2"/>
        <v>400</v>
      </c>
      <c r="T63" s="4">
        <f>SUM(S51:S63)</f>
        <v>1995.9804159999999</v>
      </c>
    </row>
    <row r="64" spans="1:20" x14ac:dyDescent="0.2">
      <c r="F64" s="1">
        <f t="shared" ref="F64:R64" si="13">SUM(F7:F63)</f>
        <v>145.18</v>
      </c>
      <c r="G64" s="1">
        <f t="shared" si="13"/>
        <v>44.5</v>
      </c>
      <c r="H64" s="1">
        <f t="shared" si="13"/>
        <v>74</v>
      </c>
      <c r="I64" s="1">
        <f t="shared" si="13"/>
        <v>238.76435648</v>
      </c>
      <c r="J64" s="1">
        <f t="shared" si="13"/>
        <v>341.01781453439992</v>
      </c>
      <c r="K64" s="4">
        <f t="shared" si="13"/>
        <v>16713.504953600001</v>
      </c>
      <c r="L64" s="1">
        <f t="shared" si="13"/>
        <v>1671.3504953600002</v>
      </c>
      <c r="M64" s="1">
        <f t="shared" si="13"/>
        <v>4775.2871295999994</v>
      </c>
      <c r="N64" s="1">
        <f t="shared" si="13"/>
        <v>1060</v>
      </c>
      <c r="O64" s="1">
        <f t="shared" si="13"/>
        <v>22.304000000000002</v>
      </c>
      <c r="P64" s="1">
        <f t="shared" si="13"/>
        <v>4492.1669495871993</v>
      </c>
      <c r="Q64" s="1">
        <f t="shared" si="13"/>
        <v>3484.9</v>
      </c>
      <c r="R64" s="1">
        <f t="shared" si="13"/>
        <v>32219.513528147207</v>
      </c>
      <c r="S64" s="4">
        <f>SUM(S7:S63)</f>
        <v>42959.351370862933</v>
      </c>
      <c r="T64" s="4">
        <f>SUM(T7:T63)</f>
        <v>42959.351370862933</v>
      </c>
    </row>
    <row r="65" spans="2:23" x14ac:dyDescent="0.2">
      <c r="C65" s="4"/>
      <c r="P65" s="1">
        <f>P64/I64</f>
        <v>18.814227616773628</v>
      </c>
      <c r="R65" s="5"/>
      <c r="S65" s="4"/>
      <c r="W65" s="5"/>
    </row>
    <row r="66" spans="2:23" x14ac:dyDescent="0.2">
      <c r="S66" s="4"/>
    </row>
    <row r="67" spans="2:23" x14ac:dyDescent="0.2">
      <c r="B67" s="23" t="s">
        <v>70</v>
      </c>
      <c r="C67" s="23">
        <f>C4*G4</f>
        <v>1000</v>
      </c>
      <c r="D67" s="23">
        <f>D4</f>
        <v>800</v>
      </c>
      <c r="E67" s="23">
        <f>E4</f>
        <v>2000</v>
      </c>
      <c r="F67" s="23">
        <f>F4</f>
        <v>100</v>
      </c>
    </row>
    <row r="68" spans="2:23" ht="12" x14ac:dyDescent="0.25">
      <c r="B68" s="23"/>
      <c r="C68" s="24" t="s">
        <v>0</v>
      </c>
      <c r="D68" s="24" t="s">
        <v>1</v>
      </c>
      <c r="E68" s="24" t="s">
        <v>2</v>
      </c>
      <c r="F68" s="24" t="s">
        <v>3</v>
      </c>
      <c r="M68" s="4"/>
      <c r="N68" s="4"/>
      <c r="S68" s="25"/>
    </row>
    <row r="69" spans="2:23" ht="14.4" x14ac:dyDescent="0.3">
      <c r="B69" s="23"/>
      <c r="C69" s="23"/>
      <c r="D69" s="23"/>
      <c r="E69" s="23"/>
      <c r="F69" s="26"/>
      <c r="H69" s="4"/>
    </row>
    <row r="70" spans="2:23" ht="14.4" x14ac:dyDescent="0.3">
      <c r="B70" s="23" t="s">
        <v>71</v>
      </c>
      <c r="C70" s="23">
        <f>I64</f>
        <v>238.76435648</v>
      </c>
      <c r="D70" s="23" t="s">
        <v>72</v>
      </c>
      <c r="E70" s="23"/>
      <c r="F70" s="26"/>
      <c r="P70" s="5"/>
    </row>
    <row r="71" spans="2:23" x14ac:dyDescent="0.2">
      <c r="B71" s="23"/>
      <c r="C71" s="23"/>
      <c r="D71" s="23"/>
      <c r="E71" s="23"/>
      <c r="F71" s="15"/>
    </row>
    <row r="72" spans="2:23" x14ac:dyDescent="0.2">
      <c r="B72" s="23" t="s">
        <v>73</v>
      </c>
      <c r="C72" s="23" t="s">
        <v>74</v>
      </c>
      <c r="D72" s="23" t="s">
        <v>75</v>
      </c>
      <c r="E72" s="23" t="s">
        <v>76</v>
      </c>
      <c r="F72" s="15"/>
    </row>
    <row r="73" spans="2:23" ht="12" x14ac:dyDescent="0.25">
      <c r="B73" s="23" t="s">
        <v>77</v>
      </c>
      <c r="C73" s="23">
        <f>K5</f>
        <v>70</v>
      </c>
      <c r="D73" s="23">
        <f>C70</f>
        <v>238.76435648</v>
      </c>
      <c r="E73" s="23">
        <f t="shared" ref="E73:E82" si="14">D73*C73</f>
        <v>16713.504953600001</v>
      </c>
      <c r="F73" s="27"/>
      <c r="M73" s="2"/>
    </row>
    <row r="74" spans="2:23" x14ac:dyDescent="0.2">
      <c r="B74" s="23" t="s">
        <v>78</v>
      </c>
      <c r="C74" s="23">
        <f>P65</f>
        <v>18.814227616773628</v>
      </c>
      <c r="D74" s="23">
        <f>C70</f>
        <v>238.76435648</v>
      </c>
      <c r="E74" s="23">
        <f t="shared" si="14"/>
        <v>4492.1669495871993</v>
      </c>
      <c r="F74" s="15"/>
    </row>
    <row r="75" spans="2:23" x14ac:dyDescent="0.2">
      <c r="B75" s="23" t="s">
        <v>38</v>
      </c>
      <c r="C75" s="23">
        <v>60</v>
      </c>
      <c r="D75" s="23">
        <f>F21</f>
        <v>8</v>
      </c>
      <c r="E75" s="23">
        <f t="shared" si="14"/>
        <v>480</v>
      </c>
      <c r="F75" s="15"/>
    </row>
    <row r="76" spans="2:23" x14ac:dyDescent="0.2">
      <c r="B76" s="23" t="s">
        <v>37</v>
      </c>
      <c r="C76" s="23">
        <f>Q20/F20</f>
        <v>750</v>
      </c>
      <c r="D76" s="23">
        <f>F20</f>
        <v>1</v>
      </c>
      <c r="E76" s="23">
        <f t="shared" si="14"/>
        <v>750</v>
      </c>
      <c r="F76" s="15"/>
    </row>
    <row r="77" spans="2:23" x14ac:dyDescent="0.2">
      <c r="B77" s="23" t="s">
        <v>36</v>
      </c>
      <c r="C77" s="23">
        <v>35</v>
      </c>
      <c r="D77" s="23">
        <f>F19+F35/2+F38+F43/2</f>
        <v>23.78</v>
      </c>
      <c r="E77" s="23">
        <f t="shared" si="14"/>
        <v>832.30000000000007</v>
      </c>
      <c r="F77" s="15"/>
    </row>
    <row r="78" spans="2:23" x14ac:dyDescent="0.2">
      <c r="B78" s="23" t="s">
        <v>79</v>
      </c>
      <c r="C78" s="23">
        <v>35</v>
      </c>
      <c r="D78" s="23">
        <f>F29</f>
        <v>4</v>
      </c>
      <c r="E78" s="23">
        <f t="shared" si="14"/>
        <v>140</v>
      </c>
      <c r="F78" s="15"/>
    </row>
    <row r="79" spans="2:23" x14ac:dyDescent="0.2">
      <c r="B79" s="28" t="s">
        <v>80</v>
      </c>
      <c r="C79" s="28">
        <v>35</v>
      </c>
      <c r="D79" s="28">
        <v>0</v>
      </c>
      <c r="E79" s="28">
        <f t="shared" si="14"/>
        <v>0</v>
      </c>
      <c r="F79" s="15"/>
    </row>
    <row r="80" spans="2:23" x14ac:dyDescent="0.2">
      <c r="B80" s="28" t="s">
        <v>81</v>
      </c>
      <c r="C80" s="28">
        <v>5</v>
      </c>
      <c r="D80" s="28">
        <f>F22</f>
        <v>28</v>
      </c>
      <c r="E80" s="28">
        <f t="shared" si="14"/>
        <v>140</v>
      </c>
      <c r="F80" s="15"/>
    </row>
    <row r="81" spans="2:17" x14ac:dyDescent="0.2">
      <c r="B81" s="23" t="s">
        <v>82</v>
      </c>
      <c r="C81" s="32">
        <f>Q61</f>
        <v>300</v>
      </c>
      <c r="D81" s="23">
        <f>G4</f>
        <v>1</v>
      </c>
      <c r="E81" s="23">
        <f t="shared" si="14"/>
        <v>300</v>
      </c>
      <c r="F81" s="15"/>
    </row>
    <row r="82" spans="2:17" x14ac:dyDescent="0.2">
      <c r="B82" s="23" t="s">
        <v>39</v>
      </c>
      <c r="C82" s="32">
        <f>Q60</f>
        <v>300</v>
      </c>
      <c r="D82" s="23">
        <f>G4</f>
        <v>1</v>
      </c>
      <c r="E82" s="23">
        <f t="shared" si="14"/>
        <v>300</v>
      </c>
      <c r="F82" s="15"/>
    </row>
    <row r="83" spans="2:17" x14ac:dyDescent="0.2">
      <c r="B83" s="23"/>
      <c r="C83" s="23"/>
      <c r="D83" s="23" t="s">
        <v>83</v>
      </c>
      <c r="E83" s="23">
        <f>SUM(E73:E82)</f>
        <v>24147.971903187197</v>
      </c>
      <c r="F83" s="15"/>
    </row>
    <row r="84" spans="2:17" x14ac:dyDescent="0.2">
      <c r="B84" s="23"/>
      <c r="C84" s="29" t="s">
        <v>84</v>
      </c>
      <c r="D84" s="30">
        <v>0.2</v>
      </c>
      <c r="E84" s="23">
        <f>E83*D84</f>
        <v>4829.5943806374398</v>
      </c>
      <c r="F84" s="15"/>
    </row>
    <row r="85" spans="2:17" x14ac:dyDescent="0.2">
      <c r="B85" s="23"/>
      <c r="C85" s="23"/>
      <c r="D85" s="23" t="s">
        <v>83</v>
      </c>
      <c r="E85" s="23">
        <f>SUM(E83:E84)</f>
        <v>28977.566283824635</v>
      </c>
      <c r="F85" s="15"/>
    </row>
    <row r="86" spans="2:17" x14ac:dyDescent="0.2">
      <c r="B86" s="23" t="s">
        <v>85</v>
      </c>
      <c r="C86" s="23">
        <v>20</v>
      </c>
      <c r="D86" s="23">
        <f>C70</f>
        <v>238.76435648</v>
      </c>
      <c r="E86" s="23">
        <f>D86*C86</f>
        <v>4775.2871296000003</v>
      </c>
      <c r="F86" s="15"/>
    </row>
    <row r="87" spans="2:17" x14ac:dyDescent="0.2">
      <c r="B87" s="23" t="s">
        <v>86</v>
      </c>
      <c r="C87" s="23">
        <v>120</v>
      </c>
      <c r="D87" s="23">
        <f>F59</f>
        <v>0</v>
      </c>
      <c r="E87" s="23">
        <f>D87*C87</f>
        <v>0</v>
      </c>
      <c r="F87" s="15"/>
    </row>
    <row r="88" spans="2:17" x14ac:dyDescent="0.2">
      <c r="B88" s="23" t="s">
        <v>87</v>
      </c>
      <c r="C88" s="23" t="s">
        <v>88</v>
      </c>
      <c r="D88" s="30">
        <v>0.1</v>
      </c>
      <c r="E88" s="23">
        <f>E73*D88</f>
        <v>1671.3504953600002</v>
      </c>
      <c r="F88" s="15"/>
    </row>
    <row r="89" spans="2:17" x14ac:dyDescent="0.2">
      <c r="B89" s="23" t="s">
        <v>68</v>
      </c>
      <c r="C89" s="32">
        <f>Q62</f>
        <v>250</v>
      </c>
      <c r="D89" s="23">
        <f>G4</f>
        <v>1</v>
      </c>
      <c r="E89" s="23">
        <f>D89*C89</f>
        <v>250</v>
      </c>
      <c r="F89" s="15"/>
    </row>
    <row r="90" spans="2:17" x14ac:dyDescent="0.2">
      <c r="B90" s="23" t="s">
        <v>89</v>
      </c>
      <c r="C90" s="23">
        <v>180</v>
      </c>
      <c r="D90" s="23">
        <v>0</v>
      </c>
      <c r="E90" s="23">
        <f>D90*C90</f>
        <v>0</v>
      </c>
      <c r="F90" s="15"/>
    </row>
    <row r="91" spans="2:17" ht="12" x14ac:dyDescent="0.25">
      <c r="B91" s="23" t="s">
        <v>65</v>
      </c>
      <c r="C91" s="23">
        <v>250</v>
      </c>
      <c r="D91" s="23">
        <v>0</v>
      </c>
      <c r="E91" s="23">
        <f>D91*C91</f>
        <v>0</v>
      </c>
      <c r="F91" s="15"/>
      <c r="O91" s="2"/>
      <c r="P91" s="2"/>
      <c r="Q91" s="2"/>
    </row>
    <row r="92" spans="2:17" x14ac:dyDescent="0.2">
      <c r="B92" s="23" t="s">
        <v>90</v>
      </c>
      <c r="C92" s="23">
        <v>-20</v>
      </c>
      <c r="D92" s="23">
        <f>C70*10%</f>
        <v>23.876435648000001</v>
      </c>
      <c r="E92" s="23">
        <f>D92*C92</f>
        <v>-477.52871296000001</v>
      </c>
      <c r="F92" s="15"/>
    </row>
    <row r="93" spans="2:17" x14ac:dyDescent="0.2">
      <c r="B93" s="23" t="s">
        <v>83</v>
      </c>
      <c r="C93" s="23"/>
      <c r="D93" s="23"/>
      <c r="E93" s="23">
        <f>SUM(E85:E92)</f>
        <v>35196.675195824639</v>
      </c>
      <c r="F93" s="31"/>
    </row>
    <row r="94" spans="2:17" x14ac:dyDescent="0.2">
      <c r="B94" s="23" t="s">
        <v>91</v>
      </c>
      <c r="C94" s="30">
        <v>0.03</v>
      </c>
      <c r="D94" s="23"/>
      <c r="E94" s="23">
        <f>E93*C94</f>
        <v>1055.9002558747391</v>
      </c>
      <c r="F94" s="15"/>
    </row>
    <row r="95" spans="2:17" x14ac:dyDescent="0.2">
      <c r="B95" s="23" t="s">
        <v>92</v>
      </c>
      <c r="C95" s="23"/>
      <c r="D95" s="23"/>
      <c r="E95" s="23">
        <f>SUM(E93:E94)</f>
        <v>36252.575451699377</v>
      </c>
      <c r="F95" s="15"/>
      <c r="G95" s="4">
        <f>S64</f>
        <v>42959.351370862933</v>
      </c>
    </row>
    <row r="96" spans="2:17" x14ac:dyDescent="0.2">
      <c r="B96" s="23"/>
      <c r="C96" s="23" t="s">
        <v>93</v>
      </c>
      <c r="D96" s="23"/>
      <c r="E96" s="32">
        <f>E95</f>
        <v>36252.575451699377</v>
      </c>
      <c r="F96" s="31">
        <v>0.15</v>
      </c>
      <c r="G96" s="1">
        <f>G95-G95*F96</f>
        <v>36515.448665233489</v>
      </c>
    </row>
    <row r="98" spans="1:19" x14ac:dyDescent="0.2">
      <c r="G98" s="4"/>
    </row>
    <row r="100" spans="1:19" x14ac:dyDescent="0.2">
      <c r="G100" s="4"/>
    </row>
    <row r="107" spans="1:19" ht="12" x14ac:dyDescent="0.25">
      <c r="B107" s="2"/>
      <c r="C107" s="2"/>
      <c r="D107" s="2"/>
      <c r="E107" s="2"/>
    </row>
    <row r="110" spans="1:19" x14ac:dyDescent="0.2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</row>
    <row r="111" spans="1:19" x14ac:dyDescent="0.2">
      <c r="B111" s="12"/>
    </row>
    <row r="112" spans="1:19" x14ac:dyDescent="0.2">
      <c r="B112" s="12"/>
    </row>
    <row r="113" spans="2:2" x14ac:dyDescent="0.2">
      <c r="B113" s="12"/>
    </row>
    <row r="114" spans="2:2" x14ac:dyDescent="0.2">
      <c r="B114" s="12"/>
    </row>
    <row r="115" spans="2:2" x14ac:dyDescent="0.2">
      <c r="B115" s="12"/>
    </row>
    <row r="116" spans="2:2" x14ac:dyDescent="0.2">
      <c r="B116" s="12"/>
    </row>
    <row r="121" spans="2:2" x14ac:dyDescent="0.2">
      <c r="B121" s="12"/>
    </row>
    <row r="122" spans="2:2" x14ac:dyDescent="0.2">
      <c r="B122" s="12"/>
    </row>
    <row r="206" spans="2:5" ht="12" x14ac:dyDescent="0.25">
      <c r="B206" s="2"/>
      <c r="C206" s="2"/>
      <c r="D206" s="2"/>
      <c r="E206" s="2"/>
    </row>
    <row r="209" spans="1:19" x14ac:dyDescent="0.2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</row>
    <row r="210" spans="1:19" x14ac:dyDescent="0.2">
      <c r="B210" s="12"/>
    </row>
    <row r="211" spans="1:19" x14ac:dyDescent="0.2">
      <c r="B211" s="12"/>
    </row>
    <row r="212" spans="1:19" x14ac:dyDescent="0.2">
      <c r="B212" s="12"/>
    </row>
    <row r="213" spans="1:19" x14ac:dyDescent="0.2">
      <c r="B213" s="12"/>
    </row>
    <row r="214" spans="1:19" x14ac:dyDescent="0.2">
      <c r="B214" s="12"/>
    </row>
    <row r="215" spans="1:19" x14ac:dyDescent="0.2">
      <c r="B215" s="12"/>
    </row>
    <row r="220" spans="1:19" x14ac:dyDescent="0.2">
      <c r="B220" s="12"/>
    </row>
    <row r="221" spans="1:19" x14ac:dyDescent="0.2">
      <c r="B221" s="12"/>
    </row>
    <row r="306" spans="1:21" ht="12" x14ac:dyDescent="0.25">
      <c r="B306" s="2"/>
      <c r="C306" s="2"/>
      <c r="D306" s="2"/>
      <c r="E306" s="2"/>
    </row>
    <row r="307" spans="1:21" x14ac:dyDescent="0.2">
      <c r="T307" s="33"/>
      <c r="U307" s="33"/>
    </row>
    <row r="309" spans="1:21" x14ac:dyDescent="0.2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</row>
    <row r="311" spans="1:21" x14ac:dyDescent="0.2">
      <c r="B311" s="12"/>
    </row>
    <row r="313" spans="1:21" x14ac:dyDescent="0.2">
      <c r="B313" s="12"/>
    </row>
    <row r="314" spans="1:21" x14ac:dyDescent="0.2">
      <c r="B314" s="12"/>
    </row>
    <row r="315" spans="1:21" x14ac:dyDescent="0.2">
      <c r="B315" s="12"/>
    </row>
    <row r="406" spans="1:19" ht="12" x14ac:dyDescent="0.25">
      <c r="B406" s="2"/>
      <c r="C406" s="2"/>
      <c r="D406" s="2"/>
      <c r="E406" s="2"/>
    </row>
    <row r="409" spans="1:19" x14ac:dyDescent="0.2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</row>
    <row r="411" spans="1:19" x14ac:dyDescent="0.2">
      <c r="B411" s="12"/>
    </row>
    <row r="413" spans="1:19" x14ac:dyDescent="0.2">
      <c r="B413" s="12"/>
    </row>
    <row r="414" spans="1:19" x14ac:dyDescent="0.2">
      <c r="B414" s="12"/>
    </row>
    <row r="415" spans="1:19" x14ac:dyDescent="0.2">
      <c r="B415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600-1200x500-1000x1000-2200FDRC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2021-01-10T07:53:36Z</dcterms:created>
  <dcterms:modified xsi:type="dcterms:W3CDTF">2021-01-10T08:57:36Z</dcterms:modified>
</cp:coreProperties>
</file>