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osting Sheets\"/>
    </mc:Choice>
  </mc:AlternateContent>
  <xr:revisionPtr revIDLastSave="0" documentId="13_ncr:1_{5269E397-616E-42AC-8307-6022BD68980F}" xr6:coauthVersionLast="46" xr6:coauthVersionMax="46" xr10:uidLastSave="{00000000-0000-0000-0000-000000000000}"/>
  <bookViews>
    <workbookView xWindow="-108" yWindow="-108" windowWidth="23256" windowHeight="12576" xr2:uid="{B2B880DD-9A97-4156-B525-0B8DC99DF665}"/>
  </bookViews>
  <sheets>
    <sheet name="600-1000x600-1200x1200-220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4" i="1" l="1"/>
  <c r="C34" i="1"/>
  <c r="F17" i="1" l="1"/>
  <c r="Q12" i="1" l="1"/>
  <c r="K83" i="1"/>
  <c r="J83" i="1"/>
  <c r="I83" i="1"/>
  <c r="M81" i="1"/>
  <c r="D97" i="1"/>
  <c r="D96" i="1"/>
  <c r="D95" i="1"/>
  <c r="C79" i="1"/>
  <c r="Q68" i="1"/>
  <c r="C63" i="1"/>
  <c r="F63" i="1"/>
  <c r="D62" i="1"/>
  <c r="J62" i="1" s="1"/>
  <c r="C62" i="1"/>
  <c r="F61" i="1"/>
  <c r="C61" i="1"/>
  <c r="I60" i="1"/>
  <c r="M60" i="1" s="1"/>
  <c r="J60" i="1"/>
  <c r="D60" i="1"/>
  <c r="C60" i="1"/>
  <c r="A60" i="1"/>
  <c r="A61" i="1"/>
  <c r="A62" i="1" s="1"/>
  <c r="A63" i="1" s="1"/>
  <c r="A64" i="1" s="1"/>
  <c r="D47" i="1"/>
  <c r="C47" i="1"/>
  <c r="D26" i="1"/>
  <c r="C26" i="1"/>
  <c r="D25" i="1"/>
  <c r="J25" i="1" s="1"/>
  <c r="P25" i="1" s="1"/>
  <c r="F19" i="1"/>
  <c r="M56" i="1"/>
  <c r="K5" i="1"/>
  <c r="D93" i="1"/>
  <c r="E93" i="1" s="1"/>
  <c r="D88" i="1"/>
  <c r="D87" i="1"/>
  <c r="F73" i="1"/>
  <c r="E73" i="1"/>
  <c r="D73" i="1"/>
  <c r="C73" i="1"/>
  <c r="H70" i="1"/>
  <c r="G70" i="1"/>
  <c r="F69" i="1"/>
  <c r="J68" i="1"/>
  <c r="P68" i="1" s="1"/>
  <c r="I68" i="1"/>
  <c r="M68" i="1" s="1"/>
  <c r="F68" i="1"/>
  <c r="Q67" i="1"/>
  <c r="J67" i="1"/>
  <c r="P67" i="1" s="1"/>
  <c r="I67" i="1"/>
  <c r="M67" i="1" s="1"/>
  <c r="F67" i="1"/>
  <c r="Q66" i="1"/>
  <c r="J66" i="1"/>
  <c r="P66" i="1" s="1"/>
  <c r="I66" i="1"/>
  <c r="M66" i="1" s="1"/>
  <c r="F66" i="1"/>
  <c r="Q65" i="1"/>
  <c r="J65" i="1"/>
  <c r="P65" i="1" s="1"/>
  <c r="I65" i="1"/>
  <c r="M65" i="1" s="1"/>
  <c r="Q64" i="1"/>
  <c r="J64" i="1"/>
  <c r="K64" i="1" s="1"/>
  <c r="I64" i="1"/>
  <c r="M64" i="1" s="1"/>
  <c r="C59" i="1"/>
  <c r="J59" i="1" s="1"/>
  <c r="J58" i="1"/>
  <c r="Q58" i="1" s="1"/>
  <c r="I58" i="1"/>
  <c r="M58" i="1" s="1"/>
  <c r="D57" i="1"/>
  <c r="D56" i="1"/>
  <c r="Q56" i="1" s="1"/>
  <c r="R56" i="1" s="1"/>
  <c r="S56" i="1" s="1"/>
  <c r="D55" i="1"/>
  <c r="J55" i="1" s="1"/>
  <c r="P55" i="1" s="1"/>
  <c r="D54" i="1"/>
  <c r="C54" i="1"/>
  <c r="F52" i="1"/>
  <c r="D52" i="1"/>
  <c r="C52" i="1"/>
  <c r="Q51" i="1"/>
  <c r="N51" i="1"/>
  <c r="J51" i="1"/>
  <c r="P51" i="1" s="1"/>
  <c r="I51" i="1"/>
  <c r="M51" i="1" s="1"/>
  <c r="D50" i="1"/>
  <c r="F48" i="1"/>
  <c r="D48" i="1"/>
  <c r="O48" i="1" s="1"/>
  <c r="F47" i="1"/>
  <c r="J46" i="1"/>
  <c r="P46" i="1" s="1"/>
  <c r="I46" i="1"/>
  <c r="F45" i="1"/>
  <c r="J44" i="1"/>
  <c r="P44" i="1" s="1"/>
  <c r="F44" i="1"/>
  <c r="I44" i="1" s="1"/>
  <c r="M44" i="1" s="1"/>
  <c r="N43" i="1"/>
  <c r="I43" i="1"/>
  <c r="F43" i="1"/>
  <c r="D43" i="1"/>
  <c r="C43" i="1"/>
  <c r="J43" i="1" s="1"/>
  <c r="P43" i="1" s="1"/>
  <c r="D42" i="1"/>
  <c r="C42" i="1"/>
  <c r="J41" i="1"/>
  <c r="P41" i="1" s="1"/>
  <c r="I41" i="1"/>
  <c r="M41" i="1" s="1"/>
  <c r="D38" i="1"/>
  <c r="C38" i="1"/>
  <c r="F37" i="1"/>
  <c r="J36" i="1"/>
  <c r="P36" i="1" s="1"/>
  <c r="I36" i="1"/>
  <c r="M36" i="1" s="1"/>
  <c r="F35" i="1"/>
  <c r="D34" i="1"/>
  <c r="I33" i="1"/>
  <c r="M33" i="1" s="1"/>
  <c r="D33" i="1"/>
  <c r="J33" i="1" s="1"/>
  <c r="P33" i="1" s="1"/>
  <c r="J32" i="1"/>
  <c r="P32" i="1" s="1"/>
  <c r="I32" i="1"/>
  <c r="Q31" i="1"/>
  <c r="J31" i="1"/>
  <c r="P31" i="1" s="1"/>
  <c r="I31" i="1"/>
  <c r="M31" i="1" s="1"/>
  <c r="F31" i="1"/>
  <c r="D84" i="1" s="1"/>
  <c r="E84" i="1" s="1"/>
  <c r="F29" i="1"/>
  <c r="F30" i="1" s="1"/>
  <c r="I30" i="1" s="1"/>
  <c r="M30" i="1" s="1"/>
  <c r="D29" i="1"/>
  <c r="I29" i="1" s="1"/>
  <c r="M29" i="1" s="1"/>
  <c r="C29" i="1"/>
  <c r="J28" i="1"/>
  <c r="P28" i="1" s="1"/>
  <c r="F28" i="1"/>
  <c r="D28" i="1"/>
  <c r="C28" i="1"/>
  <c r="I28" i="1" s="1"/>
  <c r="F27" i="1"/>
  <c r="D27" i="1"/>
  <c r="C27" i="1"/>
  <c r="I27" i="1" s="1"/>
  <c r="M27" i="1" s="1"/>
  <c r="I25" i="1"/>
  <c r="M25" i="1" s="1"/>
  <c r="F24" i="1"/>
  <c r="N24" i="1" s="1"/>
  <c r="D24" i="1"/>
  <c r="I24" i="1" s="1"/>
  <c r="M24" i="1" s="1"/>
  <c r="C24" i="1"/>
  <c r="J24" i="1" s="1"/>
  <c r="P24" i="1" s="1"/>
  <c r="F22" i="1"/>
  <c r="D81" i="1" s="1"/>
  <c r="E81" i="1" s="1"/>
  <c r="D19" i="1"/>
  <c r="C57" i="1" s="1"/>
  <c r="I57" i="1" s="1"/>
  <c r="M57" i="1" s="1"/>
  <c r="D18" i="1"/>
  <c r="N17" i="1"/>
  <c r="D17" i="1"/>
  <c r="F20" i="1" s="1"/>
  <c r="C17" i="1"/>
  <c r="Q16" i="1"/>
  <c r="J16" i="1"/>
  <c r="P16" i="1" s="1"/>
  <c r="I16" i="1"/>
  <c r="F16" i="1"/>
  <c r="F15" i="1"/>
  <c r="J15" i="1" s="1"/>
  <c r="P15" i="1" s="1"/>
  <c r="F14" i="1"/>
  <c r="C14" i="1"/>
  <c r="F13" i="1"/>
  <c r="C13" i="1"/>
  <c r="O12" i="1"/>
  <c r="I12" i="1"/>
  <c r="M12" i="1" s="1"/>
  <c r="F12" i="1"/>
  <c r="D12" i="1"/>
  <c r="J12" i="1" s="1"/>
  <c r="P12" i="1" s="1"/>
  <c r="F11" i="1"/>
  <c r="D11" i="1"/>
  <c r="I34" i="1" s="1"/>
  <c r="M34" i="1" s="1"/>
  <c r="C11" i="1"/>
  <c r="D10" i="1"/>
  <c r="C10" i="1"/>
  <c r="J9" i="1"/>
  <c r="P9" i="1" s="1"/>
  <c r="D9" i="1"/>
  <c r="I9" i="1" s="1"/>
  <c r="M9" i="1" s="1"/>
  <c r="C9" i="1"/>
  <c r="I8" i="1"/>
  <c r="M8" i="1" s="1"/>
  <c r="F8" i="1"/>
  <c r="D8" i="1"/>
  <c r="C8" i="1"/>
  <c r="J8" i="1" s="1"/>
  <c r="P8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N7" i="1"/>
  <c r="F7" i="1"/>
  <c r="D7" i="1"/>
  <c r="C7" i="1"/>
  <c r="J7" i="1" s="1"/>
  <c r="D63" i="1" l="1"/>
  <c r="I14" i="1"/>
  <c r="M14" i="1" s="1"/>
  <c r="Q30" i="1"/>
  <c r="I55" i="1"/>
  <c r="M55" i="1" s="1"/>
  <c r="J48" i="1"/>
  <c r="P48" i="1" s="1"/>
  <c r="I52" i="1"/>
  <c r="M52" i="1" s="1"/>
  <c r="D61" i="1"/>
  <c r="J61" i="1" s="1"/>
  <c r="D13" i="1"/>
  <c r="I11" i="1"/>
  <c r="M11" i="1" s="1"/>
  <c r="J30" i="1"/>
  <c r="P30" i="1" s="1"/>
  <c r="D14" i="1"/>
  <c r="J14" i="1" s="1"/>
  <c r="P14" i="1" s="1"/>
  <c r="J29" i="1"/>
  <c r="P29" i="1" s="1"/>
  <c r="J34" i="1"/>
  <c r="P34" i="1" s="1"/>
  <c r="I48" i="1"/>
  <c r="M48" i="1" s="1"/>
  <c r="J11" i="1"/>
  <c r="P11" i="1" s="1"/>
  <c r="J13" i="1"/>
  <c r="P13" i="1" s="1"/>
  <c r="M83" i="1"/>
  <c r="M84" i="1" s="1"/>
  <c r="Q20" i="1"/>
  <c r="E97" i="1"/>
  <c r="M16" i="1"/>
  <c r="M46" i="1"/>
  <c r="M28" i="1"/>
  <c r="M32" i="1"/>
  <c r="K43" i="1"/>
  <c r="L43" i="1" s="1"/>
  <c r="I61" i="1"/>
  <c r="M61" i="1" s="1"/>
  <c r="K60" i="1"/>
  <c r="L60" i="1" s="1"/>
  <c r="I63" i="1"/>
  <c r="K63" i="1" s="1"/>
  <c r="L63" i="1" s="1"/>
  <c r="I62" i="1"/>
  <c r="J63" i="1"/>
  <c r="P61" i="1"/>
  <c r="P60" i="1"/>
  <c r="A28" i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5" i="1" s="1"/>
  <c r="A66" i="1" s="1"/>
  <c r="A67" i="1" s="1"/>
  <c r="A68" i="1" s="1"/>
  <c r="A69" i="1" s="1"/>
  <c r="K31" i="1"/>
  <c r="L31" i="1" s="1"/>
  <c r="M43" i="1"/>
  <c r="I19" i="1"/>
  <c r="M19" i="1" s="1"/>
  <c r="J19" i="1"/>
  <c r="P19" i="1" s="1"/>
  <c r="J22" i="1"/>
  <c r="P22" i="1" s="1"/>
  <c r="F18" i="1"/>
  <c r="I17" i="1"/>
  <c r="M17" i="1" s="1"/>
  <c r="J17" i="1"/>
  <c r="P17" i="1" s="1"/>
  <c r="J18" i="1"/>
  <c r="P18" i="1" s="1"/>
  <c r="J47" i="1"/>
  <c r="P47" i="1" s="1"/>
  <c r="K8" i="1"/>
  <c r="L8" i="1" s="1"/>
  <c r="K32" i="1"/>
  <c r="L32" i="1" s="1"/>
  <c r="R32" i="1" s="1"/>
  <c r="S32" i="1" s="1"/>
  <c r="K66" i="1"/>
  <c r="L66" i="1" s="1"/>
  <c r="R66" i="1" s="1"/>
  <c r="K16" i="1"/>
  <c r="L16" i="1" s="1"/>
  <c r="K58" i="1"/>
  <c r="K65" i="1"/>
  <c r="L65" i="1" s="1"/>
  <c r="R65" i="1" s="1"/>
  <c r="S65" i="1" s="1"/>
  <c r="K51" i="1"/>
  <c r="L51" i="1" s="1"/>
  <c r="K68" i="1"/>
  <c r="L68" i="1" s="1"/>
  <c r="K9" i="1"/>
  <c r="L9" i="1" s="1"/>
  <c r="R9" i="1" s="1"/>
  <c r="S9" i="1" s="1"/>
  <c r="K33" i="1"/>
  <c r="P7" i="1"/>
  <c r="K34" i="1"/>
  <c r="K14" i="1"/>
  <c r="K30" i="1"/>
  <c r="J35" i="1"/>
  <c r="P35" i="1" s="1"/>
  <c r="I35" i="1"/>
  <c r="M35" i="1" s="1"/>
  <c r="J37" i="1"/>
  <c r="P37" i="1" s="1"/>
  <c r="I37" i="1"/>
  <c r="M37" i="1" s="1"/>
  <c r="Q37" i="1"/>
  <c r="K44" i="1"/>
  <c r="J57" i="1"/>
  <c r="P57" i="1" s="1"/>
  <c r="J20" i="1"/>
  <c r="P20" i="1" s="1"/>
  <c r="K29" i="1"/>
  <c r="J10" i="1"/>
  <c r="P10" i="1" s="1"/>
  <c r="I10" i="1"/>
  <c r="M10" i="1" s="1"/>
  <c r="I20" i="1"/>
  <c r="M20" i="1" s="1"/>
  <c r="K52" i="1"/>
  <c r="J54" i="1"/>
  <c r="P54" i="1" s="1"/>
  <c r="I54" i="1"/>
  <c r="M54" i="1" s="1"/>
  <c r="K12" i="1"/>
  <c r="L58" i="1"/>
  <c r="R58" i="1" s="1"/>
  <c r="S58" i="1" s="1"/>
  <c r="K11" i="1"/>
  <c r="K57" i="1"/>
  <c r="I45" i="1"/>
  <c r="M45" i="1" s="1"/>
  <c r="Q45" i="1"/>
  <c r="J45" i="1"/>
  <c r="P45" i="1" s="1"/>
  <c r="P64" i="1"/>
  <c r="K24" i="1"/>
  <c r="I7" i="1"/>
  <c r="M7" i="1" s="1"/>
  <c r="L64" i="1"/>
  <c r="J27" i="1"/>
  <c r="P27" i="1" s="1"/>
  <c r="F50" i="1"/>
  <c r="I50" i="1" s="1"/>
  <c r="M50" i="1" s="1"/>
  <c r="I47" i="1"/>
  <c r="M47" i="1" s="1"/>
  <c r="F53" i="1"/>
  <c r="F49" i="1"/>
  <c r="I15" i="1"/>
  <c r="M15" i="1" s="1"/>
  <c r="D85" i="1"/>
  <c r="E85" i="1" s="1"/>
  <c r="Q15" i="1"/>
  <c r="K27" i="1"/>
  <c r="R51" i="1"/>
  <c r="S51" i="1" s="1"/>
  <c r="J52" i="1"/>
  <c r="P52" i="1" s="1"/>
  <c r="I69" i="1"/>
  <c r="M69" i="1" s="1"/>
  <c r="Q69" i="1"/>
  <c r="J69" i="1"/>
  <c r="P69" i="1" s="1"/>
  <c r="K28" i="1"/>
  <c r="N55" i="1"/>
  <c r="K55" i="1"/>
  <c r="I59" i="1"/>
  <c r="M59" i="1" s="1"/>
  <c r="F21" i="1"/>
  <c r="Q21" i="1" s="1"/>
  <c r="C82" i="1" s="1"/>
  <c r="F38" i="1"/>
  <c r="F42" i="1" s="1"/>
  <c r="J42" i="1" s="1"/>
  <c r="P42" i="1" s="1"/>
  <c r="Q22" i="1"/>
  <c r="K25" i="1"/>
  <c r="K36" i="1"/>
  <c r="K41" i="1"/>
  <c r="K46" i="1"/>
  <c r="C53" i="1"/>
  <c r="K67" i="1"/>
  <c r="I22" i="1"/>
  <c r="M22" i="1" s="1"/>
  <c r="S66" i="1" l="1"/>
  <c r="C88" i="1"/>
  <c r="E88" i="1" s="1"/>
  <c r="O13" i="1"/>
  <c r="O70" i="1" s="1"/>
  <c r="I13" i="1"/>
  <c r="R43" i="1"/>
  <c r="S43" i="1" s="1"/>
  <c r="K48" i="1"/>
  <c r="L48" i="1" s="1"/>
  <c r="K61" i="1"/>
  <c r="L61" i="1" s="1"/>
  <c r="I42" i="1"/>
  <c r="M42" i="1" s="1"/>
  <c r="I38" i="1"/>
  <c r="M38" i="1" s="1"/>
  <c r="K19" i="1"/>
  <c r="L19" i="1" s="1"/>
  <c r="R19" i="1" s="1"/>
  <c r="S19" i="1" s="1"/>
  <c r="R16" i="1"/>
  <c r="S16" i="1" s="1"/>
  <c r="R60" i="1"/>
  <c r="S60" i="1" s="1"/>
  <c r="M63" i="1"/>
  <c r="P63" i="1"/>
  <c r="M62" i="1"/>
  <c r="K62" i="1"/>
  <c r="P62" i="1"/>
  <c r="R61" i="1"/>
  <c r="S61" i="1" s="1"/>
  <c r="R31" i="1"/>
  <c r="S31" i="1" s="1"/>
  <c r="R64" i="1"/>
  <c r="S64" i="1" s="1"/>
  <c r="L33" i="1"/>
  <c r="R33" i="1" s="1"/>
  <c r="S33" i="1" s="1"/>
  <c r="I18" i="1"/>
  <c r="F23" i="1"/>
  <c r="K17" i="1"/>
  <c r="L17" i="1" s="1"/>
  <c r="R17" i="1" s="1"/>
  <c r="S17" i="1" s="1"/>
  <c r="R8" i="1"/>
  <c r="S8" i="1" s="1"/>
  <c r="R68" i="1"/>
  <c r="K50" i="1"/>
  <c r="L25" i="1"/>
  <c r="R25" i="1" s="1"/>
  <c r="S25" i="1" s="1"/>
  <c r="J50" i="1"/>
  <c r="P50" i="1" s="1"/>
  <c r="K37" i="1"/>
  <c r="K42" i="1"/>
  <c r="K45" i="1"/>
  <c r="L12" i="1"/>
  <c r="R12" i="1" s="1"/>
  <c r="S12" i="1" s="1"/>
  <c r="L34" i="1"/>
  <c r="R34" i="1" s="1"/>
  <c r="S34" i="1" s="1"/>
  <c r="K22" i="1"/>
  <c r="F39" i="1"/>
  <c r="F40" i="1"/>
  <c r="N38" i="1"/>
  <c r="N70" i="1" s="1"/>
  <c r="J38" i="1"/>
  <c r="P38" i="1" s="1"/>
  <c r="K7" i="1"/>
  <c r="K35" i="1"/>
  <c r="L67" i="1"/>
  <c r="R67" i="1" s="1"/>
  <c r="J21" i="1"/>
  <c r="P21" i="1" s="1"/>
  <c r="D82" i="1"/>
  <c r="E82" i="1" s="1"/>
  <c r="I21" i="1"/>
  <c r="M21" i="1" s="1"/>
  <c r="L28" i="1"/>
  <c r="R28" i="1" s="1"/>
  <c r="S28" i="1" s="1"/>
  <c r="K69" i="1"/>
  <c r="L27" i="1"/>
  <c r="R27" i="1" s="1"/>
  <c r="S27" i="1" s="1"/>
  <c r="I49" i="1"/>
  <c r="M49" i="1" s="1"/>
  <c r="J49" i="1"/>
  <c r="P49" i="1" s="1"/>
  <c r="L24" i="1"/>
  <c r="R24" i="1" s="1"/>
  <c r="S24" i="1" s="1"/>
  <c r="K54" i="1"/>
  <c r="K10" i="1"/>
  <c r="I53" i="1"/>
  <c r="M53" i="1" s="1"/>
  <c r="J53" i="1"/>
  <c r="P53" i="1" s="1"/>
  <c r="P59" i="1"/>
  <c r="K59" i="1"/>
  <c r="L57" i="1"/>
  <c r="R57" i="1" s="1"/>
  <c r="S57" i="1" s="1"/>
  <c r="L46" i="1"/>
  <c r="R46" i="1" s="1"/>
  <c r="S46" i="1" s="1"/>
  <c r="L55" i="1"/>
  <c r="R55" i="1" s="1"/>
  <c r="S55" i="1" s="1"/>
  <c r="C96" i="1" s="1"/>
  <c r="E96" i="1" s="1"/>
  <c r="K47" i="1"/>
  <c r="L52" i="1"/>
  <c r="R52" i="1" s="1"/>
  <c r="S52" i="1" s="1"/>
  <c r="T52" i="1" s="1"/>
  <c r="L44" i="1"/>
  <c r="R44" i="1" s="1"/>
  <c r="S44" i="1" s="1"/>
  <c r="L14" i="1"/>
  <c r="R14" i="1" s="1"/>
  <c r="S14" i="1" s="1"/>
  <c r="L41" i="1"/>
  <c r="R41" i="1" s="1"/>
  <c r="S41" i="1" s="1"/>
  <c r="K15" i="1"/>
  <c r="L11" i="1"/>
  <c r="R11" i="1" s="1"/>
  <c r="S11" i="1" s="1"/>
  <c r="L30" i="1"/>
  <c r="R30" i="1" s="1"/>
  <c r="S30" i="1" s="1"/>
  <c r="L36" i="1"/>
  <c r="R36" i="1" s="1"/>
  <c r="S36" i="1" s="1"/>
  <c r="K20" i="1"/>
  <c r="L29" i="1"/>
  <c r="R29" i="1" s="1"/>
  <c r="S29" i="1" s="1"/>
  <c r="T69" i="1" l="1"/>
  <c r="S67" i="1"/>
  <c r="C87" i="1"/>
  <c r="E87" i="1" s="1"/>
  <c r="S68" i="1"/>
  <c r="C95" i="1"/>
  <c r="E95" i="1" s="1"/>
  <c r="R63" i="1"/>
  <c r="S63" i="1" s="1"/>
  <c r="M13" i="1"/>
  <c r="K13" i="1"/>
  <c r="L13" i="1" s="1"/>
  <c r="R48" i="1"/>
  <c r="S48" i="1" s="1"/>
  <c r="Q40" i="1"/>
  <c r="D83" i="1"/>
  <c r="E83" i="1" s="1"/>
  <c r="K38" i="1"/>
  <c r="L38" i="1" s="1"/>
  <c r="R38" i="1" s="1"/>
  <c r="S38" i="1" s="1"/>
  <c r="L62" i="1"/>
  <c r="R62" i="1" s="1"/>
  <c r="S62" i="1" s="1"/>
  <c r="F70" i="1"/>
  <c r="D86" i="1"/>
  <c r="E86" i="1" s="1"/>
  <c r="J23" i="1"/>
  <c r="P23" i="1" s="1"/>
  <c r="I23" i="1"/>
  <c r="Q23" i="1"/>
  <c r="K18" i="1"/>
  <c r="M18" i="1"/>
  <c r="T28" i="1"/>
  <c r="T32" i="1"/>
  <c r="K53" i="1"/>
  <c r="K49" i="1"/>
  <c r="L42" i="1"/>
  <c r="R42" i="1" s="1"/>
  <c r="S42" i="1" s="1"/>
  <c r="L10" i="1"/>
  <c r="R10" i="1" s="1"/>
  <c r="S10" i="1" s="1"/>
  <c r="L47" i="1"/>
  <c r="R47" i="1" s="1"/>
  <c r="S47" i="1" s="1"/>
  <c r="L54" i="1"/>
  <c r="R54" i="1" s="1"/>
  <c r="S54" i="1" s="1"/>
  <c r="L69" i="1"/>
  <c r="R69" i="1" s="1"/>
  <c r="S69" i="1" s="1"/>
  <c r="L59" i="1"/>
  <c r="R59" i="1" s="1"/>
  <c r="S59" i="1" s="1"/>
  <c r="J40" i="1"/>
  <c r="P40" i="1" s="1"/>
  <c r="I40" i="1"/>
  <c r="M40" i="1" s="1"/>
  <c r="L45" i="1"/>
  <c r="R45" i="1" s="1"/>
  <c r="S45" i="1" s="1"/>
  <c r="T46" i="1" s="1"/>
  <c r="L20" i="1"/>
  <c r="R20" i="1" s="1"/>
  <c r="S20" i="1" s="1"/>
  <c r="L35" i="1"/>
  <c r="R35" i="1" s="1"/>
  <c r="S35" i="1" s="1"/>
  <c r="I39" i="1"/>
  <c r="M39" i="1" s="1"/>
  <c r="J39" i="1"/>
  <c r="P39" i="1" s="1"/>
  <c r="L22" i="1"/>
  <c r="R22" i="1" s="1"/>
  <c r="S22" i="1" s="1"/>
  <c r="L37" i="1"/>
  <c r="R37" i="1" s="1"/>
  <c r="S37" i="1" s="1"/>
  <c r="L50" i="1"/>
  <c r="R50" i="1" s="1"/>
  <c r="S50" i="1" s="1"/>
  <c r="L15" i="1"/>
  <c r="R15" i="1" s="1"/>
  <c r="S15" i="1" s="1"/>
  <c r="K21" i="1"/>
  <c r="L7" i="1"/>
  <c r="R7" i="1" s="1"/>
  <c r="R13" i="1" l="1"/>
  <c r="S13" i="1" s="1"/>
  <c r="L18" i="1"/>
  <c r="R18" i="1" s="1"/>
  <c r="S18" i="1" s="1"/>
  <c r="M23" i="1"/>
  <c r="K23" i="1"/>
  <c r="L23" i="1" s="1"/>
  <c r="Q70" i="1"/>
  <c r="P70" i="1"/>
  <c r="T37" i="1"/>
  <c r="K39" i="1"/>
  <c r="I70" i="1"/>
  <c r="C76" i="1" s="1"/>
  <c r="K40" i="1"/>
  <c r="S7" i="1"/>
  <c r="L49" i="1"/>
  <c r="R49" i="1" s="1"/>
  <c r="S49" i="1" s="1"/>
  <c r="T50" i="1" s="1"/>
  <c r="L53" i="1"/>
  <c r="R53" i="1" s="1"/>
  <c r="S53" i="1" s="1"/>
  <c r="T63" i="1" s="1"/>
  <c r="L21" i="1"/>
  <c r="R21" i="1" s="1"/>
  <c r="S21" i="1" s="1"/>
  <c r="J70" i="1"/>
  <c r="P71" i="1" l="1"/>
  <c r="C80" i="1" s="1"/>
  <c r="R23" i="1"/>
  <c r="S23" i="1" s="1"/>
  <c r="T23" i="1" s="1"/>
  <c r="K70" i="1"/>
  <c r="M70" i="1"/>
  <c r="D98" i="1"/>
  <c r="E98" i="1" s="1"/>
  <c r="D79" i="1"/>
  <c r="E79" i="1" s="1"/>
  <c r="D92" i="1"/>
  <c r="E92" i="1" s="1"/>
  <c r="D80" i="1"/>
  <c r="T16" i="1"/>
  <c r="L39" i="1"/>
  <c r="R39" i="1" s="1"/>
  <c r="L40" i="1"/>
  <c r="R40" i="1" s="1"/>
  <c r="S40" i="1" s="1"/>
  <c r="E80" i="1" l="1"/>
  <c r="E89" i="1" s="1"/>
  <c r="S39" i="1"/>
  <c r="R70" i="1"/>
  <c r="E94" i="1"/>
  <c r="L70" i="1"/>
  <c r="E90" i="1" l="1"/>
  <c r="E91" i="1" s="1"/>
  <c r="E99" i="1" s="1"/>
  <c r="T42" i="1"/>
  <c r="S70" i="1"/>
  <c r="G101" i="1" s="1"/>
  <c r="G102" i="1" s="1"/>
  <c r="E100" i="1" l="1"/>
  <c r="E101" i="1" s="1"/>
  <c r="E102" i="1" s="1"/>
  <c r="T70" i="1"/>
  <c r="X16" i="1" l="1"/>
</calcChain>
</file>

<file path=xl/sharedStrings.xml><?xml version="1.0" encoding="utf-8"?>
<sst xmlns="http://schemas.openxmlformats.org/spreadsheetml/2006/main" count="135" uniqueCount="103">
  <si>
    <t>W</t>
  </si>
  <si>
    <t>D</t>
  </si>
  <si>
    <t>H</t>
  </si>
  <si>
    <t>B</t>
  </si>
  <si>
    <t>Q</t>
  </si>
  <si>
    <t>RAL7035</t>
  </si>
  <si>
    <t>Sr.No.</t>
  </si>
  <si>
    <t>DESCRIPTION</t>
  </si>
  <si>
    <t>WIDTH</t>
  </si>
  <si>
    <t>LENGTH</t>
  </si>
  <si>
    <t>THK</t>
  </si>
  <si>
    <t>QTY</t>
  </si>
  <si>
    <t>SHEAR</t>
  </si>
  <si>
    <t>BEND</t>
  </si>
  <si>
    <t>WEIGHT</t>
  </si>
  <si>
    <t>AREA</t>
  </si>
  <si>
    <t>MAT. COST</t>
  </si>
  <si>
    <t>SCRAP</t>
  </si>
  <si>
    <t>LABOUR</t>
  </si>
  <si>
    <t>WELD</t>
  </si>
  <si>
    <t>HOLE</t>
  </si>
  <si>
    <t>PAINT</t>
  </si>
  <si>
    <t>OTHER</t>
  </si>
  <si>
    <t>TOTAL</t>
  </si>
  <si>
    <t>NET</t>
  </si>
  <si>
    <t>V' Channel</t>
  </si>
  <si>
    <t>H' Channel</t>
  </si>
  <si>
    <t>V' C Channel</t>
  </si>
  <si>
    <t>S' Channel</t>
  </si>
  <si>
    <t>Indexing L</t>
  </si>
  <si>
    <t>C plt mtg ch</t>
  </si>
  <si>
    <t>B. C. Angle</t>
  </si>
  <si>
    <t>Corner Piece Sq.</t>
  </si>
  <si>
    <t>Corner Piece Triangle.</t>
  </si>
  <si>
    <t>Door</t>
  </si>
  <si>
    <t>V' Supp. Ch.</t>
  </si>
  <si>
    <t>H' Supp. Ch.</t>
  </si>
  <si>
    <t>Gasket</t>
  </si>
  <si>
    <t>Lock</t>
  </si>
  <si>
    <t>Hinges</t>
  </si>
  <si>
    <t>Hardware</t>
  </si>
  <si>
    <t>Base</t>
  </si>
  <si>
    <t>Plinth plates</t>
  </si>
  <si>
    <t>Base Cover thk</t>
  </si>
  <si>
    <t>Base Cover Thin</t>
  </si>
  <si>
    <t>Top Cover</t>
  </si>
  <si>
    <t>Eye Bolts</t>
  </si>
  <si>
    <t>Bottom Cover '4'</t>
  </si>
  <si>
    <t>Bottom Cover '5'</t>
  </si>
  <si>
    <t>B. C. Clamps</t>
  </si>
  <si>
    <t>Back Cover</t>
  </si>
  <si>
    <t>B. C. Rest. Ch.</t>
  </si>
  <si>
    <t>Side Cover</t>
  </si>
  <si>
    <t>S. C. Mtg. Bkt.</t>
  </si>
  <si>
    <t>Component Plate</t>
  </si>
  <si>
    <t>C. P. Bracket</t>
  </si>
  <si>
    <t>Canopy</t>
  </si>
  <si>
    <t>Studs</t>
  </si>
  <si>
    <t>Drawing Pocket</t>
  </si>
  <si>
    <t>Side C Plate</t>
  </si>
  <si>
    <t>Plate on Antivibra</t>
  </si>
  <si>
    <t>Antivibration Pad</t>
  </si>
  <si>
    <t>Cable Suport</t>
  </si>
  <si>
    <t>Glass</t>
  </si>
  <si>
    <t>MCCB BKT</t>
  </si>
  <si>
    <t>Transport</t>
  </si>
  <si>
    <t>Filters</t>
  </si>
  <si>
    <t>Assly</t>
  </si>
  <si>
    <t>Packing</t>
  </si>
  <si>
    <t>Cutouts &amp; other</t>
  </si>
  <si>
    <t>Enclosure</t>
  </si>
  <si>
    <t>Weight</t>
  </si>
  <si>
    <t>Kg</t>
  </si>
  <si>
    <t>Description</t>
  </si>
  <si>
    <t>Rate</t>
  </si>
  <si>
    <t>Qty</t>
  </si>
  <si>
    <t>Amount</t>
  </si>
  <si>
    <t>Steel with transport</t>
  </si>
  <si>
    <t>Powder Coat</t>
  </si>
  <si>
    <t>Lifting L</t>
  </si>
  <si>
    <t>Machined Parts on frame</t>
  </si>
  <si>
    <t>Machined Parts on door</t>
  </si>
  <si>
    <t>Assembly</t>
  </si>
  <si>
    <t>Total</t>
  </si>
  <si>
    <t>Profit &amp; Overheads</t>
  </si>
  <si>
    <t>Labour</t>
  </si>
  <si>
    <t>4" Filters</t>
  </si>
  <si>
    <t>Scrap Loss</t>
  </si>
  <si>
    <t>on steel</t>
  </si>
  <si>
    <t>AV pad</t>
  </si>
  <si>
    <t>Scrap rebate</t>
  </si>
  <si>
    <t>90 days credit</t>
  </si>
  <si>
    <t>Grand Total</t>
  </si>
  <si>
    <t>Say</t>
  </si>
  <si>
    <t>Steel Price</t>
  </si>
  <si>
    <t>Max Size</t>
  </si>
  <si>
    <t>Base Cover</t>
  </si>
  <si>
    <t>Partial C Plate</t>
  </si>
  <si>
    <t>Cross Angle</t>
  </si>
  <si>
    <t>Cross Angle Big</t>
  </si>
  <si>
    <t>Width Member 50H</t>
  </si>
  <si>
    <t>Bidding</t>
  </si>
  <si>
    <t>COSTING OF MFS (Single door Double Front)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</si>
</sst>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color rgb="FFFF0000"/>
      <name val="Arial"/>
      <family val="2"/>
    </font>
    <font>
      <sz val="9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3">
    <xf numFmtId="0" fontId="0" fillId="0" borderId="0" xfId="0"/>
    <xf numFmtId="0" fontId="2" fillId="0" borderId="0" xfId="1" applyFont="1"/>
    <xf numFmtId="0" fontId="3" fillId="0" borderId="0" xfId="1" applyFont="1"/>
    <xf numFmtId="0" fontId="3" fillId="0" borderId="0" xfId="1" applyFont="1" applyAlignment="1">
      <alignment horizontal="center"/>
    </xf>
    <xf numFmtId="1" fontId="2" fillId="0" borderId="0" xfId="1" applyNumberFormat="1" applyFont="1"/>
    <xf numFmtId="9" fontId="2" fillId="0" borderId="0" xfId="1" applyNumberFormat="1" applyFont="1"/>
    <xf numFmtId="0" fontId="2" fillId="0" borderId="1" xfId="1" applyFont="1" applyBorder="1" applyAlignment="1">
      <alignment horizontal="left"/>
    </xf>
    <xf numFmtId="0" fontId="2" fillId="0" borderId="2" xfId="1" applyFont="1" applyBorder="1"/>
    <xf numFmtId="0" fontId="2" fillId="0" borderId="3" xfId="1" quotePrefix="1" applyFont="1" applyBorder="1"/>
    <xf numFmtId="0" fontId="2" fillId="0" borderId="3" xfId="1" applyFont="1" applyBorder="1"/>
    <xf numFmtId="1" fontId="2" fillId="0" borderId="3" xfId="1" applyNumberFormat="1" applyFont="1" applyBorder="1"/>
    <xf numFmtId="0" fontId="2" fillId="0" borderId="4" xfId="1" applyFont="1" applyBorder="1"/>
    <xf numFmtId="0" fontId="2" fillId="0" borderId="0" xfId="1" quotePrefix="1" applyFont="1"/>
    <xf numFmtId="0" fontId="2" fillId="0" borderId="5" xfId="1" applyFont="1" applyBorder="1"/>
    <xf numFmtId="1" fontId="2" fillId="0" borderId="5" xfId="1" applyNumberFormat="1" applyFont="1" applyBorder="1"/>
    <xf numFmtId="0" fontId="2" fillId="0" borderId="5" xfId="1" applyFont="1" applyBorder="1" applyAlignment="1">
      <alignment horizontal="right"/>
    </xf>
    <xf numFmtId="0" fontId="4" fillId="0" borderId="0" xfId="1" applyFont="1"/>
    <xf numFmtId="0" fontId="4" fillId="0" borderId="1" xfId="1" applyFont="1" applyBorder="1"/>
    <xf numFmtId="0" fontId="4" fillId="0" borderId="1" xfId="1" applyFont="1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/>
    </xf>
    <xf numFmtId="1" fontId="4" fillId="0" borderId="1" xfId="1" applyNumberFormat="1" applyFont="1" applyBorder="1"/>
    <xf numFmtId="0" fontId="4" fillId="0" borderId="1" xfId="1" applyFont="1" applyBorder="1" applyAlignment="1">
      <alignment vertical="center"/>
    </xf>
    <xf numFmtId="0" fontId="4" fillId="0" borderId="1" xfId="1" applyFont="1" applyBorder="1" applyAlignment="1">
      <alignment horizontal="right"/>
    </xf>
    <xf numFmtId="9" fontId="4" fillId="0" borderId="1" xfId="1" applyNumberFormat="1" applyFont="1" applyBorder="1"/>
    <xf numFmtId="9" fontId="4" fillId="0" borderId="0" xfId="1" applyNumberFormat="1" applyFont="1"/>
    <xf numFmtId="1" fontId="5" fillId="0" borderId="1" xfId="1" applyNumberFormat="1" applyFont="1" applyBorder="1"/>
    <xf numFmtId="0" fontId="2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0" fontId="7" fillId="0" borderId="0" xfId="1" applyFont="1"/>
    <xf numFmtId="1" fontId="2" fillId="0" borderId="0" xfId="1" applyNumberFormat="1" applyFont="1" applyBorder="1"/>
    <xf numFmtId="0" fontId="2" fillId="0" borderId="1" xfId="1" applyFont="1" applyBorder="1"/>
    <xf numFmtId="1" fontId="2" fillId="0" borderId="1" xfId="1" applyNumberFormat="1" applyFont="1" applyBorder="1"/>
    <xf numFmtId="0" fontId="2" fillId="0" borderId="0" xfId="1" applyFont="1" applyBorder="1"/>
    <xf numFmtId="0" fontId="2" fillId="0" borderId="6" xfId="1" applyFont="1" applyBorder="1"/>
    <xf numFmtId="0" fontId="2" fillId="0" borderId="7" xfId="1" applyFont="1" applyBorder="1"/>
    <xf numFmtId="0" fontId="2" fillId="0" borderId="8" xfId="1" applyFont="1" applyBorder="1"/>
    <xf numFmtId="1" fontId="2" fillId="0" borderId="9" xfId="1" applyNumberFormat="1" applyFont="1" applyBorder="1"/>
    <xf numFmtId="1" fontId="2" fillId="0" borderId="6" xfId="1" applyNumberFormat="1" applyFont="1" applyBorder="1"/>
    <xf numFmtId="1" fontId="2" fillId="0" borderId="7" xfId="1" applyNumberFormat="1" applyFont="1" applyBorder="1"/>
    <xf numFmtId="0" fontId="2" fillId="0" borderId="0" xfId="1" applyFont="1" applyBorder="1" applyAlignment="1">
      <alignment horizontal="right"/>
    </xf>
    <xf numFmtId="0" fontId="2" fillId="0" borderId="3" xfId="1" applyFont="1" applyBorder="1" applyAlignment="1">
      <alignment horizontal="right"/>
    </xf>
    <xf numFmtId="0" fontId="2" fillId="0" borderId="0" xfId="1" quotePrefix="1" applyFont="1" applyBorder="1"/>
  </cellXfs>
  <cellStyles count="2">
    <cellStyle name="Normal" xfId="0" builtinId="0"/>
    <cellStyle name="Normal 3" xfId="1" xr:uid="{F7368B21-4314-42D0-9BDC-5338A797AAF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677F8-E4FE-4AAC-AF4A-5CCFA0E66C72}">
  <dimension ref="A1:X421"/>
  <sheetViews>
    <sheetView tabSelected="1" zoomScale="85" workbookViewId="0">
      <pane xSplit="2" ySplit="6" topLeftCell="C7" activePane="bottomRight" state="frozen"/>
      <selection activeCell="V26" sqref="V26"/>
      <selection pane="topRight" activeCell="V26" sqref="V26"/>
      <selection pane="bottomLeft" activeCell="V26" sqref="V26"/>
      <selection pane="bottomRight" activeCell="M6" sqref="M6"/>
    </sheetView>
  </sheetViews>
  <sheetFormatPr defaultRowHeight="11.4" x14ac:dyDescent="0.2"/>
  <cols>
    <col min="1" max="1" width="3.88671875" style="1" customWidth="1"/>
    <col min="2" max="2" width="16.77734375" style="1" customWidth="1"/>
    <col min="3" max="3" width="7" style="1" customWidth="1"/>
    <col min="4" max="4" width="6.33203125" style="1" customWidth="1"/>
    <col min="5" max="5" width="7.33203125" style="1" customWidth="1"/>
    <col min="6" max="6" width="6.5546875" style="1" customWidth="1"/>
    <col min="7" max="7" width="8.88671875" style="1"/>
    <col min="8" max="8" width="4.44140625" style="1" customWidth="1"/>
    <col min="9" max="9" width="5.33203125" style="1" customWidth="1"/>
    <col min="10" max="10" width="5.44140625" style="1" customWidth="1"/>
    <col min="11" max="11" width="6.109375" style="1" customWidth="1"/>
    <col min="12" max="12" width="5.44140625" style="1" customWidth="1"/>
    <col min="13" max="14" width="6.109375" style="1" customWidth="1"/>
    <col min="15" max="15" width="6" style="1" customWidth="1"/>
    <col min="16" max="16" width="6.5546875" style="1" customWidth="1"/>
    <col min="17" max="17" width="6" style="1" customWidth="1"/>
    <col min="18" max="18" width="7.33203125" style="1" customWidth="1"/>
    <col min="19" max="19" width="7.88671875" style="1" customWidth="1"/>
    <col min="20" max="20" width="7" style="1" customWidth="1"/>
    <col min="21" max="21" width="5.109375" style="1" customWidth="1"/>
    <col min="22" max="256" width="8.88671875" style="1"/>
    <col min="257" max="257" width="3.88671875" style="1" customWidth="1"/>
    <col min="258" max="258" width="13.109375" style="1" customWidth="1"/>
    <col min="259" max="259" width="7" style="1" customWidth="1"/>
    <col min="260" max="260" width="6.33203125" style="1" customWidth="1"/>
    <col min="261" max="261" width="7.33203125" style="1" customWidth="1"/>
    <col min="262" max="262" width="6.5546875" style="1" customWidth="1"/>
    <col min="263" max="263" width="8.88671875" style="1"/>
    <col min="264" max="264" width="4.44140625" style="1" customWidth="1"/>
    <col min="265" max="265" width="5.33203125" style="1" customWidth="1"/>
    <col min="266" max="266" width="5.44140625" style="1" customWidth="1"/>
    <col min="267" max="267" width="6.109375" style="1" customWidth="1"/>
    <col min="268" max="268" width="5.44140625" style="1" customWidth="1"/>
    <col min="269" max="270" width="6.109375" style="1" customWidth="1"/>
    <col min="271" max="271" width="6" style="1" customWidth="1"/>
    <col min="272" max="272" width="6.5546875" style="1" customWidth="1"/>
    <col min="273" max="273" width="6" style="1" customWidth="1"/>
    <col min="274" max="274" width="7.33203125" style="1" customWidth="1"/>
    <col min="275" max="275" width="7.88671875" style="1" customWidth="1"/>
    <col min="276" max="276" width="7" style="1" customWidth="1"/>
    <col min="277" max="277" width="5.109375" style="1" customWidth="1"/>
    <col min="278" max="512" width="8.88671875" style="1"/>
    <col min="513" max="513" width="3.88671875" style="1" customWidth="1"/>
    <col min="514" max="514" width="13.109375" style="1" customWidth="1"/>
    <col min="515" max="515" width="7" style="1" customWidth="1"/>
    <col min="516" max="516" width="6.33203125" style="1" customWidth="1"/>
    <col min="517" max="517" width="7.33203125" style="1" customWidth="1"/>
    <col min="518" max="518" width="6.5546875" style="1" customWidth="1"/>
    <col min="519" max="519" width="8.88671875" style="1"/>
    <col min="520" max="520" width="4.44140625" style="1" customWidth="1"/>
    <col min="521" max="521" width="5.33203125" style="1" customWidth="1"/>
    <col min="522" max="522" width="5.44140625" style="1" customWidth="1"/>
    <col min="523" max="523" width="6.109375" style="1" customWidth="1"/>
    <col min="524" max="524" width="5.44140625" style="1" customWidth="1"/>
    <col min="525" max="526" width="6.109375" style="1" customWidth="1"/>
    <col min="527" max="527" width="6" style="1" customWidth="1"/>
    <col min="528" max="528" width="6.5546875" style="1" customWidth="1"/>
    <col min="529" max="529" width="6" style="1" customWidth="1"/>
    <col min="530" max="530" width="7.33203125" style="1" customWidth="1"/>
    <col min="531" max="531" width="7.88671875" style="1" customWidth="1"/>
    <col min="532" max="532" width="7" style="1" customWidth="1"/>
    <col min="533" max="533" width="5.109375" style="1" customWidth="1"/>
    <col min="534" max="768" width="8.88671875" style="1"/>
    <col min="769" max="769" width="3.88671875" style="1" customWidth="1"/>
    <col min="770" max="770" width="13.109375" style="1" customWidth="1"/>
    <col min="771" max="771" width="7" style="1" customWidth="1"/>
    <col min="772" max="772" width="6.33203125" style="1" customWidth="1"/>
    <col min="773" max="773" width="7.33203125" style="1" customWidth="1"/>
    <col min="774" max="774" width="6.5546875" style="1" customWidth="1"/>
    <col min="775" max="775" width="8.88671875" style="1"/>
    <col min="776" max="776" width="4.44140625" style="1" customWidth="1"/>
    <col min="777" max="777" width="5.33203125" style="1" customWidth="1"/>
    <col min="778" max="778" width="5.44140625" style="1" customWidth="1"/>
    <col min="779" max="779" width="6.109375" style="1" customWidth="1"/>
    <col min="780" max="780" width="5.44140625" style="1" customWidth="1"/>
    <col min="781" max="782" width="6.109375" style="1" customWidth="1"/>
    <col min="783" max="783" width="6" style="1" customWidth="1"/>
    <col min="784" max="784" width="6.5546875" style="1" customWidth="1"/>
    <col min="785" max="785" width="6" style="1" customWidth="1"/>
    <col min="786" max="786" width="7.33203125" style="1" customWidth="1"/>
    <col min="787" max="787" width="7.88671875" style="1" customWidth="1"/>
    <col min="788" max="788" width="7" style="1" customWidth="1"/>
    <col min="789" max="789" width="5.109375" style="1" customWidth="1"/>
    <col min="790" max="1024" width="8.88671875" style="1"/>
    <col min="1025" max="1025" width="3.88671875" style="1" customWidth="1"/>
    <col min="1026" max="1026" width="13.109375" style="1" customWidth="1"/>
    <col min="1027" max="1027" width="7" style="1" customWidth="1"/>
    <col min="1028" max="1028" width="6.33203125" style="1" customWidth="1"/>
    <col min="1029" max="1029" width="7.33203125" style="1" customWidth="1"/>
    <col min="1030" max="1030" width="6.5546875" style="1" customWidth="1"/>
    <col min="1031" max="1031" width="8.88671875" style="1"/>
    <col min="1032" max="1032" width="4.44140625" style="1" customWidth="1"/>
    <col min="1033" max="1033" width="5.33203125" style="1" customWidth="1"/>
    <col min="1034" max="1034" width="5.44140625" style="1" customWidth="1"/>
    <col min="1035" max="1035" width="6.109375" style="1" customWidth="1"/>
    <col min="1036" max="1036" width="5.44140625" style="1" customWidth="1"/>
    <col min="1037" max="1038" width="6.109375" style="1" customWidth="1"/>
    <col min="1039" max="1039" width="6" style="1" customWidth="1"/>
    <col min="1040" max="1040" width="6.5546875" style="1" customWidth="1"/>
    <col min="1041" max="1041" width="6" style="1" customWidth="1"/>
    <col min="1042" max="1042" width="7.33203125" style="1" customWidth="1"/>
    <col min="1043" max="1043" width="7.88671875" style="1" customWidth="1"/>
    <col min="1044" max="1044" width="7" style="1" customWidth="1"/>
    <col min="1045" max="1045" width="5.109375" style="1" customWidth="1"/>
    <col min="1046" max="1280" width="8.88671875" style="1"/>
    <col min="1281" max="1281" width="3.88671875" style="1" customWidth="1"/>
    <col min="1282" max="1282" width="13.109375" style="1" customWidth="1"/>
    <col min="1283" max="1283" width="7" style="1" customWidth="1"/>
    <col min="1284" max="1284" width="6.33203125" style="1" customWidth="1"/>
    <col min="1285" max="1285" width="7.33203125" style="1" customWidth="1"/>
    <col min="1286" max="1286" width="6.5546875" style="1" customWidth="1"/>
    <col min="1287" max="1287" width="8.88671875" style="1"/>
    <col min="1288" max="1288" width="4.44140625" style="1" customWidth="1"/>
    <col min="1289" max="1289" width="5.33203125" style="1" customWidth="1"/>
    <col min="1290" max="1290" width="5.44140625" style="1" customWidth="1"/>
    <col min="1291" max="1291" width="6.109375" style="1" customWidth="1"/>
    <col min="1292" max="1292" width="5.44140625" style="1" customWidth="1"/>
    <col min="1293" max="1294" width="6.109375" style="1" customWidth="1"/>
    <col min="1295" max="1295" width="6" style="1" customWidth="1"/>
    <col min="1296" max="1296" width="6.5546875" style="1" customWidth="1"/>
    <col min="1297" max="1297" width="6" style="1" customWidth="1"/>
    <col min="1298" max="1298" width="7.33203125" style="1" customWidth="1"/>
    <col min="1299" max="1299" width="7.88671875" style="1" customWidth="1"/>
    <col min="1300" max="1300" width="7" style="1" customWidth="1"/>
    <col min="1301" max="1301" width="5.109375" style="1" customWidth="1"/>
    <col min="1302" max="1536" width="8.88671875" style="1"/>
    <col min="1537" max="1537" width="3.88671875" style="1" customWidth="1"/>
    <col min="1538" max="1538" width="13.109375" style="1" customWidth="1"/>
    <col min="1539" max="1539" width="7" style="1" customWidth="1"/>
    <col min="1540" max="1540" width="6.33203125" style="1" customWidth="1"/>
    <col min="1541" max="1541" width="7.33203125" style="1" customWidth="1"/>
    <col min="1542" max="1542" width="6.5546875" style="1" customWidth="1"/>
    <col min="1543" max="1543" width="8.88671875" style="1"/>
    <col min="1544" max="1544" width="4.44140625" style="1" customWidth="1"/>
    <col min="1545" max="1545" width="5.33203125" style="1" customWidth="1"/>
    <col min="1546" max="1546" width="5.44140625" style="1" customWidth="1"/>
    <col min="1547" max="1547" width="6.109375" style="1" customWidth="1"/>
    <col min="1548" max="1548" width="5.44140625" style="1" customWidth="1"/>
    <col min="1549" max="1550" width="6.109375" style="1" customWidth="1"/>
    <col min="1551" max="1551" width="6" style="1" customWidth="1"/>
    <col min="1552" max="1552" width="6.5546875" style="1" customWidth="1"/>
    <col min="1553" max="1553" width="6" style="1" customWidth="1"/>
    <col min="1554" max="1554" width="7.33203125" style="1" customWidth="1"/>
    <col min="1555" max="1555" width="7.88671875" style="1" customWidth="1"/>
    <col min="1556" max="1556" width="7" style="1" customWidth="1"/>
    <col min="1557" max="1557" width="5.109375" style="1" customWidth="1"/>
    <col min="1558" max="1792" width="8.88671875" style="1"/>
    <col min="1793" max="1793" width="3.88671875" style="1" customWidth="1"/>
    <col min="1794" max="1794" width="13.109375" style="1" customWidth="1"/>
    <col min="1795" max="1795" width="7" style="1" customWidth="1"/>
    <col min="1796" max="1796" width="6.33203125" style="1" customWidth="1"/>
    <col min="1797" max="1797" width="7.33203125" style="1" customWidth="1"/>
    <col min="1798" max="1798" width="6.5546875" style="1" customWidth="1"/>
    <col min="1799" max="1799" width="8.88671875" style="1"/>
    <col min="1800" max="1800" width="4.44140625" style="1" customWidth="1"/>
    <col min="1801" max="1801" width="5.33203125" style="1" customWidth="1"/>
    <col min="1802" max="1802" width="5.44140625" style="1" customWidth="1"/>
    <col min="1803" max="1803" width="6.109375" style="1" customWidth="1"/>
    <col min="1804" max="1804" width="5.44140625" style="1" customWidth="1"/>
    <col min="1805" max="1806" width="6.109375" style="1" customWidth="1"/>
    <col min="1807" max="1807" width="6" style="1" customWidth="1"/>
    <col min="1808" max="1808" width="6.5546875" style="1" customWidth="1"/>
    <col min="1809" max="1809" width="6" style="1" customWidth="1"/>
    <col min="1810" max="1810" width="7.33203125" style="1" customWidth="1"/>
    <col min="1811" max="1811" width="7.88671875" style="1" customWidth="1"/>
    <col min="1812" max="1812" width="7" style="1" customWidth="1"/>
    <col min="1813" max="1813" width="5.109375" style="1" customWidth="1"/>
    <col min="1814" max="2048" width="8.88671875" style="1"/>
    <col min="2049" max="2049" width="3.88671875" style="1" customWidth="1"/>
    <col min="2050" max="2050" width="13.109375" style="1" customWidth="1"/>
    <col min="2051" max="2051" width="7" style="1" customWidth="1"/>
    <col min="2052" max="2052" width="6.33203125" style="1" customWidth="1"/>
    <col min="2053" max="2053" width="7.33203125" style="1" customWidth="1"/>
    <col min="2054" max="2054" width="6.5546875" style="1" customWidth="1"/>
    <col min="2055" max="2055" width="8.88671875" style="1"/>
    <col min="2056" max="2056" width="4.44140625" style="1" customWidth="1"/>
    <col min="2057" max="2057" width="5.33203125" style="1" customWidth="1"/>
    <col min="2058" max="2058" width="5.44140625" style="1" customWidth="1"/>
    <col min="2059" max="2059" width="6.109375" style="1" customWidth="1"/>
    <col min="2060" max="2060" width="5.44140625" style="1" customWidth="1"/>
    <col min="2061" max="2062" width="6.109375" style="1" customWidth="1"/>
    <col min="2063" max="2063" width="6" style="1" customWidth="1"/>
    <col min="2064" max="2064" width="6.5546875" style="1" customWidth="1"/>
    <col min="2065" max="2065" width="6" style="1" customWidth="1"/>
    <col min="2066" max="2066" width="7.33203125" style="1" customWidth="1"/>
    <col min="2067" max="2067" width="7.88671875" style="1" customWidth="1"/>
    <col min="2068" max="2068" width="7" style="1" customWidth="1"/>
    <col min="2069" max="2069" width="5.109375" style="1" customWidth="1"/>
    <col min="2070" max="2304" width="8.88671875" style="1"/>
    <col min="2305" max="2305" width="3.88671875" style="1" customWidth="1"/>
    <col min="2306" max="2306" width="13.109375" style="1" customWidth="1"/>
    <col min="2307" max="2307" width="7" style="1" customWidth="1"/>
    <col min="2308" max="2308" width="6.33203125" style="1" customWidth="1"/>
    <col min="2309" max="2309" width="7.33203125" style="1" customWidth="1"/>
    <col min="2310" max="2310" width="6.5546875" style="1" customWidth="1"/>
    <col min="2311" max="2311" width="8.88671875" style="1"/>
    <col min="2312" max="2312" width="4.44140625" style="1" customWidth="1"/>
    <col min="2313" max="2313" width="5.33203125" style="1" customWidth="1"/>
    <col min="2314" max="2314" width="5.44140625" style="1" customWidth="1"/>
    <col min="2315" max="2315" width="6.109375" style="1" customWidth="1"/>
    <col min="2316" max="2316" width="5.44140625" style="1" customWidth="1"/>
    <col min="2317" max="2318" width="6.109375" style="1" customWidth="1"/>
    <col min="2319" max="2319" width="6" style="1" customWidth="1"/>
    <col min="2320" max="2320" width="6.5546875" style="1" customWidth="1"/>
    <col min="2321" max="2321" width="6" style="1" customWidth="1"/>
    <col min="2322" max="2322" width="7.33203125" style="1" customWidth="1"/>
    <col min="2323" max="2323" width="7.88671875" style="1" customWidth="1"/>
    <col min="2324" max="2324" width="7" style="1" customWidth="1"/>
    <col min="2325" max="2325" width="5.109375" style="1" customWidth="1"/>
    <col min="2326" max="2560" width="8.88671875" style="1"/>
    <col min="2561" max="2561" width="3.88671875" style="1" customWidth="1"/>
    <col min="2562" max="2562" width="13.109375" style="1" customWidth="1"/>
    <col min="2563" max="2563" width="7" style="1" customWidth="1"/>
    <col min="2564" max="2564" width="6.33203125" style="1" customWidth="1"/>
    <col min="2565" max="2565" width="7.33203125" style="1" customWidth="1"/>
    <col min="2566" max="2566" width="6.5546875" style="1" customWidth="1"/>
    <col min="2567" max="2567" width="8.88671875" style="1"/>
    <col min="2568" max="2568" width="4.44140625" style="1" customWidth="1"/>
    <col min="2569" max="2569" width="5.33203125" style="1" customWidth="1"/>
    <col min="2570" max="2570" width="5.44140625" style="1" customWidth="1"/>
    <col min="2571" max="2571" width="6.109375" style="1" customWidth="1"/>
    <col min="2572" max="2572" width="5.44140625" style="1" customWidth="1"/>
    <col min="2573" max="2574" width="6.109375" style="1" customWidth="1"/>
    <col min="2575" max="2575" width="6" style="1" customWidth="1"/>
    <col min="2576" max="2576" width="6.5546875" style="1" customWidth="1"/>
    <col min="2577" max="2577" width="6" style="1" customWidth="1"/>
    <col min="2578" max="2578" width="7.33203125" style="1" customWidth="1"/>
    <col min="2579" max="2579" width="7.88671875" style="1" customWidth="1"/>
    <col min="2580" max="2580" width="7" style="1" customWidth="1"/>
    <col min="2581" max="2581" width="5.109375" style="1" customWidth="1"/>
    <col min="2582" max="2816" width="8.88671875" style="1"/>
    <col min="2817" max="2817" width="3.88671875" style="1" customWidth="1"/>
    <col min="2818" max="2818" width="13.109375" style="1" customWidth="1"/>
    <col min="2819" max="2819" width="7" style="1" customWidth="1"/>
    <col min="2820" max="2820" width="6.33203125" style="1" customWidth="1"/>
    <col min="2821" max="2821" width="7.33203125" style="1" customWidth="1"/>
    <col min="2822" max="2822" width="6.5546875" style="1" customWidth="1"/>
    <col min="2823" max="2823" width="8.88671875" style="1"/>
    <col min="2824" max="2824" width="4.44140625" style="1" customWidth="1"/>
    <col min="2825" max="2825" width="5.33203125" style="1" customWidth="1"/>
    <col min="2826" max="2826" width="5.44140625" style="1" customWidth="1"/>
    <col min="2827" max="2827" width="6.109375" style="1" customWidth="1"/>
    <col min="2828" max="2828" width="5.44140625" style="1" customWidth="1"/>
    <col min="2829" max="2830" width="6.109375" style="1" customWidth="1"/>
    <col min="2831" max="2831" width="6" style="1" customWidth="1"/>
    <col min="2832" max="2832" width="6.5546875" style="1" customWidth="1"/>
    <col min="2833" max="2833" width="6" style="1" customWidth="1"/>
    <col min="2834" max="2834" width="7.33203125" style="1" customWidth="1"/>
    <col min="2835" max="2835" width="7.88671875" style="1" customWidth="1"/>
    <col min="2836" max="2836" width="7" style="1" customWidth="1"/>
    <col min="2837" max="2837" width="5.109375" style="1" customWidth="1"/>
    <col min="2838" max="3072" width="8.88671875" style="1"/>
    <col min="3073" max="3073" width="3.88671875" style="1" customWidth="1"/>
    <col min="3074" max="3074" width="13.109375" style="1" customWidth="1"/>
    <col min="3075" max="3075" width="7" style="1" customWidth="1"/>
    <col min="3076" max="3076" width="6.33203125" style="1" customWidth="1"/>
    <col min="3077" max="3077" width="7.33203125" style="1" customWidth="1"/>
    <col min="3078" max="3078" width="6.5546875" style="1" customWidth="1"/>
    <col min="3079" max="3079" width="8.88671875" style="1"/>
    <col min="3080" max="3080" width="4.44140625" style="1" customWidth="1"/>
    <col min="3081" max="3081" width="5.33203125" style="1" customWidth="1"/>
    <col min="3082" max="3082" width="5.44140625" style="1" customWidth="1"/>
    <col min="3083" max="3083" width="6.109375" style="1" customWidth="1"/>
    <col min="3084" max="3084" width="5.44140625" style="1" customWidth="1"/>
    <col min="3085" max="3086" width="6.109375" style="1" customWidth="1"/>
    <col min="3087" max="3087" width="6" style="1" customWidth="1"/>
    <col min="3088" max="3088" width="6.5546875" style="1" customWidth="1"/>
    <col min="3089" max="3089" width="6" style="1" customWidth="1"/>
    <col min="3090" max="3090" width="7.33203125" style="1" customWidth="1"/>
    <col min="3091" max="3091" width="7.88671875" style="1" customWidth="1"/>
    <col min="3092" max="3092" width="7" style="1" customWidth="1"/>
    <col min="3093" max="3093" width="5.109375" style="1" customWidth="1"/>
    <col min="3094" max="3328" width="8.88671875" style="1"/>
    <col min="3329" max="3329" width="3.88671875" style="1" customWidth="1"/>
    <col min="3330" max="3330" width="13.109375" style="1" customWidth="1"/>
    <col min="3331" max="3331" width="7" style="1" customWidth="1"/>
    <col min="3332" max="3332" width="6.33203125" style="1" customWidth="1"/>
    <col min="3333" max="3333" width="7.33203125" style="1" customWidth="1"/>
    <col min="3334" max="3334" width="6.5546875" style="1" customWidth="1"/>
    <col min="3335" max="3335" width="8.88671875" style="1"/>
    <col min="3336" max="3336" width="4.44140625" style="1" customWidth="1"/>
    <col min="3337" max="3337" width="5.33203125" style="1" customWidth="1"/>
    <col min="3338" max="3338" width="5.44140625" style="1" customWidth="1"/>
    <col min="3339" max="3339" width="6.109375" style="1" customWidth="1"/>
    <col min="3340" max="3340" width="5.44140625" style="1" customWidth="1"/>
    <col min="3341" max="3342" width="6.109375" style="1" customWidth="1"/>
    <col min="3343" max="3343" width="6" style="1" customWidth="1"/>
    <col min="3344" max="3344" width="6.5546875" style="1" customWidth="1"/>
    <col min="3345" max="3345" width="6" style="1" customWidth="1"/>
    <col min="3346" max="3346" width="7.33203125" style="1" customWidth="1"/>
    <col min="3347" max="3347" width="7.88671875" style="1" customWidth="1"/>
    <col min="3348" max="3348" width="7" style="1" customWidth="1"/>
    <col min="3349" max="3349" width="5.109375" style="1" customWidth="1"/>
    <col min="3350" max="3584" width="8.88671875" style="1"/>
    <col min="3585" max="3585" width="3.88671875" style="1" customWidth="1"/>
    <col min="3586" max="3586" width="13.109375" style="1" customWidth="1"/>
    <col min="3587" max="3587" width="7" style="1" customWidth="1"/>
    <col min="3588" max="3588" width="6.33203125" style="1" customWidth="1"/>
    <col min="3589" max="3589" width="7.33203125" style="1" customWidth="1"/>
    <col min="3590" max="3590" width="6.5546875" style="1" customWidth="1"/>
    <col min="3591" max="3591" width="8.88671875" style="1"/>
    <col min="3592" max="3592" width="4.44140625" style="1" customWidth="1"/>
    <col min="3593" max="3593" width="5.33203125" style="1" customWidth="1"/>
    <col min="3594" max="3594" width="5.44140625" style="1" customWidth="1"/>
    <col min="3595" max="3595" width="6.109375" style="1" customWidth="1"/>
    <col min="3596" max="3596" width="5.44140625" style="1" customWidth="1"/>
    <col min="3597" max="3598" width="6.109375" style="1" customWidth="1"/>
    <col min="3599" max="3599" width="6" style="1" customWidth="1"/>
    <col min="3600" max="3600" width="6.5546875" style="1" customWidth="1"/>
    <col min="3601" max="3601" width="6" style="1" customWidth="1"/>
    <col min="3602" max="3602" width="7.33203125" style="1" customWidth="1"/>
    <col min="3603" max="3603" width="7.88671875" style="1" customWidth="1"/>
    <col min="3604" max="3604" width="7" style="1" customWidth="1"/>
    <col min="3605" max="3605" width="5.109375" style="1" customWidth="1"/>
    <col min="3606" max="3840" width="8.88671875" style="1"/>
    <col min="3841" max="3841" width="3.88671875" style="1" customWidth="1"/>
    <col min="3842" max="3842" width="13.109375" style="1" customWidth="1"/>
    <col min="3843" max="3843" width="7" style="1" customWidth="1"/>
    <col min="3844" max="3844" width="6.33203125" style="1" customWidth="1"/>
    <col min="3845" max="3845" width="7.33203125" style="1" customWidth="1"/>
    <col min="3846" max="3846" width="6.5546875" style="1" customWidth="1"/>
    <col min="3847" max="3847" width="8.88671875" style="1"/>
    <col min="3848" max="3848" width="4.44140625" style="1" customWidth="1"/>
    <col min="3849" max="3849" width="5.33203125" style="1" customWidth="1"/>
    <col min="3850" max="3850" width="5.44140625" style="1" customWidth="1"/>
    <col min="3851" max="3851" width="6.109375" style="1" customWidth="1"/>
    <col min="3852" max="3852" width="5.44140625" style="1" customWidth="1"/>
    <col min="3853" max="3854" width="6.109375" style="1" customWidth="1"/>
    <col min="3855" max="3855" width="6" style="1" customWidth="1"/>
    <col min="3856" max="3856" width="6.5546875" style="1" customWidth="1"/>
    <col min="3857" max="3857" width="6" style="1" customWidth="1"/>
    <col min="3858" max="3858" width="7.33203125" style="1" customWidth="1"/>
    <col min="3859" max="3859" width="7.88671875" style="1" customWidth="1"/>
    <col min="3860" max="3860" width="7" style="1" customWidth="1"/>
    <col min="3861" max="3861" width="5.109375" style="1" customWidth="1"/>
    <col min="3862" max="4096" width="8.88671875" style="1"/>
    <col min="4097" max="4097" width="3.88671875" style="1" customWidth="1"/>
    <col min="4098" max="4098" width="13.109375" style="1" customWidth="1"/>
    <col min="4099" max="4099" width="7" style="1" customWidth="1"/>
    <col min="4100" max="4100" width="6.33203125" style="1" customWidth="1"/>
    <col min="4101" max="4101" width="7.33203125" style="1" customWidth="1"/>
    <col min="4102" max="4102" width="6.5546875" style="1" customWidth="1"/>
    <col min="4103" max="4103" width="8.88671875" style="1"/>
    <col min="4104" max="4104" width="4.44140625" style="1" customWidth="1"/>
    <col min="4105" max="4105" width="5.33203125" style="1" customWidth="1"/>
    <col min="4106" max="4106" width="5.44140625" style="1" customWidth="1"/>
    <col min="4107" max="4107" width="6.109375" style="1" customWidth="1"/>
    <col min="4108" max="4108" width="5.44140625" style="1" customWidth="1"/>
    <col min="4109" max="4110" width="6.109375" style="1" customWidth="1"/>
    <col min="4111" max="4111" width="6" style="1" customWidth="1"/>
    <col min="4112" max="4112" width="6.5546875" style="1" customWidth="1"/>
    <col min="4113" max="4113" width="6" style="1" customWidth="1"/>
    <col min="4114" max="4114" width="7.33203125" style="1" customWidth="1"/>
    <col min="4115" max="4115" width="7.88671875" style="1" customWidth="1"/>
    <col min="4116" max="4116" width="7" style="1" customWidth="1"/>
    <col min="4117" max="4117" width="5.109375" style="1" customWidth="1"/>
    <col min="4118" max="4352" width="8.88671875" style="1"/>
    <col min="4353" max="4353" width="3.88671875" style="1" customWidth="1"/>
    <col min="4354" max="4354" width="13.109375" style="1" customWidth="1"/>
    <col min="4355" max="4355" width="7" style="1" customWidth="1"/>
    <col min="4356" max="4356" width="6.33203125" style="1" customWidth="1"/>
    <col min="4357" max="4357" width="7.33203125" style="1" customWidth="1"/>
    <col min="4358" max="4358" width="6.5546875" style="1" customWidth="1"/>
    <col min="4359" max="4359" width="8.88671875" style="1"/>
    <col min="4360" max="4360" width="4.44140625" style="1" customWidth="1"/>
    <col min="4361" max="4361" width="5.33203125" style="1" customWidth="1"/>
    <col min="4362" max="4362" width="5.44140625" style="1" customWidth="1"/>
    <col min="4363" max="4363" width="6.109375" style="1" customWidth="1"/>
    <col min="4364" max="4364" width="5.44140625" style="1" customWidth="1"/>
    <col min="4365" max="4366" width="6.109375" style="1" customWidth="1"/>
    <col min="4367" max="4367" width="6" style="1" customWidth="1"/>
    <col min="4368" max="4368" width="6.5546875" style="1" customWidth="1"/>
    <col min="4369" max="4369" width="6" style="1" customWidth="1"/>
    <col min="4370" max="4370" width="7.33203125" style="1" customWidth="1"/>
    <col min="4371" max="4371" width="7.88671875" style="1" customWidth="1"/>
    <col min="4372" max="4372" width="7" style="1" customWidth="1"/>
    <col min="4373" max="4373" width="5.109375" style="1" customWidth="1"/>
    <col min="4374" max="4608" width="8.88671875" style="1"/>
    <col min="4609" max="4609" width="3.88671875" style="1" customWidth="1"/>
    <col min="4610" max="4610" width="13.109375" style="1" customWidth="1"/>
    <col min="4611" max="4611" width="7" style="1" customWidth="1"/>
    <col min="4612" max="4612" width="6.33203125" style="1" customWidth="1"/>
    <col min="4613" max="4613" width="7.33203125" style="1" customWidth="1"/>
    <col min="4614" max="4614" width="6.5546875" style="1" customWidth="1"/>
    <col min="4615" max="4615" width="8.88671875" style="1"/>
    <col min="4616" max="4616" width="4.44140625" style="1" customWidth="1"/>
    <col min="4617" max="4617" width="5.33203125" style="1" customWidth="1"/>
    <col min="4618" max="4618" width="5.44140625" style="1" customWidth="1"/>
    <col min="4619" max="4619" width="6.109375" style="1" customWidth="1"/>
    <col min="4620" max="4620" width="5.44140625" style="1" customWidth="1"/>
    <col min="4621" max="4622" width="6.109375" style="1" customWidth="1"/>
    <col min="4623" max="4623" width="6" style="1" customWidth="1"/>
    <col min="4624" max="4624" width="6.5546875" style="1" customWidth="1"/>
    <col min="4625" max="4625" width="6" style="1" customWidth="1"/>
    <col min="4626" max="4626" width="7.33203125" style="1" customWidth="1"/>
    <col min="4627" max="4627" width="7.88671875" style="1" customWidth="1"/>
    <col min="4628" max="4628" width="7" style="1" customWidth="1"/>
    <col min="4629" max="4629" width="5.109375" style="1" customWidth="1"/>
    <col min="4630" max="4864" width="8.88671875" style="1"/>
    <col min="4865" max="4865" width="3.88671875" style="1" customWidth="1"/>
    <col min="4866" max="4866" width="13.109375" style="1" customWidth="1"/>
    <col min="4867" max="4867" width="7" style="1" customWidth="1"/>
    <col min="4868" max="4868" width="6.33203125" style="1" customWidth="1"/>
    <col min="4869" max="4869" width="7.33203125" style="1" customWidth="1"/>
    <col min="4870" max="4870" width="6.5546875" style="1" customWidth="1"/>
    <col min="4871" max="4871" width="8.88671875" style="1"/>
    <col min="4872" max="4872" width="4.44140625" style="1" customWidth="1"/>
    <col min="4873" max="4873" width="5.33203125" style="1" customWidth="1"/>
    <col min="4874" max="4874" width="5.44140625" style="1" customWidth="1"/>
    <col min="4875" max="4875" width="6.109375" style="1" customWidth="1"/>
    <col min="4876" max="4876" width="5.44140625" style="1" customWidth="1"/>
    <col min="4877" max="4878" width="6.109375" style="1" customWidth="1"/>
    <col min="4879" max="4879" width="6" style="1" customWidth="1"/>
    <col min="4880" max="4880" width="6.5546875" style="1" customWidth="1"/>
    <col min="4881" max="4881" width="6" style="1" customWidth="1"/>
    <col min="4882" max="4882" width="7.33203125" style="1" customWidth="1"/>
    <col min="4883" max="4883" width="7.88671875" style="1" customWidth="1"/>
    <col min="4884" max="4884" width="7" style="1" customWidth="1"/>
    <col min="4885" max="4885" width="5.109375" style="1" customWidth="1"/>
    <col min="4886" max="5120" width="8.88671875" style="1"/>
    <col min="5121" max="5121" width="3.88671875" style="1" customWidth="1"/>
    <col min="5122" max="5122" width="13.109375" style="1" customWidth="1"/>
    <col min="5123" max="5123" width="7" style="1" customWidth="1"/>
    <col min="5124" max="5124" width="6.33203125" style="1" customWidth="1"/>
    <col min="5125" max="5125" width="7.33203125" style="1" customWidth="1"/>
    <col min="5126" max="5126" width="6.5546875" style="1" customWidth="1"/>
    <col min="5127" max="5127" width="8.88671875" style="1"/>
    <col min="5128" max="5128" width="4.44140625" style="1" customWidth="1"/>
    <col min="5129" max="5129" width="5.33203125" style="1" customWidth="1"/>
    <col min="5130" max="5130" width="5.44140625" style="1" customWidth="1"/>
    <col min="5131" max="5131" width="6.109375" style="1" customWidth="1"/>
    <col min="5132" max="5132" width="5.44140625" style="1" customWidth="1"/>
    <col min="5133" max="5134" width="6.109375" style="1" customWidth="1"/>
    <col min="5135" max="5135" width="6" style="1" customWidth="1"/>
    <col min="5136" max="5136" width="6.5546875" style="1" customWidth="1"/>
    <col min="5137" max="5137" width="6" style="1" customWidth="1"/>
    <col min="5138" max="5138" width="7.33203125" style="1" customWidth="1"/>
    <col min="5139" max="5139" width="7.88671875" style="1" customWidth="1"/>
    <col min="5140" max="5140" width="7" style="1" customWidth="1"/>
    <col min="5141" max="5141" width="5.109375" style="1" customWidth="1"/>
    <col min="5142" max="5376" width="8.88671875" style="1"/>
    <col min="5377" max="5377" width="3.88671875" style="1" customWidth="1"/>
    <col min="5378" max="5378" width="13.109375" style="1" customWidth="1"/>
    <col min="5379" max="5379" width="7" style="1" customWidth="1"/>
    <col min="5380" max="5380" width="6.33203125" style="1" customWidth="1"/>
    <col min="5381" max="5381" width="7.33203125" style="1" customWidth="1"/>
    <col min="5382" max="5382" width="6.5546875" style="1" customWidth="1"/>
    <col min="5383" max="5383" width="8.88671875" style="1"/>
    <col min="5384" max="5384" width="4.44140625" style="1" customWidth="1"/>
    <col min="5385" max="5385" width="5.33203125" style="1" customWidth="1"/>
    <col min="5386" max="5386" width="5.44140625" style="1" customWidth="1"/>
    <col min="5387" max="5387" width="6.109375" style="1" customWidth="1"/>
    <col min="5388" max="5388" width="5.44140625" style="1" customWidth="1"/>
    <col min="5389" max="5390" width="6.109375" style="1" customWidth="1"/>
    <col min="5391" max="5391" width="6" style="1" customWidth="1"/>
    <col min="5392" max="5392" width="6.5546875" style="1" customWidth="1"/>
    <col min="5393" max="5393" width="6" style="1" customWidth="1"/>
    <col min="5394" max="5394" width="7.33203125" style="1" customWidth="1"/>
    <col min="5395" max="5395" width="7.88671875" style="1" customWidth="1"/>
    <col min="5396" max="5396" width="7" style="1" customWidth="1"/>
    <col min="5397" max="5397" width="5.109375" style="1" customWidth="1"/>
    <col min="5398" max="5632" width="8.88671875" style="1"/>
    <col min="5633" max="5633" width="3.88671875" style="1" customWidth="1"/>
    <col min="5634" max="5634" width="13.109375" style="1" customWidth="1"/>
    <col min="5635" max="5635" width="7" style="1" customWidth="1"/>
    <col min="5636" max="5636" width="6.33203125" style="1" customWidth="1"/>
    <col min="5637" max="5637" width="7.33203125" style="1" customWidth="1"/>
    <col min="5638" max="5638" width="6.5546875" style="1" customWidth="1"/>
    <col min="5639" max="5639" width="8.88671875" style="1"/>
    <col min="5640" max="5640" width="4.44140625" style="1" customWidth="1"/>
    <col min="5641" max="5641" width="5.33203125" style="1" customWidth="1"/>
    <col min="5642" max="5642" width="5.44140625" style="1" customWidth="1"/>
    <col min="5643" max="5643" width="6.109375" style="1" customWidth="1"/>
    <col min="5644" max="5644" width="5.44140625" style="1" customWidth="1"/>
    <col min="5645" max="5646" width="6.109375" style="1" customWidth="1"/>
    <col min="5647" max="5647" width="6" style="1" customWidth="1"/>
    <col min="5648" max="5648" width="6.5546875" style="1" customWidth="1"/>
    <col min="5649" max="5649" width="6" style="1" customWidth="1"/>
    <col min="5650" max="5650" width="7.33203125" style="1" customWidth="1"/>
    <col min="5651" max="5651" width="7.88671875" style="1" customWidth="1"/>
    <col min="5652" max="5652" width="7" style="1" customWidth="1"/>
    <col min="5653" max="5653" width="5.109375" style="1" customWidth="1"/>
    <col min="5654" max="5888" width="8.88671875" style="1"/>
    <col min="5889" max="5889" width="3.88671875" style="1" customWidth="1"/>
    <col min="5890" max="5890" width="13.109375" style="1" customWidth="1"/>
    <col min="5891" max="5891" width="7" style="1" customWidth="1"/>
    <col min="5892" max="5892" width="6.33203125" style="1" customWidth="1"/>
    <col min="5893" max="5893" width="7.33203125" style="1" customWidth="1"/>
    <col min="5894" max="5894" width="6.5546875" style="1" customWidth="1"/>
    <col min="5895" max="5895" width="8.88671875" style="1"/>
    <col min="5896" max="5896" width="4.44140625" style="1" customWidth="1"/>
    <col min="5897" max="5897" width="5.33203125" style="1" customWidth="1"/>
    <col min="5898" max="5898" width="5.44140625" style="1" customWidth="1"/>
    <col min="5899" max="5899" width="6.109375" style="1" customWidth="1"/>
    <col min="5900" max="5900" width="5.44140625" style="1" customWidth="1"/>
    <col min="5901" max="5902" width="6.109375" style="1" customWidth="1"/>
    <col min="5903" max="5903" width="6" style="1" customWidth="1"/>
    <col min="5904" max="5904" width="6.5546875" style="1" customWidth="1"/>
    <col min="5905" max="5905" width="6" style="1" customWidth="1"/>
    <col min="5906" max="5906" width="7.33203125" style="1" customWidth="1"/>
    <col min="5907" max="5907" width="7.88671875" style="1" customWidth="1"/>
    <col min="5908" max="5908" width="7" style="1" customWidth="1"/>
    <col min="5909" max="5909" width="5.109375" style="1" customWidth="1"/>
    <col min="5910" max="6144" width="8.88671875" style="1"/>
    <col min="6145" max="6145" width="3.88671875" style="1" customWidth="1"/>
    <col min="6146" max="6146" width="13.109375" style="1" customWidth="1"/>
    <col min="6147" max="6147" width="7" style="1" customWidth="1"/>
    <col min="6148" max="6148" width="6.33203125" style="1" customWidth="1"/>
    <col min="6149" max="6149" width="7.33203125" style="1" customWidth="1"/>
    <col min="6150" max="6150" width="6.5546875" style="1" customWidth="1"/>
    <col min="6151" max="6151" width="8.88671875" style="1"/>
    <col min="6152" max="6152" width="4.44140625" style="1" customWidth="1"/>
    <col min="6153" max="6153" width="5.33203125" style="1" customWidth="1"/>
    <col min="6154" max="6154" width="5.44140625" style="1" customWidth="1"/>
    <col min="6155" max="6155" width="6.109375" style="1" customWidth="1"/>
    <col min="6156" max="6156" width="5.44140625" style="1" customWidth="1"/>
    <col min="6157" max="6158" width="6.109375" style="1" customWidth="1"/>
    <col min="6159" max="6159" width="6" style="1" customWidth="1"/>
    <col min="6160" max="6160" width="6.5546875" style="1" customWidth="1"/>
    <col min="6161" max="6161" width="6" style="1" customWidth="1"/>
    <col min="6162" max="6162" width="7.33203125" style="1" customWidth="1"/>
    <col min="6163" max="6163" width="7.88671875" style="1" customWidth="1"/>
    <col min="6164" max="6164" width="7" style="1" customWidth="1"/>
    <col min="6165" max="6165" width="5.109375" style="1" customWidth="1"/>
    <col min="6166" max="6400" width="8.88671875" style="1"/>
    <col min="6401" max="6401" width="3.88671875" style="1" customWidth="1"/>
    <col min="6402" max="6402" width="13.109375" style="1" customWidth="1"/>
    <col min="6403" max="6403" width="7" style="1" customWidth="1"/>
    <col min="6404" max="6404" width="6.33203125" style="1" customWidth="1"/>
    <col min="6405" max="6405" width="7.33203125" style="1" customWidth="1"/>
    <col min="6406" max="6406" width="6.5546875" style="1" customWidth="1"/>
    <col min="6407" max="6407" width="8.88671875" style="1"/>
    <col min="6408" max="6408" width="4.44140625" style="1" customWidth="1"/>
    <col min="6409" max="6409" width="5.33203125" style="1" customWidth="1"/>
    <col min="6410" max="6410" width="5.44140625" style="1" customWidth="1"/>
    <col min="6411" max="6411" width="6.109375" style="1" customWidth="1"/>
    <col min="6412" max="6412" width="5.44140625" style="1" customWidth="1"/>
    <col min="6413" max="6414" width="6.109375" style="1" customWidth="1"/>
    <col min="6415" max="6415" width="6" style="1" customWidth="1"/>
    <col min="6416" max="6416" width="6.5546875" style="1" customWidth="1"/>
    <col min="6417" max="6417" width="6" style="1" customWidth="1"/>
    <col min="6418" max="6418" width="7.33203125" style="1" customWidth="1"/>
    <col min="6419" max="6419" width="7.88671875" style="1" customWidth="1"/>
    <col min="6420" max="6420" width="7" style="1" customWidth="1"/>
    <col min="6421" max="6421" width="5.109375" style="1" customWidth="1"/>
    <col min="6422" max="6656" width="8.88671875" style="1"/>
    <col min="6657" max="6657" width="3.88671875" style="1" customWidth="1"/>
    <col min="6658" max="6658" width="13.109375" style="1" customWidth="1"/>
    <col min="6659" max="6659" width="7" style="1" customWidth="1"/>
    <col min="6660" max="6660" width="6.33203125" style="1" customWidth="1"/>
    <col min="6661" max="6661" width="7.33203125" style="1" customWidth="1"/>
    <col min="6662" max="6662" width="6.5546875" style="1" customWidth="1"/>
    <col min="6663" max="6663" width="8.88671875" style="1"/>
    <col min="6664" max="6664" width="4.44140625" style="1" customWidth="1"/>
    <col min="6665" max="6665" width="5.33203125" style="1" customWidth="1"/>
    <col min="6666" max="6666" width="5.44140625" style="1" customWidth="1"/>
    <col min="6667" max="6667" width="6.109375" style="1" customWidth="1"/>
    <col min="6668" max="6668" width="5.44140625" style="1" customWidth="1"/>
    <col min="6669" max="6670" width="6.109375" style="1" customWidth="1"/>
    <col min="6671" max="6671" width="6" style="1" customWidth="1"/>
    <col min="6672" max="6672" width="6.5546875" style="1" customWidth="1"/>
    <col min="6673" max="6673" width="6" style="1" customWidth="1"/>
    <col min="6674" max="6674" width="7.33203125" style="1" customWidth="1"/>
    <col min="6675" max="6675" width="7.88671875" style="1" customWidth="1"/>
    <col min="6676" max="6676" width="7" style="1" customWidth="1"/>
    <col min="6677" max="6677" width="5.109375" style="1" customWidth="1"/>
    <col min="6678" max="6912" width="8.88671875" style="1"/>
    <col min="6913" max="6913" width="3.88671875" style="1" customWidth="1"/>
    <col min="6914" max="6914" width="13.109375" style="1" customWidth="1"/>
    <col min="6915" max="6915" width="7" style="1" customWidth="1"/>
    <col min="6916" max="6916" width="6.33203125" style="1" customWidth="1"/>
    <col min="6917" max="6917" width="7.33203125" style="1" customWidth="1"/>
    <col min="6918" max="6918" width="6.5546875" style="1" customWidth="1"/>
    <col min="6919" max="6919" width="8.88671875" style="1"/>
    <col min="6920" max="6920" width="4.44140625" style="1" customWidth="1"/>
    <col min="6921" max="6921" width="5.33203125" style="1" customWidth="1"/>
    <col min="6922" max="6922" width="5.44140625" style="1" customWidth="1"/>
    <col min="6923" max="6923" width="6.109375" style="1" customWidth="1"/>
    <col min="6924" max="6924" width="5.44140625" style="1" customWidth="1"/>
    <col min="6925" max="6926" width="6.109375" style="1" customWidth="1"/>
    <col min="6927" max="6927" width="6" style="1" customWidth="1"/>
    <col min="6928" max="6928" width="6.5546875" style="1" customWidth="1"/>
    <col min="6929" max="6929" width="6" style="1" customWidth="1"/>
    <col min="6930" max="6930" width="7.33203125" style="1" customWidth="1"/>
    <col min="6931" max="6931" width="7.88671875" style="1" customWidth="1"/>
    <col min="6932" max="6932" width="7" style="1" customWidth="1"/>
    <col min="6933" max="6933" width="5.109375" style="1" customWidth="1"/>
    <col min="6934" max="7168" width="8.88671875" style="1"/>
    <col min="7169" max="7169" width="3.88671875" style="1" customWidth="1"/>
    <col min="7170" max="7170" width="13.109375" style="1" customWidth="1"/>
    <col min="7171" max="7171" width="7" style="1" customWidth="1"/>
    <col min="7172" max="7172" width="6.33203125" style="1" customWidth="1"/>
    <col min="7173" max="7173" width="7.33203125" style="1" customWidth="1"/>
    <col min="7174" max="7174" width="6.5546875" style="1" customWidth="1"/>
    <col min="7175" max="7175" width="8.88671875" style="1"/>
    <col min="7176" max="7176" width="4.44140625" style="1" customWidth="1"/>
    <col min="7177" max="7177" width="5.33203125" style="1" customWidth="1"/>
    <col min="7178" max="7178" width="5.44140625" style="1" customWidth="1"/>
    <col min="7179" max="7179" width="6.109375" style="1" customWidth="1"/>
    <col min="7180" max="7180" width="5.44140625" style="1" customWidth="1"/>
    <col min="7181" max="7182" width="6.109375" style="1" customWidth="1"/>
    <col min="7183" max="7183" width="6" style="1" customWidth="1"/>
    <col min="7184" max="7184" width="6.5546875" style="1" customWidth="1"/>
    <col min="7185" max="7185" width="6" style="1" customWidth="1"/>
    <col min="7186" max="7186" width="7.33203125" style="1" customWidth="1"/>
    <col min="7187" max="7187" width="7.88671875" style="1" customWidth="1"/>
    <col min="7188" max="7188" width="7" style="1" customWidth="1"/>
    <col min="7189" max="7189" width="5.109375" style="1" customWidth="1"/>
    <col min="7190" max="7424" width="8.88671875" style="1"/>
    <col min="7425" max="7425" width="3.88671875" style="1" customWidth="1"/>
    <col min="7426" max="7426" width="13.109375" style="1" customWidth="1"/>
    <col min="7427" max="7427" width="7" style="1" customWidth="1"/>
    <col min="7428" max="7428" width="6.33203125" style="1" customWidth="1"/>
    <col min="7429" max="7429" width="7.33203125" style="1" customWidth="1"/>
    <col min="7430" max="7430" width="6.5546875" style="1" customWidth="1"/>
    <col min="7431" max="7431" width="8.88671875" style="1"/>
    <col min="7432" max="7432" width="4.44140625" style="1" customWidth="1"/>
    <col min="7433" max="7433" width="5.33203125" style="1" customWidth="1"/>
    <col min="7434" max="7434" width="5.44140625" style="1" customWidth="1"/>
    <col min="7435" max="7435" width="6.109375" style="1" customWidth="1"/>
    <col min="7436" max="7436" width="5.44140625" style="1" customWidth="1"/>
    <col min="7437" max="7438" width="6.109375" style="1" customWidth="1"/>
    <col min="7439" max="7439" width="6" style="1" customWidth="1"/>
    <col min="7440" max="7440" width="6.5546875" style="1" customWidth="1"/>
    <col min="7441" max="7441" width="6" style="1" customWidth="1"/>
    <col min="7442" max="7442" width="7.33203125" style="1" customWidth="1"/>
    <col min="7443" max="7443" width="7.88671875" style="1" customWidth="1"/>
    <col min="7444" max="7444" width="7" style="1" customWidth="1"/>
    <col min="7445" max="7445" width="5.109375" style="1" customWidth="1"/>
    <col min="7446" max="7680" width="8.88671875" style="1"/>
    <col min="7681" max="7681" width="3.88671875" style="1" customWidth="1"/>
    <col min="7682" max="7682" width="13.109375" style="1" customWidth="1"/>
    <col min="7683" max="7683" width="7" style="1" customWidth="1"/>
    <col min="7684" max="7684" width="6.33203125" style="1" customWidth="1"/>
    <col min="7685" max="7685" width="7.33203125" style="1" customWidth="1"/>
    <col min="7686" max="7686" width="6.5546875" style="1" customWidth="1"/>
    <col min="7687" max="7687" width="8.88671875" style="1"/>
    <col min="7688" max="7688" width="4.44140625" style="1" customWidth="1"/>
    <col min="7689" max="7689" width="5.33203125" style="1" customWidth="1"/>
    <col min="7690" max="7690" width="5.44140625" style="1" customWidth="1"/>
    <col min="7691" max="7691" width="6.109375" style="1" customWidth="1"/>
    <col min="7692" max="7692" width="5.44140625" style="1" customWidth="1"/>
    <col min="7693" max="7694" width="6.109375" style="1" customWidth="1"/>
    <col min="7695" max="7695" width="6" style="1" customWidth="1"/>
    <col min="7696" max="7696" width="6.5546875" style="1" customWidth="1"/>
    <col min="7697" max="7697" width="6" style="1" customWidth="1"/>
    <col min="7698" max="7698" width="7.33203125" style="1" customWidth="1"/>
    <col min="7699" max="7699" width="7.88671875" style="1" customWidth="1"/>
    <col min="7700" max="7700" width="7" style="1" customWidth="1"/>
    <col min="7701" max="7701" width="5.109375" style="1" customWidth="1"/>
    <col min="7702" max="7936" width="8.88671875" style="1"/>
    <col min="7937" max="7937" width="3.88671875" style="1" customWidth="1"/>
    <col min="7938" max="7938" width="13.109375" style="1" customWidth="1"/>
    <col min="7939" max="7939" width="7" style="1" customWidth="1"/>
    <col min="7940" max="7940" width="6.33203125" style="1" customWidth="1"/>
    <col min="7941" max="7941" width="7.33203125" style="1" customWidth="1"/>
    <col min="7942" max="7942" width="6.5546875" style="1" customWidth="1"/>
    <col min="7943" max="7943" width="8.88671875" style="1"/>
    <col min="7944" max="7944" width="4.44140625" style="1" customWidth="1"/>
    <col min="7945" max="7945" width="5.33203125" style="1" customWidth="1"/>
    <col min="7946" max="7946" width="5.44140625" style="1" customWidth="1"/>
    <col min="7947" max="7947" width="6.109375" style="1" customWidth="1"/>
    <col min="7948" max="7948" width="5.44140625" style="1" customWidth="1"/>
    <col min="7949" max="7950" width="6.109375" style="1" customWidth="1"/>
    <col min="7951" max="7951" width="6" style="1" customWidth="1"/>
    <col min="7952" max="7952" width="6.5546875" style="1" customWidth="1"/>
    <col min="7953" max="7953" width="6" style="1" customWidth="1"/>
    <col min="7954" max="7954" width="7.33203125" style="1" customWidth="1"/>
    <col min="7955" max="7955" width="7.88671875" style="1" customWidth="1"/>
    <col min="7956" max="7956" width="7" style="1" customWidth="1"/>
    <col min="7957" max="7957" width="5.109375" style="1" customWidth="1"/>
    <col min="7958" max="8192" width="8.88671875" style="1"/>
    <col min="8193" max="8193" width="3.88671875" style="1" customWidth="1"/>
    <col min="8194" max="8194" width="13.109375" style="1" customWidth="1"/>
    <col min="8195" max="8195" width="7" style="1" customWidth="1"/>
    <col min="8196" max="8196" width="6.33203125" style="1" customWidth="1"/>
    <col min="8197" max="8197" width="7.33203125" style="1" customWidth="1"/>
    <col min="8198" max="8198" width="6.5546875" style="1" customWidth="1"/>
    <col min="8199" max="8199" width="8.88671875" style="1"/>
    <col min="8200" max="8200" width="4.44140625" style="1" customWidth="1"/>
    <col min="8201" max="8201" width="5.33203125" style="1" customWidth="1"/>
    <col min="8202" max="8202" width="5.44140625" style="1" customWidth="1"/>
    <col min="8203" max="8203" width="6.109375" style="1" customWidth="1"/>
    <col min="8204" max="8204" width="5.44140625" style="1" customWidth="1"/>
    <col min="8205" max="8206" width="6.109375" style="1" customWidth="1"/>
    <col min="8207" max="8207" width="6" style="1" customWidth="1"/>
    <col min="8208" max="8208" width="6.5546875" style="1" customWidth="1"/>
    <col min="8209" max="8209" width="6" style="1" customWidth="1"/>
    <col min="8210" max="8210" width="7.33203125" style="1" customWidth="1"/>
    <col min="8211" max="8211" width="7.88671875" style="1" customWidth="1"/>
    <col min="8212" max="8212" width="7" style="1" customWidth="1"/>
    <col min="8213" max="8213" width="5.109375" style="1" customWidth="1"/>
    <col min="8214" max="8448" width="8.88671875" style="1"/>
    <col min="8449" max="8449" width="3.88671875" style="1" customWidth="1"/>
    <col min="8450" max="8450" width="13.109375" style="1" customWidth="1"/>
    <col min="8451" max="8451" width="7" style="1" customWidth="1"/>
    <col min="8452" max="8452" width="6.33203125" style="1" customWidth="1"/>
    <col min="8453" max="8453" width="7.33203125" style="1" customWidth="1"/>
    <col min="8454" max="8454" width="6.5546875" style="1" customWidth="1"/>
    <col min="8455" max="8455" width="8.88671875" style="1"/>
    <col min="8456" max="8456" width="4.44140625" style="1" customWidth="1"/>
    <col min="8457" max="8457" width="5.33203125" style="1" customWidth="1"/>
    <col min="8458" max="8458" width="5.44140625" style="1" customWidth="1"/>
    <col min="8459" max="8459" width="6.109375" style="1" customWidth="1"/>
    <col min="8460" max="8460" width="5.44140625" style="1" customWidth="1"/>
    <col min="8461" max="8462" width="6.109375" style="1" customWidth="1"/>
    <col min="8463" max="8463" width="6" style="1" customWidth="1"/>
    <col min="8464" max="8464" width="6.5546875" style="1" customWidth="1"/>
    <col min="8465" max="8465" width="6" style="1" customWidth="1"/>
    <col min="8466" max="8466" width="7.33203125" style="1" customWidth="1"/>
    <col min="8467" max="8467" width="7.88671875" style="1" customWidth="1"/>
    <col min="8468" max="8468" width="7" style="1" customWidth="1"/>
    <col min="8469" max="8469" width="5.109375" style="1" customWidth="1"/>
    <col min="8470" max="8704" width="8.88671875" style="1"/>
    <col min="8705" max="8705" width="3.88671875" style="1" customWidth="1"/>
    <col min="8706" max="8706" width="13.109375" style="1" customWidth="1"/>
    <col min="8707" max="8707" width="7" style="1" customWidth="1"/>
    <col min="8708" max="8708" width="6.33203125" style="1" customWidth="1"/>
    <col min="8709" max="8709" width="7.33203125" style="1" customWidth="1"/>
    <col min="8710" max="8710" width="6.5546875" style="1" customWidth="1"/>
    <col min="8711" max="8711" width="8.88671875" style="1"/>
    <col min="8712" max="8712" width="4.44140625" style="1" customWidth="1"/>
    <col min="8713" max="8713" width="5.33203125" style="1" customWidth="1"/>
    <col min="8714" max="8714" width="5.44140625" style="1" customWidth="1"/>
    <col min="8715" max="8715" width="6.109375" style="1" customWidth="1"/>
    <col min="8716" max="8716" width="5.44140625" style="1" customWidth="1"/>
    <col min="8717" max="8718" width="6.109375" style="1" customWidth="1"/>
    <col min="8719" max="8719" width="6" style="1" customWidth="1"/>
    <col min="8720" max="8720" width="6.5546875" style="1" customWidth="1"/>
    <col min="8721" max="8721" width="6" style="1" customWidth="1"/>
    <col min="8722" max="8722" width="7.33203125" style="1" customWidth="1"/>
    <col min="8723" max="8723" width="7.88671875" style="1" customWidth="1"/>
    <col min="8724" max="8724" width="7" style="1" customWidth="1"/>
    <col min="8725" max="8725" width="5.109375" style="1" customWidth="1"/>
    <col min="8726" max="8960" width="8.88671875" style="1"/>
    <col min="8961" max="8961" width="3.88671875" style="1" customWidth="1"/>
    <col min="8962" max="8962" width="13.109375" style="1" customWidth="1"/>
    <col min="8963" max="8963" width="7" style="1" customWidth="1"/>
    <col min="8964" max="8964" width="6.33203125" style="1" customWidth="1"/>
    <col min="8965" max="8965" width="7.33203125" style="1" customWidth="1"/>
    <col min="8966" max="8966" width="6.5546875" style="1" customWidth="1"/>
    <col min="8967" max="8967" width="8.88671875" style="1"/>
    <col min="8968" max="8968" width="4.44140625" style="1" customWidth="1"/>
    <col min="8969" max="8969" width="5.33203125" style="1" customWidth="1"/>
    <col min="8970" max="8970" width="5.44140625" style="1" customWidth="1"/>
    <col min="8971" max="8971" width="6.109375" style="1" customWidth="1"/>
    <col min="8972" max="8972" width="5.44140625" style="1" customWidth="1"/>
    <col min="8973" max="8974" width="6.109375" style="1" customWidth="1"/>
    <col min="8975" max="8975" width="6" style="1" customWidth="1"/>
    <col min="8976" max="8976" width="6.5546875" style="1" customWidth="1"/>
    <col min="8977" max="8977" width="6" style="1" customWidth="1"/>
    <col min="8978" max="8978" width="7.33203125" style="1" customWidth="1"/>
    <col min="8979" max="8979" width="7.88671875" style="1" customWidth="1"/>
    <col min="8980" max="8980" width="7" style="1" customWidth="1"/>
    <col min="8981" max="8981" width="5.109375" style="1" customWidth="1"/>
    <col min="8982" max="9216" width="8.88671875" style="1"/>
    <col min="9217" max="9217" width="3.88671875" style="1" customWidth="1"/>
    <col min="9218" max="9218" width="13.109375" style="1" customWidth="1"/>
    <col min="9219" max="9219" width="7" style="1" customWidth="1"/>
    <col min="9220" max="9220" width="6.33203125" style="1" customWidth="1"/>
    <col min="9221" max="9221" width="7.33203125" style="1" customWidth="1"/>
    <col min="9222" max="9222" width="6.5546875" style="1" customWidth="1"/>
    <col min="9223" max="9223" width="8.88671875" style="1"/>
    <col min="9224" max="9224" width="4.44140625" style="1" customWidth="1"/>
    <col min="9225" max="9225" width="5.33203125" style="1" customWidth="1"/>
    <col min="9226" max="9226" width="5.44140625" style="1" customWidth="1"/>
    <col min="9227" max="9227" width="6.109375" style="1" customWidth="1"/>
    <col min="9228" max="9228" width="5.44140625" style="1" customWidth="1"/>
    <col min="9229" max="9230" width="6.109375" style="1" customWidth="1"/>
    <col min="9231" max="9231" width="6" style="1" customWidth="1"/>
    <col min="9232" max="9232" width="6.5546875" style="1" customWidth="1"/>
    <col min="9233" max="9233" width="6" style="1" customWidth="1"/>
    <col min="9234" max="9234" width="7.33203125" style="1" customWidth="1"/>
    <col min="9235" max="9235" width="7.88671875" style="1" customWidth="1"/>
    <col min="9236" max="9236" width="7" style="1" customWidth="1"/>
    <col min="9237" max="9237" width="5.109375" style="1" customWidth="1"/>
    <col min="9238" max="9472" width="8.88671875" style="1"/>
    <col min="9473" max="9473" width="3.88671875" style="1" customWidth="1"/>
    <col min="9474" max="9474" width="13.109375" style="1" customWidth="1"/>
    <col min="9475" max="9475" width="7" style="1" customWidth="1"/>
    <col min="9476" max="9476" width="6.33203125" style="1" customWidth="1"/>
    <col min="9477" max="9477" width="7.33203125" style="1" customWidth="1"/>
    <col min="9478" max="9478" width="6.5546875" style="1" customWidth="1"/>
    <col min="9479" max="9479" width="8.88671875" style="1"/>
    <col min="9480" max="9480" width="4.44140625" style="1" customWidth="1"/>
    <col min="9481" max="9481" width="5.33203125" style="1" customWidth="1"/>
    <col min="9482" max="9482" width="5.44140625" style="1" customWidth="1"/>
    <col min="9483" max="9483" width="6.109375" style="1" customWidth="1"/>
    <col min="9484" max="9484" width="5.44140625" style="1" customWidth="1"/>
    <col min="9485" max="9486" width="6.109375" style="1" customWidth="1"/>
    <col min="9487" max="9487" width="6" style="1" customWidth="1"/>
    <col min="9488" max="9488" width="6.5546875" style="1" customWidth="1"/>
    <col min="9489" max="9489" width="6" style="1" customWidth="1"/>
    <col min="9490" max="9490" width="7.33203125" style="1" customWidth="1"/>
    <col min="9491" max="9491" width="7.88671875" style="1" customWidth="1"/>
    <col min="9492" max="9492" width="7" style="1" customWidth="1"/>
    <col min="9493" max="9493" width="5.109375" style="1" customWidth="1"/>
    <col min="9494" max="9728" width="8.88671875" style="1"/>
    <col min="9729" max="9729" width="3.88671875" style="1" customWidth="1"/>
    <col min="9730" max="9730" width="13.109375" style="1" customWidth="1"/>
    <col min="9731" max="9731" width="7" style="1" customWidth="1"/>
    <col min="9732" max="9732" width="6.33203125" style="1" customWidth="1"/>
    <col min="9733" max="9733" width="7.33203125" style="1" customWidth="1"/>
    <col min="9734" max="9734" width="6.5546875" style="1" customWidth="1"/>
    <col min="9735" max="9735" width="8.88671875" style="1"/>
    <col min="9736" max="9736" width="4.44140625" style="1" customWidth="1"/>
    <col min="9737" max="9737" width="5.33203125" style="1" customWidth="1"/>
    <col min="9738" max="9738" width="5.44140625" style="1" customWidth="1"/>
    <col min="9739" max="9739" width="6.109375" style="1" customWidth="1"/>
    <col min="9740" max="9740" width="5.44140625" style="1" customWidth="1"/>
    <col min="9741" max="9742" width="6.109375" style="1" customWidth="1"/>
    <col min="9743" max="9743" width="6" style="1" customWidth="1"/>
    <col min="9744" max="9744" width="6.5546875" style="1" customWidth="1"/>
    <col min="9745" max="9745" width="6" style="1" customWidth="1"/>
    <col min="9746" max="9746" width="7.33203125" style="1" customWidth="1"/>
    <col min="9747" max="9747" width="7.88671875" style="1" customWidth="1"/>
    <col min="9748" max="9748" width="7" style="1" customWidth="1"/>
    <col min="9749" max="9749" width="5.109375" style="1" customWidth="1"/>
    <col min="9750" max="9984" width="8.88671875" style="1"/>
    <col min="9985" max="9985" width="3.88671875" style="1" customWidth="1"/>
    <col min="9986" max="9986" width="13.109375" style="1" customWidth="1"/>
    <col min="9987" max="9987" width="7" style="1" customWidth="1"/>
    <col min="9988" max="9988" width="6.33203125" style="1" customWidth="1"/>
    <col min="9989" max="9989" width="7.33203125" style="1" customWidth="1"/>
    <col min="9990" max="9990" width="6.5546875" style="1" customWidth="1"/>
    <col min="9991" max="9991" width="8.88671875" style="1"/>
    <col min="9992" max="9992" width="4.44140625" style="1" customWidth="1"/>
    <col min="9993" max="9993" width="5.33203125" style="1" customWidth="1"/>
    <col min="9994" max="9994" width="5.44140625" style="1" customWidth="1"/>
    <col min="9995" max="9995" width="6.109375" style="1" customWidth="1"/>
    <col min="9996" max="9996" width="5.44140625" style="1" customWidth="1"/>
    <col min="9997" max="9998" width="6.109375" style="1" customWidth="1"/>
    <col min="9999" max="9999" width="6" style="1" customWidth="1"/>
    <col min="10000" max="10000" width="6.5546875" style="1" customWidth="1"/>
    <col min="10001" max="10001" width="6" style="1" customWidth="1"/>
    <col min="10002" max="10002" width="7.33203125" style="1" customWidth="1"/>
    <col min="10003" max="10003" width="7.88671875" style="1" customWidth="1"/>
    <col min="10004" max="10004" width="7" style="1" customWidth="1"/>
    <col min="10005" max="10005" width="5.109375" style="1" customWidth="1"/>
    <col min="10006" max="10240" width="8.88671875" style="1"/>
    <col min="10241" max="10241" width="3.88671875" style="1" customWidth="1"/>
    <col min="10242" max="10242" width="13.109375" style="1" customWidth="1"/>
    <col min="10243" max="10243" width="7" style="1" customWidth="1"/>
    <col min="10244" max="10244" width="6.33203125" style="1" customWidth="1"/>
    <col min="10245" max="10245" width="7.33203125" style="1" customWidth="1"/>
    <col min="10246" max="10246" width="6.5546875" style="1" customWidth="1"/>
    <col min="10247" max="10247" width="8.88671875" style="1"/>
    <col min="10248" max="10248" width="4.44140625" style="1" customWidth="1"/>
    <col min="10249" max="10249" width="5.33203125" style="1" customWidth="1"/>
    <col min="10250" max="10250" width="5.44140625" style="1" customWidth="1"/>
    <col min="10251" max="10251" width="6.109375" style="1" customWidth="1"/>
    <col min="10252" max="10252" width="5.44140625" style="1" customWidth="1"/>
    <col min="10253" max="10254" width="6.109375" style="1" customWidth="1"/>
    <col min="10255" max="10255" width="6" style="1" customWidth="1"/>
    <col min="10256" max="10256" width="6.5546875" style="1" customWidth="1"/>
    <col min="10257" max="10257" width="6" style="1" customWidth="1"/>
    <col min="10258" max="10258" width="7.33203125" style="1" customWidth="1"/>
    <col min="10259" max="10259" width="7.88671875" style="1" customWidth="1"/>
    <col min="10260" max="10260" width="7" style="1" customWidth="1"/>
    <col min="10261" max="10261" width="5.109375" style="1" customWidth="1"/>
    <col min="10262" max="10496" width="8.88671875" style="1"/>
    <col min="10497" max="10497" width="3.88671875" style="1" customWidth="1"/>
    <col min="10498" max="10498" width="13.109375" style="1" customWidth="1"/>
    <col min="10499" max="10499" width="7" style="1" customWidth="1"/>
    <col min="10500" max="10500" width="6.33203125" style="1" customWidth="1"/>
    <col min="10501" max="10501" width="7.33203125" style="1" customWidth="1"/>
    <col min="10502" max="10502" width="6.5546875" style="1" customWidth="1"/>
    <col min="10503" max="10503" width="8.88671875" style="1"/>
    <col min="10504" max="10504" width="4.44140625" style="1" customWidth="1"/>
    <col min="10505" max="10505" width="5.33203125" style="1" customWidth="1"/>
    <col min="10506" max="10506" width="5.44140625" style="1" customWidth="1"/>
    <col min="10507" max="10507" width="6.109375" style="1" customWidth="1"/>
    <col min="10508" max="10508" width="5.44140625" style="1" customWidth="1"/>
    <col min="10509" max="10510" width="6.109375" style="1" customWidth="1"/>
    <col min="10511" max="10511" width="6" style="1" customWidth="1"/>
    <col min="10512" max="10512" width="6.5546875" style="1" customWidth="1"/>
    <col min="10513" max="10513" width="6" style="1" customWidth="1"/>
    <col min="10514" max="10514" width="7.33203125" style="1" customWidth="1"/>
    <col min="10515" max="10515" width="7.88671875" style="1" customWidth="1"/>
    <col min="10516" max="10516" width="7" style="1" customWidth="1"/>
    <col min="10517" max="10517" width="5.109375" style="1" customWidth="1"/>
    <col min="10518" max="10752" width="8.88671875" style="1"/>
    <col min="10753" max="10753" width="3.88671875" style="1" customWidth="1"/>
    <col min="10754" max="10754" width="13.109375" style="1" customWidth="1"/>
    <col min="10755" max="10755" width="7" style="1" customWidth="1"/>
    <col min="10756" max="10756" width="6.33203125" style="1" customWidth="1"/>
    <col min="10757" max="10757" width="7.33203125" style="1" customWidth="1"/>
    <col min="10758" max="10758" width="6.5546875" style="1" customWidth="1"/>
    <col min="10759" max="10759" width="8.88671875" style="1"/>
    <col min="10760" max="10760" width="4.44140625" style="1" customWidth="1"/>
    <col min="10761" max="10761" width="5.33203125" style="1" customWidth="1"/>
    <col min="10762" max="10762" width="5.44140625" style="1" customWidth="1"/>
    <col min="10763" max="10763" width="6.109375" style="1" customWidth="1"/>
    <col min="10764" max="10764" width="5.44140625" style="1" customWidth="1"/>
    <col min="10765" max="10766" width="6.109375" style="1" customWidth="1"/>
    <col min="10767" max="10767" width="6" style="1" customWidth="1"/>
    <col min="10768" max="10768" width="6.5546875" style="1" customWidth="1"/>
    <col min="10769" max="10769" width="6" style="1" customWidth="1"/>
    <col min="10770" max="10770" width="7.33203125" style="1" customWidth="1"/>
    <col min="10771" max="10771" width="7.88671875" style="1" customWidth="1"/>
    <col min="10772" max="10772" width="7" style="1" customWidth="1"/>
    <col min="10773" max="10773" width="5.109375" style="1" customWidth="1"/>
    <col min="10774" max="11008" width="8.88671875" style="1"/>
    <col min="11009" max="11009" width="3.88671875" style="1" customWidth="1"/>
    <col min="11010" max="11010" width="13.109375" style="1" customWidth="1"/>
    <col min="11011" max="11011" width="7" style="1" customWidth="1"/>
    <col min="11012" max="11012" width="6.33203125" style="1" customWidth="1"/>
    <col min="11013" max="11013" width="7.33203125" style="1" customWidth="1"/>
    <col min="11014" max="11014" width="6.5546875" style="1" customWidth="1"/>
    <col min="11015" max="11015" width="8.88671875" style="1"/>
    <col min="11016" max="11016" width="4.44140625" style="1" customWidth="1"/>
    <col min="11017" max="11017" width="5.33203125" style="1" customWidth="1"/>
    <col min="11018" max="11018" width="5.44140625" style="1" customWidth="1"/>
    <col min="11019" max="11019" width="6.109375" style="1" customWidth="1"/>
    <col min="11020" max="11020" width="5.44140625" style="1" customWidth="1"/>
    <col min="11021" max="11022" width="6.109375" style="1" customWidth="1"/>
    <col min="11023" max="11023" width="6" style="1" customWidth="1"/>
    <col min="11024" max="11024" width="6.5546875" style="1" customWidth="1"/>
    <col min="11025" max="11025" width="6" style="1" customWidth="1"/>
    <col min="11026" max="11026" width="7.33203125" style="1" customWidth="1"/>
    <col min="11027" max="11027" width="7.88671875" style="1" customWidth="1"/>
    <col min="11028" max="11028" width="7" style="1" customWidth="1"/>
    <col min="11029" max="11029" width="5.109375" style="1" customWidth="1"/>
    <col min="11030" max="11264" width="8.88671875" style="1"/>
    <col min="11265" max="11265" width="3.88671875" style="1" customWidth="1"/>
    <col min="11266" max="11266" width="13.109375" style="1" customWidth="1"/>
    <col min="11267" max="11267" width="7" style="1" customWidth="1"/>
    <col min="11268" max="11268" width="6.33203125" style="1" customWidth="1"/>
    <col min="11269" max="11269" width="7.33203125" style="1" customWidth="1"/>
    <col min="11270" max="11270" width="6.5546875" style="1" customWidth="1"/>
    <col min="11271" max="11271" width="8.88671875" style="1"/>
    <col min="11272" max="11272" width="4.44140625" style="1" customWidth="1"/>
    <col min="11273" max="11273" width="5.33203125" style="1" customWidth="1"/>
    <col min="11274" max="11274" width="5.44140625" style="1" customWidth="1"/>
    <col min="11275" max="11275" width="6.109375" style="1" customWidth="1"/>
    <col min="11276" max="11276" width="5.44140625" style="1" customWidth="1"/>
    <col min="11277" max="11278" width="6.109375" style="1" customWidth="1"/>
    <col min="11279" max="11279" width="6" style="1" customWidth="1"/>
    <col min="11280" max="11280" width="6.5546875" style="1" customWidth="1"/>
    <col min="11281" max="11281" width="6" style="1" customWidth="1"/>
    <col min="11282" max="11282" width="7.33203125" style="1" customWidth="1"/>
    <col min="11283" max="11283" width="7.88671875" style="1" customWidth="1"/>
    <col min="11284" max="11284" width="7" style="1" customWidth="1"/>
    <col min="11285" max="11285" width="5.109375" style="1" customWidth="1"/>
    <col min="11286" max="11520" width="8.88671875" style="1"/>
    <col min="11521" max="11521" width="3.88671875" style="1" customWidth="1"/>
    <col min="11522" max="11522" width="13.109375" style="1" customWidth="1"/>
    <col min="11523" max="11523" width="7" style="1" customWidth="1"/>
    <col min="11524" max="11524" width="6.33203125" style="1" customWidth="1"/>
    <col min="11525" max="11525" width="7.33203125" style="1" customWidth="1"/>
    <col min="11526" max="11526" width="6.5546875" style="1" customWidth="1"/>
    <col min="11527" max="11527" width="8.88671875" style="1"/>
    <col min="11528" max="11528" width="4.44140625" style="1" customWidth="1"/>
    <col min="11529" max="11529" width="5.33203125" style="1" customWidth="1"/>
    <col min="11530" max="11530" width="5.44140625" style="1" customWidth="1"/>
    <col min="11531" max="11531" width="6.109375" style="1" customWidth="1"/>
    <col min="11532" max="11532" width="5.44140625" style="1" customWidth="1"/>
    <col min="11533" max="11534" width="6.109375" style="1" customWidth="1"/>
    <col min="11535" max="11535" width="6" style="1" customWidth="1"/>
    <col min="11536" max="11536" width="6.5546875" style="1" customWidth="1"/>
    <col min="11537" max="11537" width="6" style="1" customWidth="1"/>
    <col min="11538" max="11538" width="7.33203125" style="1" customWidth="1"/>
    <col min="11539" max="11539" width="7.88671875" style="1" customWidth="1"/>
    <col min="11540" max="11540" width="7" style="1" customWidth="1"/>
    <col min="11541" max="11541" width="5.109375" style="1" customWidth="1"/>
    <col min="11542" max="11776" width="8.88671875" style="1"/>
    <col min="11777" max="11777" width="3.88671875" style="1" customWidth="1"/>
    <col min="11778" max="11778" width="13.109375" style="1" customWidth="1"/>
    <col min="11779" max="11779" width="7" style="1" customWidth="1"/>
    <col min="11780" max="11780" width="6.33203125" style="1" customWidth="1"/>
    <col min="11781" max="11781" width="7.33203125" style="1" customWidth="1"/>
    <col min="11782" max="11782" width="6.5546875" style="1" customWidth="1"/>
    <col min="11783" max="11783" width="8.88671875" style="1"/>
    <col min="11784" max="11784" width="4.44140625" style="1" customWidth="1"/>
    <col min="11785" max="11785" width="5.33203125" style="1" customWidth="1"/>
    <col min="11786" max="11786" width="5.44140625" style="1" customWidth="1"/>
    <col min="11787" max="11787" width="6.109375" style="1" customWidth="1"/>
    <col min="11788" max="11788" width="5.44140625" style="1" customWidth="1"/>
    <col min="11789" max="11790" width="6.109375" style="1" customWidth="1"/>
    <col min="11791" max="11791" width="6" style="1" customWidth="1"/>
    <col min="11792" max="11792" width="6.5546875" style="1" customWidth="1"/>
    <col min="11793" max="11793" width="6" style="1" customWidth="1"/>
    <col min="11794" max="11794" width="7.33203125" style="1" customWidth="1"/>
    <col min="11795" max="11795" width="7.88671875" style="1" customWidth="1"/>
    <col min="11796" max="11796" width="7" style="1" customWidth="1"/>
    <col min="11797" max="11797" width="5.109375" style="1" customWidth="1"/>
    <col min="11798" max="12032" width="8.88671875" style="1"/>
    <col min="12033" max="12033" width="3.88671875" style="1" customWidth="1"/>
    <col min="12034" max="12034" width="13.109375" style="1" customWidth="1"/>
    <col min="12035" max="12035" width="7" style="1" customWidth="1"/>
    <col min="12036" max="12036" width="6.33203125" style="1" customWidth="1"/>
    <col min="12037" max="12037" width="7.33203125" style="1" customWidth="1"/>
    <col min="12038" max="12038" width="6.5546875" style="1" customWidth="1"/>
    <col min="12039" max="12039" width="8.88671875" style="1"/>
    <col min="12040" max="12040" width="4.44140625" style="1" customWidth="1"/>
    <col min="12041" max="12041" width="5.33203125" style="1" customWidth="1"/>
    <col min="12042" max="12042" width="5.44140625" style="1" customWidth="1"/>
    <col min="12043" max="12043" width="6.109375" style="1" customWidth="1"/>
    <col min="12044" max="12044" width="5.44140625" style="1" customWidth="1"/>
    <col min="12045" max="12046" width="6.109375" style="1" customWidth="1"/>
    <col min="12047" max="12047" width="6" style="1" customWidth="1"/>
    <col min="12048" max="12048" width="6.5546875" style="1" customWidth="1"/>
    <col min="12049" max="12049" width="6" style="1" customWidth="1"/>
    <col min="12050" max="12050" width="7.33203125" style="1" customWidth="1"/>
    <col min="12051" max="12051" width="7.88671875" style="1" customWidth="1"/>
    <col min="12052" max="12052" width="7" style="1" customWidth="1"/>
    <col min="12053" max="12053" width="5.109375" style="1" customWidth="1"/>
    <col min="12054" max="12288" width="8.88671875" style="1"/>
    <col min="12289" max="12289" width="3.88671875" style="1" customWidth="1"/>
    <col min="12290" max="12290" width="13.109375" style="1" customWidth="1"/>
    <col min="12291" max="12291" width="7" style="1" customWidth="1"/>
    <col min="12292" max="12292" width="6.33203125" style="1" customWidth="1"/>
    <col min="12293" max="12293" width="7.33203125" style="1" customWidth="1"/>
    <col min="12294" max="12294" width="6.5546875" style="1" customWidth="1"/>
    <col min="12295" max="12295" width="8.88671875" style="1"/>
    <col min="12296" max="12296" width="4.44140625" style="1" customWidth="1"/>
    <col min="12297" max="12297" width="5.33203125" style="1" customWidth="1"/>
    <col min="12298" max="12298" width="5.44140625" style="1" customWidth="1"/>
    <col min="12299" max="12299" width="6.109375" style="1" customWidth="1"/>
    <col min="12300" max="12300" width="5.44140625" style="1" customWidth="1"/>
    <col min="12301" max="12302" width="6.109375" style="1" customWidth="1"/>
    <col min="12303" max="12303" width="6" style="1" customWidth="1"/>
    <col min="12304" max="12304" width="6.5546875" style="1" customWidth="1"/>
    <col min="12305" max="12305" width="6" style="1" customWidth="1"/>
    <col min="12306" max="12306" width="7.33203125" style="1" customWidth="1"/>
    <col min="12307" max="12307" width="7.88671875" style="1" customWidth="1"/>
    <col min="12308" max="12308" width="7" style="1" customWidth="1"/>
    <col min="12309" max="12309" width="5.109375" style="1" customWidth="1"/>
    <col min="12310" max="12544" width="8.88671875" style="1"/>
    <col min="12545" max="12545" width="3.88671875" style="1" customWidth="1"/>
    <col min="12546" max="12546" width="13.109375" style="1" customWidth="1"/>
    <col min="12547" max="12547" width="7" style="1" customWidth="1"/>
    <col min="12548" max="12548" width="6.33203125" style="1" customWidth="1"/>
    <col min="12549" max="12549" width="7.33203125" style="1" customWidth="1"/>
    <col min="12550" max="12550" width="6.5546875" style="1" customWidth="1"/>
    <col min="12551" max="12551" width="8.88671875" style="1"/>
    <col min="12552" max="12552" width="4.44140625" style="1" customWidth="1"/>
    <col min="12553" max="12553" width="5.33203125" style="1" customWidth="1"/>
    <col min="12554" max="12554" width="5.44140625" style="1" customWidth="1"/>
    <col min="12555" max="12555" width="6.109375" style="1" customWidth="1"/>
    <col min="12556" max="12556" width="5.44140625" style="1" customWidth="1"/>
    <col min="12557" max="12558" width="6.109375" style="1" customWidth="1"/>
    <col min="12559" max="12559" width="6" style="1" customWidth="1"/>
    <col min="12560" max="12560" width="6.5546875" style="1" customWidth="1"/>
    <col min="12561" max="12561" width="6" style="1" customWidth="1"/>
    <col min="12562" max="12562" width="7.33203125" style="1" customWidth="1"/>
    <col min="12563" max="12563" width="7.88671875" style="1" customWidth="1"/>
    <col min="12564" max="12564" width="7" style="1" customWidth="1"/>
    <col min="12565" max="12565" width="5.109375" style="1" customWidth="1"/>
    <col min="12566" max="12800" width="8.88671875" style="1"/>
    <col min="12801" max="12801" width="3.88671875" style="1" customWidth="1"/>
    <col min="12802" max="12802" width="13.109375" style="1" customWidth="1"/>
    <col min="12803" max="12803" width="7" style="1" customWidth="1"/>
    <col min="12804" max="12804" width="6.33203125" style="1" customWidth="1"/>
    <col min="12805" max="12805" width="7.33203125" style="1" customWidth="1"/>
    <col min="12806" max="12806" width="6.5546875" style="1" customWidth="1"/>
    <col min="12807" max="12807" width="8.88671875" style="1"/>
    <col min="12808" max="12808" width="4.44140625" style="1" customWidth="1"/>
    <col min="12809" max="12809" width="5.33203125" style="1" customWidth="1"/>
    <col min="12810" max="12810" width="5.44140625" style="1" customWidth="1"/>
    <col min="12811" max="12811" width="6.109375" style="1" customWidth="1"/>
    <col min="12812" max="12812" width="5.44140625" style="1" customWidth="1"/>
    <col min="12813" max="12814" width="6.109375" style="1" customWidth="1"/>
    <col min="12815" max="12815" width="6" style="1" customWidth="1"/>
    <col min="12816" max="12816" width="6.5546875" style="1" customWidth="1"/>
    <col min="12817" max="12817" width="6" style="1" customWidth="1"/>
    <col min="12818" max="12818" width="7.33203125" style="1" customWidth="1"/>
    <col min="12819" max="12819" width="7.88671875" style="1" customWidth="1"/>
    <col min="12820" max="12820" width="7" style="1" customWidth="1"/>
    <col min="12821" max="12821" width="5.109375" style="1" customWidth="1"/>
    <col min="12822" max="13056" width="8.88671875" style="1"/>
    <col min="13057" max="13057" width="3.88671875" style="1" customWidth="1"/>
    <col min="13058" max="13058" width="13.109375" style="1" customWidth="1"/>
    <col min="13059" max="13059" width="7" style="1" customWidth="1"/>
    <col min="13060" max="13060" width="6.33203125" style="1" customWidth="1"/>
    <col min="13061" max="13061" width="7.33203125" style="1" customWidth="1"/>
    <col min="13062" max="13062" width="6.5546875" style="1" customWidth="1"/>
    <col min="13063" max="13063" width="8.88671875" style="1"/>
    <col min="13064" max="13064" width="4.44140625" style="1" customWidth="1"/>
    <col min="13065" max="13065" width="5.33203125" style="1" customWidth="1"/>
    <col min="13066" max="13066" width="5.44140625" style="1" customWidth="1"/>
    <col min="13067" max="13067" width="6.109375" style="1" customWidth="1"/>
    <col min="13068" max="13068" width="5.44140625" style="1" customWidth="1"/>
    <col min="13069" max="13070" width="6.109375" style="1" customWidth="1"/>
    <col min="13071" max="13071" width="6" style="1" customWidth="1"/>
    <col min="13072" max="13072" width="6.5546875" style="1" customWidth="1"/>
    <col min="13073" max="13073" width="6" style="1" customWidth="1"/>
    <col min="13074" max="13074" width="7.33203125" style="1" customWidth="1"/>
    <col min="13075" max="13075" width="7.88671875" style="1" customWidth="1"/>
    <col min="13076" max="13076" width="7" style="1" customWidth="1"/>
    <col min="13077" max="13077" width="5.109375" style="1" customWidth="1"/>
    <col min="13078" max="13312" width="8.88671875" style="1"/>
    <col min="13313" max="13313" width="3.88671875" style="1" customWidth="1"/>
    <col min="13314" max="13314" width="13.109375" style="1" customWidth="1"/>
    <col min="13315" max="13315" width="7" style="1" customWidth="1"/>
    <col min="13316" max="13316" width="6.33203125" style="1" customWidth="1"/>
    <col min="13317" max="13317" width="7.33203125" style="1" customWidth="1"/>
    <col min="13318" max="13318" width="6.5546875" style="1" customWidth="1"/>
    <col min="13319" max="13319" width="8.88671875" style="1"/>
    <col min="13320" max="13320" width="4.44140625" style="1" customWidth="1"/>
    <col min="13321" max="13321" width="5.33203125" style="1" customWidth="1"/>
    <col min="13322" max="13322" width="5.44140625" style="1" customWidth="1"/>
    <col min="13323" max="13323" width="6.109375" style="1" customWidth="1"/>
    <col min="13324" max="13324" width="5.44140625" style="1" customWidth="1"/>
    <col min="13325" max="13326" width="6.109375" style="1" customWidth="1"/>
    <col min="13327" max="13327" width="6" style="1" customWidth="1"/>
    <col min="13328" max="13328" width="6.5546875" style="1" customWidth="1"/>
    <col min="13329" max="13329" width="6" style="1" customWidth="1"/>
    <col min="13330" max="13330" width="7.33203125" style="1" customWidth="1"/>
    <col min="13331" max="13331" width="7.88671875" style="1" customWidth="1"/>
    <col min="13332" max="13332" width="7" style="1" customWidth="1"/>
    <col min="13333" max="13333" width="5.109375" style="1" customWidth="1"/>
    <col min="13334" max="13568" width="8.88671875" style="1"/>
    <col min="13569" max="13569" width="3.88671875" style="1" customWidth="1"/>
    <col min="13570" max="13570" width="13.109375" style="1" customWidth="1"/>
    <col min="13571" max="13571" width="7" style="1" customWidth="1"/>
    <col min="13572" max="13572" width="6.33203125" style="1" customWidth="1"/>
    <col min="13573" max="13573" width="7.33203125" style="1" customWidth="1"/>
    <col min="13574" max="13574" width="6.5546875" style="1" customWidth="1"/>
    <col min="13575" max="13575" width="8.88671875" style="1"/>
    <col min="13576" max="13576" width="4.44140625" style="1" customWidth="1"/>
    <col min="13577" max="13577" width="5.33203125" style="1" customWidth="1"/>
    <col min="13578" max="13578" width="5.44140625" style="1" customWidth="1"/>
    <col min="13579" max="13579" width="6.109375" style="1" customWidth="1"/>
    <col min="13580" max="13580" width="5.44140625" style="1" customWidth="1"/>
    <col min="13581" max="13582" width="6.109375" style="1" customWidth="1"/>
    <col min="13583" max="13583" width="6" style="1" customWidth="1"/>
    <col min="13584" max="13584" width="6.5546875" style="1" customWidth="1"/>
    <col min="13585" max="13585" width="6" style="1" customWidth="1"/>
    <col min="13586" max="13586" width="7.33203125" style="1" customWidth="1"/>
    <col min="13587" max="13587" width="7.88671875" style="1" customWidth="1"/>
    <col min="13588" max="13588" width="7" style="1" customWidth="1"/>
    <col min="13589" max="13589" width="5.109375" style="1" customWidth="1"/>
    <col min="13590" max="13824" width="8.88671875" style="1"/>
    <col min="13825" max="13825" width="3.88671875" style="1" customWidth="1"/>
    <col min="13826" max="13826" width="13.109375" style="1" customWidth="1"/>
    <col min="13827" max="13827" width="7" style="1" customWidth="1"/>
    <col min="13828" max="13828" width="6.33203125" style="1" customWidth="1"/>
    <col min="13829" max="13829" width="7.33203125" style="1" customWidth="1"/>
    <col min="13830" max="13830" width="6.5546875" style="1" customWidth="1"/>
    <col min="13831" max="13831" width="8.88671875" style="1"/>
    <col min="13832" max="13832" width="4.44140625" style="1" customWidth="1"/>
    <col min="13833" max="13833" width="5.33203125" style="1" customWidth="1"/>
    <col min="13834" max="13834" width="5.44140625" style="1" customWidth="1"/>
    <col min="13835" max="13835" width="6.109375" style="1" customWidth="1"/>
    <col min="13836" max="13836" width="5.44140625" style="1" customWidth="1"/>
    <col min="13837" max="13838" width="6.109375" style="1" customWidth="1"/>
    <col min="13839" max="13839" width="6" style="1" customWidth="1"/>
    <col min="13840" max="13840" width="6.5546875" style="1" customWidth="1"/>
    <col min="13841" max="13841" width="6" style="1" customWidth="1"/>
    <col min="13842" max="13842" width="7.33203125" style="1" customWidth="1"/>
    <col min="13843" max="13843" width="7.88671875" style="1" customWidth="1"/>
    <col min="13844" max="13844" width="7" style="1" customWidth="1"/>
    <col min="13845" max="13845" width="5.109375" style="1" customWidth="1"/>
    <col min="13846" max="14080" width="8.88671875" style="1"/>
    <col min="14081" max="14081" width="3.88671875" style="1" customWidth="1"/>
    <col min="14082" max="14082" width="13.109375" style="1" customWidth="1"/>
    <col min="14083" max="14083" width="7" style="1" customWidth="1"/>
    <col min="14084" max="14084" width="6.33203125" style="1" customWidth="1"/>
    <col min="14085" max="14085" width="7.33203125" style="1" customWidth="1"/>
    <col min="14086" max="14086" width="6.5546875" style="1" customWidth="1"/>
    <col min="14087" max="14087" width="8.88671875" style="1"/>
    <col min="14088" max="14088" width="4.44140625" style="1" customWidth="1"/>
    <col min="14089" max="14089" width="5.33203125" style="1" customWidth="1"/>
    <col min="14090" max="14090" width="5.44140625" style="1" customWidth="1"/>
    <col min="14091" max="14091" width="6.109375" style="1" customWidth="1"/>
    <col min="14092" max="14092" width="5.44140625" style="1" customWidth="1"/>
    <col min="14093" max="14094" width="6.109375" style="1" customWidth="1"/>
    <col min="14095" max="14095" width="6" style="1" customWidth="1"/>
    <col min="14096" max="14096" width="6.5546875" style="1" customWidth="1"/>
    <col min="14097" max="14097" width="6" style="1" customWidth="1"/>
    <col min="14098" max="14098" width="7.33203125" style="1" customWidth="1"/>
    <col min="14099" max="14099" width="7.88671875" style="1" customWidth="1"/>
    <col min="14100" max="14100" width="7" style="1" customWidth="1"/>
    <col min="14101" max="14101" width="5.109375" style="1" customWidth="1"/>
    <col min="14102" max="14336" width="8.88671875" style="1"/>
    <col min="14337" max="14337" width="3.88671875" style="1" customWidth="1"/>
    <col min="14338" max="14338" width="13.109375" style="1" customWidth="1"/>
    <col min="14339" max="14339" width="7" style="1" customWidth="1"/>
    <col min="14340" max="14340" width="6.33203125" style="1" customWidth="1"/>
    <col min="14341" max="14341" width="7.33203125" style="1" customWidth="1"/>
    <col min="14342" max="14342" width="6.5546875" style="1" customWidth="1"/>
    <col min="14343" max="14343" width="8.88671875" style="1"/>
    <col min="14344" max="14344" width="4.44140625" style="1" customWidth="1"/>
    <col min="14345" max="14345" width="5.33203125" style="1" customWidth="1"/>
    <col min="14346" max="14346" width="5.44140625" style="1" customWidth="1"/>
    <col min="14347" max="14347" width="6.109375" style="1" customWidth="1"/>
    <col min="14348" max="14348" width="5.44140625" style="1" customWidth="1"/>
    <col min="14349" max="14350" width="6.109375" style="1" customWidth="1"/>
    <col min="14351" max="14351" width="6" style="1" customWidth="1"/>
    <col min="14352" max="14352" width="6.5546875" style="1" customWidth="1"/>
    <col min="14353" max="14353" width="6" style="1" customWidth="1"/>
    <col min="14354" max="14354" width="7.33203125" style="1" customWidth="1"/>
    <col min="14355" max="14355" width="7.88671875" style="1" customWidth="1"/>
    <col min="14356" max="14356" width="7" style="1" customWidth="1"/>
    <col min="14357" max="14357" width="5.109375" style="1" customWidth="1"/>
    <col min="14358" max="14592" width="8.88671875" style="1"/>
    <col min="14593" max="14593" width="3.88671875" style="1" customWidth="1"/>
    <col min="14594" max="14594" width="13.109375" style="1" customWidth="1"/>
    <col min="14595" max="14595" width="7" style="1" customWidth="1"/>
    <col min="14596" max="14596" width="6.33203125" style="1" customWidth="1"/>
    <col min="14597" max="14597" width="7.33203125" style="1" customWidth="1"/>
    <col min="14598" max="14598" width="6.5546875" style="1" customWidth="1"/>
    <col min="14599" max="14599" width="8.88671875" style="1"/>
    <col min="14600" max="14600" width="4.44140625" style="1" customWidth="1"/>
    <col min="14601" max="14601" width="5.33203125" style="1" customWidth="1"/>
    <col min="14602" max="14602" width="5.44140625" style="1" customWidth="1"/>
    <col min="14603" max="14603" width="6.109375" style="1" customWidth="1"/>
    <col min="14604" max="14604" width="5.44140625" style="1" customWidth="1"/>
    <col min="14605" max="14606" width="6.109375" style="1" customWidth="1"/>
    <col min="14607" max="14607" width="6" style="1" customWidth="1"/>
    <col min="14608" max="14608" width="6.5546875" style="1" customWidth="1"/>
    <col min="14609" max="14609" width="6" style="1" customWidth="1"/>
    <col min="14610" max="14610" width="7.33203125" style="1" customWidth="1"/>
    <col min="14611" max="14611" width="7.88671875" style="1" customWidth="1"/>
    <col min="14612" max="14612" width="7" style="1" customWidth="1"/>
    <col min="14613" max="14613" width="5.109375" style="1" customWidth="1"/>
    <col min="14614" max="14848" width="8.88671875" style="1"/>
    <col min="14849" max="14849" width="3.88671875" style="1" customWidth="1"/>
    <col min="14850" max="14850" width="13.109375" style="1" customWidth="1"/>
    <col min="14851" max="14851" width="7" style="1" customWidth="1"/>
    <col min="14852" max="14852" width="6.33203125" style="1" customWidth="1"/>
    <col min="14853" max="14853" width="7.33203125" style="1" customWidth="1"/>
    <col min="14854" max="14854" width="6.5546875" style="1" customWidth="1"/>
    <col min="14855" max="14855" width="8.88671875" style="1"/>
    <col min="14856" max="14856" width="4.44140625" style="1" customWidth="1"/>
    <col min="14857" max="14857" width="5.33203125" style="1" customWidth="1"/>
    <col min="14858" max="14858" width="5.44140625" style="1" customWidth="1"/>
    <col min="14859" max="14859" width="6.109375" style="1" customWidth="1"/>
    <col min="14860" max="14860" width="5.44140625" style="1" customWidth="1"/>
    <col min="14861" max="14862" width="6.109375" style="1" customWidth="1"/>
    <col min="14863" max="14863" width="6" style="1" customWidth="1"/>
    <col min="14864" max="14864" width="6.5546875" style="1" customWidth="1"/>
    <col min="14865" max="14865" width="6" style="1" customWidth="1"/>
    <col min="14866" max="14866" width="7.33203125" style="1" customWidth="1"/>
    <col min="14867" max="14867" width="7.88671875" style="1" customWidth="1"/>
    <col min="14868" max="14868" width="7" style="1" customWidth="1"/>
    <col min="14869" max="14869" width="5.109375" style="1" customWidth="1"/>
    <col min="14870" max="15104" width="8.88671875" style="1"/>
    <col min="15105" max="15105" width="3.88671875" style="1" customWidth="1"/>
    <col min="15106" max="15106" width="13.109375" style="1" customWidth="1"/>
    <col min="15107" max="15107" width="7" style="1" customWidth="1"/>
    <col min="15108" max="15108" width="6.33203125" style="1" customWidth="1"/>
    <col min="15109" max="15109" width="7.33203125" style="1" customWidth="1"/>
    <col min="15110" max="15110" width="6.5546875" style="1" customWidth="1"/>
    <col min="15111" max="15111" width="8.88671875" style="1"/>
    <col min="15112" max="15112" width="4.44140625" style="1" customWidth="1"/>
    <col min="15113" max="15113" width="5.33203125" style="1" customWidth="1"/>
    <col min="15114" max="15114" width="5.44140625" style="1" customWidth="1"/>
    <col min="15115" max="15115" width="6.109375" style="1" customWidth="1"/>
    <col min="15116" max="15116" width="5.44140625" style="1" customWidth="1"/>
    <col min="15117" max="15118" width="6.109375" style="1" customWidth="1"/>
    <col min="15119" max="15119" width="6" style="1" customWidth="1"/>
    <col min="15120" max="15120" width="6.5546875" style="1" customWidth="1"/>
    <col min="15121" max="15121" width="6" style="1" customWidth="1"/>
    <col min="15122" max="15122" width="7.33203125" style="1" customWidth="1"/>
    <col min="15123" max="15123" width="7.88671875" style="1" customWidth="1"/>
    <col min="15124" max="15124" width="7" style="1" customWidth="1"/>
    <col min="15125" max="15125" width="5.109375" style="1" customWidth="1"/>
    <col min="15126" max="15360" width="8.88671875" style="1"/>
    <col min="15361" max="15361" width="3.88671875" style="1" customWidth="1"/>
    <col min="15362" max="15362" width="13.109375" style="1" customWidth="1"/>
    <col min="15363" max="15363" width="7" style="1" customWidth="1"/>
    <col min="15364" max="15364" width="6.33203125" style="1" customWidth="1"/>
    <col min="15365" max="15365" width="7.33203125" style="1" customWidth="1"/>
    <col min="15366" max="15366" width="6.5546875" style="1" customWidth="1"/>
    <col min="15367" max="15367" width="8.88671875" style="1"/>
    <col min="15368" max="15368" width="4.44140625" style="1" customWidth="1"/>
    <col min="15369" max="15369" width="5.33203125" style="1" customWidth="1"/>
    <col min="15370" max="15370" width="5.44140625" style="1" customWidth="1"/>
    <col min="15371" max="15371" width="6.109375" style="1" customWidth="1"/>
    <col min="15372" max="15372" width="5.44140625" style="1" customWidth="1"/>
    <col min="15373" max="15374" width="6.109375" style="1" customWidth="1"/>
    <col min="15375" max="15375" width="6" style="1" customWidth="1"/>
    <col min="15376" max="15376" width="6.5546875" style="1" customWidth="1"/>
    <col min="15377" max="15377" width="6" style="1" customWidth="1"/>
    <col min="15378" max="15378" width="7.33203125" style="1" customWidth="1"/>
    <col min="15379" max="15379" width="7.88671875" style="1" customWidth="1"/>
    <col min="15380" max="15380" width="7" style="1" customWidth="1"/>
    <col min="15381" max="15381" width="5.109375" style="1" customWidth="1"/>
    <col min="15382" max="15616" width="8.88671875" style="1"/>
    <col min="15617" max="15617" width="3.88671875" style="1" customWidth="1"/>
    <col min="15618" max="15618" width="13.109375" style="1" customWidth="1"/>
    <col min="15619" max="15619" width="7" style="1" customWidth="1"/>
    <col min="15620" max="15620" width="6.33203125" style="1" customWidth="1"/>
    <col min="15621" max="15621" width="7.33203125" style="1" customWidth="1"/>
    <col min="15622" max="15622" width="6.5546875" style="1" customWidth="1"/>
    <col min="15623" max="15623" width="8.88671875" style="1"/>
    <col min="15624" max="15624" width="4.44140625" style="1" customWidth="1"/>
    <col min="15625" max="15625" width="5.33203125" style="1" customWidth="1"/>
    <col min="15626" max="15626" width="5.44140625" style="1" customWidth="1"/>
    <col min="15627" max="15627" width="6.109375" style="1" customWidth="1"/>
    <col min="15628" max="15628" width="5.44140625" style="1" customWidth="1"/>
    <col min="15629" max="15630" width="6.109375" style="1" customWidth="1"/>
    <col min="15631" max="15631" width="6" style="1" customWidth="1"/>
    <col min="15632" max="15632" width="6.5546875" style="1" customWidth="1"/>
    <col min="15633" max="15633" width="6" style="1" customWidth="1"/>
    <col min="15634" max="15634" width="7.33203125" style="1" customWidth="1"/>
    <col min="15635" max="15635" width="7.88671875" style="1" customWidth="1"/>
    <col min="15636" max="15636" width="7" style="1" customWidth="1"/>
    <col min="15637" max="15637" width="5.109375" style="1" customWidth="1"/>
    <col min="15638" max="15872" width="8.88671875" style="1"/>
    <col min="15873" max="15873" width="3.88671875" style="1" customWidth="1"/>
    <col min="15874" max="15874" width="13.109375" style="1" customWidth="1"/>
    <col min="15875" max="15875" width="7" style="1" customWidth="1"/>
    <col min="15876" max="15876" width="6.33203125" style="1" customWidth="1"/>
    <col min="15877" max="15877" width="7.33203125" style="1" customWidth="1"/>
    <col min="15878" max="15878" width="6.5546875" style="1" customWidth="1"/>
    <col min="15879" max="15879" width="8.88671875" style="1"/>
    <col min="15880" max="15880" width="4.44140625" style="1" customWidth="1"/>
    <col min="15881" max="15881" width="5.33203125" style="1" customWidth="1"/>
    <col min="15882" max="15882" width="5.44140625" style="1" customWidth="1"/>
    <col min="15883" max="15883" width="6.109375" style="1" customWidth="1"/>
    <col min="15884" max="15884" width="5.44140625" style="1" customWidth="1"/>
    <col min="15885" max="15886" width="6.109375" style="1" customWidth="1"/>
    <col min="15887" max="15887" width="6" style="1" customWidth="1"/>
    <col min="15888" max="15888" width="6.5546875" style="1" customWidth="1"/>
    <col min="15889" max="15889" width="6" style="1" customWidth="1"/>
    <col min="15890" max="15890" width="7.33203125" style="1" customWidth="1"/>
    <col min="15891" max="15891" width="7.88671875" style="1" customWidth="1"/>
    <col min="15892" max="15892" width="7" style="1" customWidth="1"/>
    <col min="15893" max="15893" width="5.109375" style="1" customWidth="1"/>
    <col min="15894" max="16128" width="8.88671875" style="1"/>
    <col min="16129" max="16129" width="3.88671875" style="1" customWidth="1"/>
    <col min="16130" max="16130" width="13.109375" style="1" customWidth="1"/>
    <col min="16131" max="16131" width="7" style="1" customWidth="1"/>
    <col min="16132" max="16132" width="6.33203125" style="1" customWidth="1"/>
    <col min="16133" max="16133" width="7.33203125" style="1" customWidth="1"/>
    <col min="16134" max="16134" width="6.5546875" style="1" customWidth="1"/>
    <col min="16135" max="16135" width="8.88671875" style="1"/>
    <col min="16136" max="16136" width="4.44140625" style="1" customWidth="1"/>
    <col min="16137" max="16137" width="5.33203125" style="1" customWidth="1"/>
    <col min="16138" max="16138" width="5.44140625" style="1" customWidth="1"/>
    <col min="16139" max="16139" width="6.109375" style="1" customWidth="1"/>
    <col min="16140" max="16140" width="5.44140625" style="1" customWidth="1"/>
    <col min="16141" max="16142" width="6.109375" style="1" customWidth="1"/>
    <col min="16143" max="16143" width="6" style="1" customWidth="1"/>
    <col min="16144" max="16144" width="6.5546875" style="1" customWidth="1"/>
    <col min="16145" max="16145" width="6" style="1" customWidth="1"/>
    <col min="16146" max="16146" width="7.33203125" style="1" customWidth="1"/>
    <col min="16147" max="16147" width="7.88671875" style="1" customWidth="1"/>
    <col min="16148" max="16148" width="7" style="1" customWidth="1"/>
    <col min="16149" max="16149" width="5.109375" style="1" customWidth="1"/>
    <col min="16150" max="16384" width="8.88671875" style="1"/>
  </cols>
  <sheetData>
    <row r="1" spans="1:24" ht="12" x14ac:dyDescent="0.25">
      <c r="B1" s="2" t="s">
        <v>102</v>
      </c>
      <c r="I1" s="1" t="s">
        <v>94</v>
      </c>
    </row>
    <row r="2" spans="1:24" ht="12" x14ac:dyDescent="0.25">
      <c r="B2" s="2" t="s">
        <v>95</v>
      </c>
      <c r="C2" s="1">
        <v>1000</v>
      </c>
      <c r="D2" s="1">
        <v>1000</v>
      </c>
      <c r="E2" s="1">
        <v>2200</v>
      </c>
      <c r="I2" s="29">
        <v>70</v>
      </c>
    </row>
    <row r="3" spans="1:24" ht="12" x14ac:dyDescent="0.25"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P3" s="4"/>
    </row>
    <row r="4" spans="1:24" ht="12" x14ac:dyDescent="0.25">
      <c r="B4" s="2"/>
      <c r="C4" s="28">
        <v>800</v>
      </c>
      <c r="D4" s="28">
        <v>600</v>
      </c>
      <c r="E4" s="28">
        <v>1800</v>
      </c>
      <c r="F4" s="28">
        <v>100</v>
      </c>
      <c r="G4" s="28">
        <v>1</v>
      </c>
      <c r="M4" s="4"/>
      <c r="N4" s="4"/>
      <c r="O4" s="4"/>
      <c r="P4" s="4"/>
    </row>
    <row r="5" spans="1:24" x14ac:dyDescent="0.2">
      <c r="G5" s="1" t="s">
        <v>5</v>
      </c>
      <c r="K5" s="1">
        <f>I2</f>
        <v>70</v>
      </c>
      <c r="L5" s="5">
        <v>0.1</v>
      </c>
      <c r="M5" s="1">
        <v>20</v>
      </c>
      <c r="P5" s="1">
        <v>13</v>
      </c>
      <c r="S5" s="1">
        <v>0.75</v>
      </c>
    </row>
    <row r="6" spans="1:24" x14ac:dyDescent="0.2">
      <c r="A6" s="6" t="s">
        <v>6</v>
      </c>
      <c r="B6" s="6" t="s">
        <v>7</v>
      </c>
      <c r="C6" s="6" t="s">
        <v>8</v>
      </c>
      <c r="D6" s="6" t="s">
        <v>9</v>
      </c>
      <c r="E6" s="6" t="s">
        <v>10</v>
      </c>
      <c r="F6" s="6" t="s">
        <v>11</v>
      </c>
      <c r="G6" s="6" t="s">
        <v>12</v>
      </c>
      <c r="H6" s="6" t="s">
        <v>13</v>
      </c>
      <c r="I6" s="6" t="s">
        <v>14</v>
      </c>
      <c r="J6" s="6" t="s">
        <v>15</v>
      </c>
      <c r="K6" s="6" t="s">
        <v>16</v>
      </c>
      <c r="L6" s="6" t="s">
        <v>17</v>
      </c>
      <c r="M6" s="6" t="s">
        <v>18</v>
      </c>
      <c r="N6" s="6" t="s">
        <v>19</v>
      </c>
      <c r="O6" s="6" t="s">
        <v>20</v>
      </c>
      <c r="P6" s="6" t="s">
        <v>21</v>
      </c>
      <c r="Q6" s="6" t="s">
        <v>22</v>
      </c>
      <c r="R6" s="6" t="s">
        <v>23</v>
      </c>
      <c r="S6" s="6" t="s">
        <v>24</v>
      </c>
      <c r="T6" s="6"/>
    </row>
    <row r="7" spans="1:24" x14ac:dyDescent="0.2">
      <c r="A7" s="7">
        <v>1</v>
      </c>
      <c r="B7" s="8" t="s">
        <v>25</v>
      </c>
      <c r="C7" s="9">
        <f>20+44*2-2.65*4</f>
        <v>97.4</v>
      </c>
      <c r="D7" s="9">
        <f>E4-85</f>
        <v>1715</v>
      </c>
      <c r="E7" s="9">
        <v>3</v>
      </c>
      <c r="F7" s="9">
        <f>G$4*4</f>
        <v>4</v>
      </c>
      <c r="G7" s="9"/>
      <c r="H7" s="9"/>
      <c r="I7" s="9">
        <f t="shared" ref="I7:I55" si="0">C7/1000*D7/1000*E7*F7*8</f>
        <v>16.035936</v>
      </c>
      <c r="J7" s="9">
        <f t="shared" ref="J7:J55" si="1">C7/1000*D7/1000*2*10.76*F7</f>
        <v>14.378889279999999</v>
      </c>
      <c r="K7" s="10">
        <f>I7*K$5</f>
        <v>1122.5155199999999</v>
      </c>
      <c r="L7" s="10">
        <f t="shared" ref="L7:L55" si="2">K7*L$5</f>
        <v>112.251552</v>
      </c>
      <c r="M7" s="10">
        <f>I7*M$5</f>
        <v>320.71871999999996</v>
      </c>
      <c r="N7" s="10">
        <f>600*G4</f>
        <v>600</v>
      </c>
      <c r="O7" s="10">
        <v>0</v>
      </c>
      <c r="P7" s="10">
        <f t="shared" ref="P7:P47" si="3">J7*P$5</f>
        <v>186.92556063999999</v>
      </c>
      <c r="Q7" s="10">
        <v>0</v>
      </c>
      <c r="R7" s="10">
        <f t="shared" ref="R7:R69" si="4">K7+L7+M7+N7+O7+P7+Q7</f>
        <v>2342.4113526400001</v>
      </c>
      <c r="S7" s="10">
        <f t="shared" ref="S7:S69" si="5">R7/S$5</f>
        <v>3123.2151368533337</v>
      </c>
      <c r="T7" s="34"/>
    </row>
    <row r="8" spans="1:24" x14ac:dyDescent="0.2">
      <c r="A8" s="11">
        <f t="shared" ref="A8:A69" si="6">A7+1</f>
        <v>2</v>
      </c>
      <c r="B8" s="42" t="s">
        <v>26</v>
      </c>
      <c r="C8" s="33">
        <f>20+44*2-2.65*4</f>
        <v>97.4</v>
      </c>
      <c r="D8" s="33">
        <f>C4-89</f>
        <v>711</v>
      </c>
      <c r="E8" s="33">
        <v>3</v>
      </c>
      <c r="F8" s="33">
        <f>G$4*4</f>
        <v>4</v>
      </c>
      <c r="G8" s="33"/>
      <c r="H8" s="33"/>
      <c r="I8" s="33">
        <f t="shared" si="0"/>
        <v>6.6481344</v>
      </c>
      <c r="J8" s="33">
        <f t="shared" si="1"/>
        <v>5.9611605120000002</v>
      </c>
      <c r="K8" s="30">
        <f t="shared" ref="K8:K55" si="7">I8*K$5</f>
        <v>465.36940800000002</v>
      </c>
      <c r="L8" s="30">
        <f t="shared" si="2"/>
        <v>46.536940800000004</v>
      </c>
      <c r="M8" s="30">
        <f>I8*M$5</f>
        <v>132.96268800000001</v>
      </c>
      <c r="N8" s="30">
        <v>0</v>
      </c>
      <c r="O8" s="30">
        <v>0</v>
      </c>
      <c r="P8" s="30">
        <f t="shared" si="3"/>
        <v>77.495086655999998</v>
      </c>
      <c r="Q8" s="30">
        <v>0</v>
      </c>
      <c r="R8" s="30">
        <f t="shared" si="4"/>
        <v>722.36412345600002</v>
      </c>
      <c r="S8" s="30">
        <f t="shared" si="5"/>
        <v>963.15216460800002</v>
      </c>
      <c r="T8" s="35"/>
    </row>
    <row r="9" spans="1:24" x14ac:dyDescent="0.2">
      <c r="A9" s="11">
        <f t="shared" si="6"/>
        <v>3</v>
      </c>
      <c r="B9" s="42" t="s">
        <v>26</v>
      </c>
      <c r="C9" s="33">
        <f>44*4-2.65*4</f>
        <v>165.4</v>
      </c>
      <c r="D9" s="33">
        <f>C4*G4</f>
        <v>800</v>
      </c>
      <c r="E9" s="33">
        <v>3</v>
      </c>
      <c r="F9" s="33">
        <v>0</v>
      </c>
      <c r="G9" s="33"/>
      <c r="H9" s="33"/>
      <c r="I9" s="33">
        <f t="shared" si="0"/>
        <v>0</v>
      </c>
      <c r="J9" s="33">
        <f t="shared" si="1"/>
        <v>0</v>
      </c>
      <c r="K9" s="30">
        <f t="shared" si="7"/>
        <v>0</v>
      </c>
      <c r="L9" s="30">
        <f t="shared" si="2"/>
        <v>0</v>
      </c>
      <c r="M9" s="30">
        <f t="shared" ref="M9:M15" si="8">I9*M$5</f>
        <v>0</v>
      </c>
      <c r="N9" s="30">
        <v>0</v>
      </c>
      <c r="O9" s="30">
        <v>0</v>
      </c>
      <c r="P9" s="30">
        <f t="shared" si="3"/>
        <v>0</v>
      </c>
      <c r="Q9" s="30">
        <v>0</v>
      </c>
      <c r="R9" s="30">
        <f t="shared" si="4"/>
        <v>0</v>
      </c>
      <c r="S9" s="30">
        <f t="shared" si="5"/>
        <v>0</v>
      </c>
      <c r="T9" s="35"/>
    </row>
    <row r="10" spans="1:24" x14ac:dyDescent="0.2">
      <c r="A10" s="11">
        <f t="shared" si="6"/>
        <v>4</v>
      </c>
      <c r="B10" s="42" t="s">
        <v>27</v>
      </c>
      <c r="C10" s="33">
        <f>44*4-2.65*4</f>
        <v>165.4</v>
      </c>
      <c r="D10" s="33">
        <f>E4</f>
        <v>1800</v>
      </c>
      <c r="E10" s="33">
        <v>3</v>
      </c>
      <c r="F10" s="33">
        <v>0</v>
      </c>
      <c r="G10" s="33"/>
      <c r="H10" s="33"/>
      <c r="I10" s="33">
        <f t="shared" si="0"/>
        <v>0</v>
      </c>
      <c r="J10" s="33">
        <f t="shared" si="1"/>
        <v>0</v>
      </c>
      <c r="K10" s="30">
        <f t="shared" si="7"/>
        <v>0</v>
      </c>
      <c r="L10" s="30">
        <f t="shared" si="2"/>
        <v>0</v>
      </c>
      <c r="M10" s="30">
        <f t="shared" si="8"/>
        <v>0</v>
      </c>
      <c r="N10" s="30">
        <v>0</v>
      </c>
      <c r="O10" s="30">
        <v>0</v>
      </c>
      <c r="P10" s="30">
        <f t="shared" si="3"/>
        <v>0</v>
      </c>
      <c r="Q10" s="30">
        <v>0</v>
      </c>
      <c r="R10" s="30">
        <f t="shared" si="4"/>
        <v>0</v>
      </c>
      <c r="S10" s="30">
        <f t="shared" si="5"/>
        <v>0</v>
      </c>
      <c r="T10" s="35"/>
    </row>
    <row r="11" spans="1:24" x14ac:dyDescent="0.2">
      <c r="A11" s="11">
        <f t="shared" si="6"/>
        <v>5</v>
      </c>
      <c r="B11" s="42" t="s">
        <v>28</v>
      </c>
      <c r="C11" s="33">
        <f>20+44*2-2.65*4</f>
        <v>97.4</v>
      </c>
      <c r="D11" s="33">
        <f>D4-98</f>
        <v>502</v>
      </c>
      <c r="E11" s="33">
        <v>3</v>
      </c>
      <c r="F11" s="33">
        <f>G$4*4</f>
        <v>4</v>
      </c>
      <c r="G11" s="33"/>
      <c r="H11" s="33"/>
      <c r="I11" s="33">
        <f t="shared" si="0"/>
        <v>4.6939007999999998</v>
      </c>
      <c r="J11" s="33">
        <f t="shared" si="1"/>
        <v>4.208864384</v>
      </c>
      <c r="K11" s="30">
        <f t="shared" si="7"/>
        <v>328.57305600000001</v>
      </c>
      <c r="L11" s="30">
        <f t="shared" si="2"/>
        <v>32.857305600000004</v>
      </c>
      <c r="M11" s="30">
        <f t="shared" si="8"/>
        <v>93.878016000000002</v>
      </c>
      <c r="N11" s="30">
        <v>0</v>
      </c>
      <c r="O11" s="30">
        <v>0</v>
      </c>
      <c r="P11" s="30">
        <f t="shared" si="3"/>
        <v>54.715236992000001</v>
      </c>
      <c r="Q11" s="30">
        <v>0</v>
      </c>
      <c r="R11" s="30">
        <f t="shared" si="4"/>
        <v>510.02361459200006</v>
      </c>
      <c r="S11" s="30">
        <f t="shared" si="5"/>
        <v>680.03148612266671</v>
      </c>
      <c r="T11" s="35"/>
    </row>
    <row r="12" spans="1:24" x14ac:dyDescent="0.2">
      <c r="A12" s="11">
        <f t="shared" si="6"/>
        <v>6</v>
      </c>
      <c r="B12" s="33" t="s">
        <v>29</v>
      </c>
      <c r="C12" s="33">
        <v>53</v>
      </c>
      <c r="D12" s="33">
        <f>D7</f>
        <v>1715</v>
      </c>
      <c r="E12" s="33">
        <v>2</v>
      </c>
      <c r="F12" s="33">
        <f>G$4*4</f>
        <v>4</v>
      </c>
      <c r="G12" s="33"/>
      <c r="H12" s="33"/>
      <c r="I12" s="33">
        <f t="shared" si="0"/>
        <v>5.8172799999999993</v>
      </c>
      <c r="J12" s="33">
        <f t="shared" si="1"/>
        <v>7.8242415999999988</v>
      </c>
      <c r="K12" s="30">
        <f t="shared" si="7"/>
        <v>407.20959999999997</v>
      </c>
      <c r="L12" s="30">
        <f t="shared" si="2"/>
        <v>40.720959999999998</v>
      </c>
      <c r="M12" s="30">
        <f t="shared" si="8"/>
        <v>116.34559999999999</v>
      </c>
      <c r="N12" s="30">
        <v>0</v>
      </c>
      <c r="O12" s="30">
        <f>D12/25*F12*0.15</f>
        <v>41.16</v>
      </c>
      <c r="P12" s="30">
        <f t="shared" si="3"/>
        <v>101.71514079999999</v>
      </c>
      <c r="Q12" s="30">
        <f>D12/50*F12*0.25</f>
        <v>34.299999999999997</v>
      </c>
      <c r="R12" s="30">
        <f t="shared" si="4"/>
        <v>741.45130079999979</v>
      </c>
      <c r="S12" s="30">
        <f t="shared" si="5"/>
        <v>988.60173439999971</v>
      </c>
      <c r="T12" s="35"/>
    </row>
    <row r="13" spans="1:24" x14ac:dyDescent="0.2">
      <c r="A13" s="11">
        <f t="shared" si="6"/>
        <v>7</v>
      </c>
      <c r="B13" s="33" t="s">
        <v>30</v>
      </c>
      <c r="C13" s="33">
        <f>44+25</f>
        <v>69</v>
      </c>
      <c r="D13" s="33">
        <f>D11</f>
        <v>502</v>
      </c>
      <c r="E13" s="33">
        <v>3</v>
      </c>
      <c r="F13" s="33">
        <f>G$4*4</f>
        <v>4</v>
      </c>
      <c r="G13" s="33"/>
      <c r="H13" s="33"/>
      <c r="I13" s="33">
        <f t="shared" si="0"/>
        <v>3.3252480000000002</v>
      </c>
      <c r="J13" s="33">
        <f t="shared" si="1"/>
        <v>2.9816390400000001</v>
      </c>
      <c r="K13" s="30">
        <f t="shared" si="7"/>
        <v>232.76736000000002</v>
      </c>
      <c r="L13" s="30">
        <f t="shared" si="2"/>
        <v>23.276736000000003</v>
      </c>
      <c r="M13" s="30">
        <f t="shared" si="8"/>
        <v>66.504960000000011</v>
      </c>
      <c r="N13" s="30">
        <v>0</v>
      </c>
      <c r="O13" s="30">
        <f>D13/25*F13*0.15</f>
        <v>12.047999999999998</v>
      </c>
      <c r="P13" s="30">
        <f t="shared" si="3"/>
        <v>38.761307520000003</v>
      </c>
      <c r="Q13" s="30">
        <v>0</v>
      </c>
      <c r="R13" s="30">
        <f t="shared" si="4"/>
        <v>373.35836352000007</v>
      </c>
      <c r="S13" s="30">
        <f t="shared" si="5"/>
        <v>497.81115136000011</v>
      </c>
      <c r="T13" s="35"/>
    </row>
    <row r="14" spans="1:24" x14ac:dyDescent="0.2">
      <c r="A14" s="11">
        <f t="shared" si="6"/>
        <v>8</v>
      </c>
      <c r="B14" s="33" t="s">
        <v>31</v>
      </c>
      <c r="C14" s="33">
        <f>15+38+15</f>
        <v>68</v>
      </c>
      <c r="D14" s="33">
        <f>D11</f>
        <v>502</v>
      </c>
      <c r="E14" s="33">
        <v>2</v>
      </c>
      <c r="F14" s="33">
        <f>G$4*4</f>
        <v>4</v>
      </c>
      <c r="G14" s="33"/>
      <c r="H14" s="33"/>
      <c r="I14" s="33">
        <f t="shared" si="0"/>
        <v>2.184704</v>
      </c>
      <c r="J14" s="33">
        <f t="shared" si="1"/>
        <v>2.9384268799999997</v>
      </c>
      <c r="K14" s="30">
        <f t="shared" si="7"/>
        <v>152.92928000000001</v>
      </c>
      <c r="L14" s="30">
        <f t="shared" si="2"/>
        <v>15.292928000000002</v>
      </c>
      <c r="M14" s="30">
        <f t="shared" si="8"/>
        <v>43.69408</v>
      </c>
      <c r="N14" s="30">
        <v>0</v>
      </c>
      <c r="O14" s="30">
        <v>0</v>
      </c>
      <c r="P14" s="30">
        <f t="shared" si="3"/>
        <v>38.199549439999998</v>
      </c>
      <c r="Q14" s="30">
        <v>0</v>
      </c>
      <c r="R14" s="30">
        <f t="shared" si="4"/>
        <v>250.11583744000001</v>
      </c>
      <c r="S14" s="30">
        <f t="shared" si="5"/>
        <v>333.48778325333336</v>
      </c>
      <c r="T14" s="35"/>
    </row>
    <row r="15" spans="1:24" x14ac:dyDescent="0.2">
      <c r="A15" s="11">
        <f t="shared" si="6"/>
        <v>9</v>
      </c>
      <c r="B15" s="33" t="s">
        <v>32</v>
      </c>
      <c r="C15" s="33">
        <v>0</v>
      </c>
      <c r="D15" s="33"/>
      <c r="E15" s="33"/>
      <c r="F15" s="33">
        <f>G$4*8</f>
        <v>8</v>
      </c>
      <c r="G15" s="33"/>
      <c r="H15" s="33"/>
      <c r="I15" s="33">
        <f t="shared" si="0"/>
        <v>0</v>
      </c>
      <c r="J15" s="33">
        <f t="shared" si="1"/>
        <v>0</v>
      </c>
      <c r="K15" s="30">
        <f t="shared" si="7"/>
        <v>0</v>
      </c>
      <c r="L15" s="30">
        <f t="shared" si="2"/>
        <v>0</v>
      </c>
      <c r="M15" s="30">
        <f t="shared" si="8"/>
        <v>0</v>
      </c>
      <c r="N15" s="30">
        <v>0</v>
      </c>
      <c r="O15" s="30">
        <v>0</v>
      </c>
      <c r="P15" s="30">
        <f t="shared" si="3"/>
        <v>0</v>
      </c>
      <c r="Q15" s="30">
        <f>40*F15</f>
        <v>320</v>
      </c>
      <c r="R15" s="30">
        <f t="shared" si="4"/>
        <v>320</v>
      </c>
      <c r="S15" s="30">
        <f t="shared" si="5"/>
        <v>426.66666666666669</v>
      </c>
      <c r="T15" s="39"/>
    </row>
    <row r="16" spans="1:24" x14ac:dyDescent="0.2">
      <c r="A16" s="36">
        <f t="shared" si="6"/>
        <v>10</v>
      </c>
      <c r="B16" s="13" t="s">
        <v>33</v>
      </c>
      <c r="C16" s="13">
        <v>0</v>
      </c>
      <c r="D16" s="13"/>
      <c r="E16" s="13"/>
      <c r="F16" s="13">
        <f>G$4*8</f>
        <v>8</v>
      </c>
      <c r="G16" s="13"/>
      <c r="H16" s="13"/>
      <c r="I16" s="13">
        <f t="shared" si="0"/>
        <v>0</v>
      </c>
      <c r="J16" s="13">
        <f t="shared" si="1"/>
        <v>0</v>
      </c>
      <c r="K16" s="14">
        <f t="shared" si="7"/>
        <v>0</v>
      </c>
      <c r="L16" s="14">
        <f t="shared" si="2"/>
        <v>0</v>
      </c>
      <c r="M16" s="14">
        <f>I16*K$5</f>
        <v>0</v>
      </c>
      <c r="N16" s="14">
        <v>0</v>
      </c>
      <c r="O16" s="14">
        <v>0</v>
      </c>
      <c r="P16" s="14">
        <f t="shared" si="3"/>
        <v>0</v>
      </c>
      <c r="Q16" s="14">
        <f>F16*1.6</f>
        <v>12.8</v>
      </c>
      <c r="R16" s="14">
        <f t="shared" si="4"/>
        <v>12.8</v>
      </c>
      <c r="S16" s="14">
        <f t="shared" si="5"/>
        <v>17.066666666666666</v>
      </c>
      <c r="T16" s="37">
        <f>SUM(S7:S16)</f>
        <v>7030.0327899306667</v>
      </c>
      <c r="V16" s="4"/>
      <c r="X16" s="4">
        <f>V16+V23+V32+V37+V42+V69</f>
        <v>0</v>
      </c>
    </row>
    <row r="17" spans="1:22" x14ac:dyDescent="0.2">
      <c r="A17" s="7">
        <f t="shared" si="6"/>
        <v>11</v>
      </c>
      <c r="B17" s="9" t="s">
        <v>34</v>
      </c>
      <c r="C17" s="9">
        <f>C4-6+40-1.75*4+45</f>
        <v>872</v>
      </c>
      <c r="D17" s="9">
        <f>E4+23</f>
        <v>1823</v>
      </c>
      <c r="E17" s="9">
        <v>2</v>
      </c>
      <c r="F17" s="9">
        <f>G4*2</f>
        <v>2</v>
      </c>
      <c r="G17" s="9"/>
      <c r="H17" s="9"/>
      <c r="I17" s="9">
        <f t="shared" si="0"/>
        <v>50.868991999999999</v>
      </c>
      <c r="J17" s="9">
        <f t="shared" si="1"/>
        <v>68.418794239999997</v>
      </c>
      <c r="K17" s="10">
        <f t="shared" si="7"/>
        <v>3560.82944</v>
      </c>
      <c r="L17" s="10">
        <f t="shared" si="2"/>
        <v>356.082944</v>
      </c>
      <c r="M17" s="10">
        <f>I17*M$5</f>
        <v>1017.3798399999999</v>
      </c>
      <c r="N17" s="10">
        <f>F17*150</f>
        <v>300</v>
      </c>
      <c r="O17" s="10">
        <v>0</v>
      </c>
      <c r="P17" s="10">
        <f t="shared" si="3"/>
        <v>889.44432511999992</v>
      </c>
      <c r="Q17" s="10">
        <v>0</v>
      </c>
      <c r="R17" s="10">
        <f t="shared" si="4"/>
        <v>6123.7365491199998</v>
      </c>
      <c r="S17" s="10">
        <f t="shared" si="5"/>
        <v>8164.9820654933328</v>
      </c>
      <c r="T17" s="34"/>
    </row>
    <row r="18" spans="1:22" x14ac:dyDescent="0.2">
      <c r="A18" s="11">
        <f t="shared" si="6"/>
        <v>12</v>
      </c>
      <c r="B18" s="42" t="s">
        <v>35</v>
      </c>
      <c r="C18" s="33">
        <v>69</v>
      </c>
      <c r="D18" s="33">
        <f>E4-140</f>
        <v>1660</v>
      </c>
      <c r="E18" s="33">
        <v>1.6</v>
      </c>
      <c r="F18" s="33">
        <f>F17*2</f>
        <v>4</v>
      </c>
      <c r="G18" s="33"/>
      <c r="H18" s="33"/>
      <c r="I18" s="33">
        <f t="shared" si="0"/>
        <v>5.8644480000000003</v>
      </c>
      <c r="J18" s="33">
        <f t="shared" si="1"/>
        <v>9.8596032000000005</v>
      </c>
      <c r="K18" s="30">
        <f t="shared" si="7"/>
        <v>410.51136000000002</v>
      </c>
      <c r="L18" s="30">
        <f t="shared" si="2"/>
        <v>41.051136000000007</v>
      </c>
      <c r="M18" s="30">
        <f t="shared" ref="M18:M21" si="9">I18*M$5</f>
        <v>117.28896</v>
      </c>
      <c r="N18" s="30">
        <v>0</v>
      </c>
      <c r="O18" s="30">
        <v>0</v>
      </c>
      <c r="P18" s="30">
        <f t="shared" si="3"/>
        <v>128.17484160000001</v>
      </c>
      <c r="Q18" s="30">
        <v>0</v>
      </c>
      <c r="R18" s="30">
        <f t="shared" si="4"/>
        <v>697.02629760000002</v>
      </c>
      <c r="S18" s="30">
        <f t="shared" si="5"/>
        <v>929.36839680000003</v>
      </c>
      <c r="T18" s="35"/>
    </row>
    <row r="19" spans="1:22" x14ac:dyDescent="0.2">
      <c r="A19" s="11">
        <f t="shared" si="6"/>
        <v>13</v>
      </c>
      <c r="B19" s="42" t="s">
        <v>36</v>
      </c>
      <c r="C19" s="33">
        <v>69</v>
      </c>
      <c r="D19" s="33">
        <f>C4-160</f>
        <v>640</v>
      </c>
      <c r="E19" s="33">
        <v>1.6</v>
      </c>
      <c r="F19" s="33">
        <f>3*F17</f>
        <v>6</v>
      </c>
      <c r="G19" s="33"/>
      <c r="H19" s="33"/>
      <c r="I19" s="33">
        <f t="shared" si="0"/>
        <v>3.3914880000000007</v>
      </c>
      <c r="J19" s="33">
        <f t="shared" si="1"/>
        <v>5.7019392</v>
      </c>
      <c r="K19" s="30">
        <f t="shared" si="7"/>
        <v>237.40416000000005</v>
      </c>
      <c r="L19" s="30">
        <f t="shared" si="2"/>
        <v>23.740416000000007</v>
      </c>
      <c r="M19" s="30">
        <f t="shared" si="9"/>
        <v>67.829760000000022</v>
      </c>
      <c r="N19" s="30">
        <v>0</v>
      </c>
      <c r="O19" s="30">
        <v>0</v>
      </c>
      <c r="P19" s="30">
        <f t="shared" si="3"/>
        <v>74.125209600000005</v>
      </c>
      <c r="Q19" s="30">
        <v>0</v>
      </c>
      <c r="R19" s="30">
        <f t="shared" si="4"/>
        <v>403.09954560000006</v>
      </c>
      <c r="S19" s="30">
        <f t="shared" si="5"/>
        <v>537.46606080000004</v>
      </c>
      <c r="T19" s="35"/>
    </row>
    <row r="20" spans="1:22" x14ac:dyDescent="0.2">
      <c r="A20" s="11">
        <f t="shared" si="6"/>
        <v>14</v>
      </c>
      <c r="B20" s="33" t="s">
        <v>37</v>
      </c>
      <c r="C20" s="33"/>
      <c r="D20" s="33"/>
      <c r="E20" s="33"/>
      <c r="F20" s="33">
        <f>((C17/1000*2)+(D17/1000*2))*F17</f>
        <v>10.78</v>
      </c>
      <c r="G20" s="33"/>
      <c r="H20" s="33"/>
      <c r="I20" s="33">
        <f t="shared" si="0"/>
        <v>0</v>
      </c>
      <c r="J20" s="33">
        <f t="shared" si="1"/>
        <v>0</v>
      </c>
      <c r="K20" s="30">
        <f t="shared" si="7"/>
        <v>0</v>
      </c>
      <c r="L20" s="30">
        <f t="shared" si="2"/>
        <v>0</v>
      </c>
      <c r="M20" s="30">
        <f t="shared" si="9"/>
        <v>0</v>
      </c>
      <c r="N20" s="30">
        <v>0</v>
      </c>
      <c r="O20" s="30">
        <v>0</v>
      </c>
      <c r="P20" s="30">
        <f t="shared" si="3"/>
        <v>0</v>
      </c>
      <c r="Q20" s="30">
        <f>F20*35</f>
        <v>377.29999999999995</v>
      </c>
      <c r="R20" s="30">
        <f t="shared" si="4"/>
        <v>377.29999999999995</v>
      </c>
      <c r="S20" s="30">
        <f t="shared" si="5"/>
        <v>503.06666666666661</v>
      </c>
      <c r="T20" s="35"/>
    </row>
    <row r="21" spans="1:22" x14ac:dyDescent="0.2">
      <c r="A21" s="11">
        <f t="shared" si="6"/>
        <v>15</v>
      </c>
      <c r="B21" s="33" t="s">
        <v>38</v>
      </c>
      <c r="C21" s="33"/>
      <c r="D21" s="33"/>
      <c r="E21" s="33"/>
      <c r="F21" s="33">
        <f>F17</f>
        <v>2</v>
      </c>
      <c r="G21" s="33"/>
      <c r="H21" s="33"/>
      <c r="I21" s="33">
        <f t="shared" si="0"/>
        <v>0</v>
      </c>
      <c r="J21" s="33">
        <f t="shared" si="1"/>
        <v>0</v>
      </c>
      <c r="K21" s="30">
        <f t="shared" si="7"/>
        <v>0</v>
      </c>
      <c r="L21" s="30">
        <f t="shared" si="2"/>
        <v>0</v>
      </c>
      <c r="M21" s="30">
        <f t="shared" si="9"/>
        <v>0</v>
      </c>
      <c r="N21" s="30">
        <v>0</v>
      </c>
      <c r="O21" s="30">
        <v>0</v>
      </c>
      <c r="P21" s="30">
        <f t="shared" si="3"/>
        <v>0</v>
      </c>
      <c r="Q21" s="30">
        <f>650*F21</f>
        <v>1300</v>
      </c>
      <c r="R21" s="30">
        <f t="shared" si="4"/>
        <v>1300</v>
      </c>
      <c r="S21" s="30">
        <f t="shared" si="5"/>
        <v>1733.3333333333333</v>
      </c>
      <c r="T21" s="35"/>
    </row>
    <row r="22" spans="1:22" x14ac:dyDescent="0.2">
      <c r="A22" s="11">
        <f t="shared" si="6"/>
        <v>16</v>
      </c>
      <c r="B22" s="33" t="s">
        <v>39</v>
      </c>
      <c r="C22" s="33"/>
      <c r="D22" s="33"/>
      <c r="E22" s="33"/>
      <c r="F22" s="33">
        <f>F17*4</f>
        <v>8</v>
      </c>
      <c r="G22" s="33"/>
      <c r="H22" s="33"/>
      <c r="I22" s="33">
        <f t="shared" si="0"/>
        <v>0</v>
      </c>
      <c r="J22" s="33">
        <f t="shared" si="1"/>
        <v>0</v>
      </c>
      <c r="K22" s="30">
        <f t="shared" si="7"/>
        <v>0</v>
      </c>
      <c r="L22" s="30">
        <f t="shared" si="2"/>
        <v>0</v>
      </c>
      <c r="M22" s="30">
        <f t="shared" ref="M22" si="10">I22*M$5</f>
        <v>0</v>
      </c>
      <c r="N22" s="30">
        <v>0</v>
      </c>
      <c r="O22" s="30">
        <v>0</v>
      </c>
      <c r="P22" s="30">
        <f t="shared" si="3"/>
        <v>0</v>
      </c>
      <c r="Q22" s="30">
        <f>F22*60</f>
        <v>480</v>
      </c>
      <c r="R22" s="30">
        <f t="shared" si="4"/>
        <v>480</v>
      </c>
      <c r="S22" s="30">
        <f t="shared" si="5"/>
        <v>640</v>
      </c>
      <c r="T22" s="39"/>
    </row>
    <row r="23" spans="1:22" x14ac:dyDescent="0.2">
      <c r="A23" s="36">
        <f t="shared" si="6"/>
        <v>17</v>
      </c>
      <c r="B23" s="13" t="s">
        <v>40</v>
      </c>
      <c r="C23" s="13"/>
      <c r="D23" s="13"/>
      <c r="E23" s="13"/>
      <c r="F23" s="13">
        <f>F18*4+F19*3</f>
        <v>34</v>
      </c>
      <c r="G23" s="13"/>
      <c r="H23" s="13"/>
      <c r="I23" s="13">
        <f t="shared" si="0"/>
        <v>0</v>
      </c>
      <c r="J23" s="13">
        <f t="shared" si="1"/>
        <v>0</v>
      </c>
      <c r="K23" s="14">
        <f t="shared" si="7"/>
        <v>0</v>
      </c>
      <c r="L23" s="14">
        <f t="shared" si="2"/>
        <v>0</v>
      </c>
      <c r="M23" s="14">
        <f>I23*K$5</f>
        <v>0</v>
      </c>
      <c r="N23" s="14">
        <v>0</v>
      </c>
      <c r="O23" s="14">
        <v>0</v>
      </c>
      <c r="P23" s="14">
        <f t="shared" si="3"/>
        <v>0</v>
      </c>
      <c r="Q23" s="14">
        <f>F23*8</f>
        <v>272</v>
      </c>
      <c r="R23" s="14">
        <f t="shared" si="4"/>
        <v>272</v>
      </c>
      <c r="S23" s="14">
        <f t="shared" si="5"/>
        <v>362.66666666666669</v>
      </c>
      <c r="T23" s="37">
        <f>SUM(S17:S23)</f>
        <v>12870.883189759999</v>
      </c>
      <c r="V23" s="4"/>
    </row>
    <row r="24" spans="1:22" x14ac:dyDescent="0.2">
      <c r="A24" s="7">
        <f t="shared" si="6"/>
        <v>18</v>
      </c>
      <c r="B24" s="9" t="s">
        <v>41</v>
      </c>
      <c r="C24" s="41">
        <f>F4+79.4</f>
        <v>179.4</v>
      </c>
      <c r="D24" s="9">
        <f>D4+189.4</f>
        <v>789.4</v>
      </c>
      <c r="E24" s="9">
        <v>3</v>
      </c>
      <c r="F24" s="9">
        <f>2*G$4</f>
        <v>2</v>
      </c>
      <c r="G24" s="9"/>
      <c r="H24" s="9"/>
      <c r="I24" s="9">
        <f t="shared" si="0"/>
        <v>6.7976812799999999</v>
      </c>
      <c r="J24" s="9">
        <f t="shared" si="1"/>
        <v>6.0952542143999997</v>
      </c>
      <c r="K24" s="10">
        <f t="shared" si="7"/>
        <v>475.83768959999998</v>
      </c>
      <c r="L24" s="10">
        <f t="shared" si="2"/>
        <v>47.58376896</v>
      </c>
      <c r="M24" s="10">
        <f>I24*M$5</f>
        <v>135.95362560000001</v>
      </c>
      <c r="N24" s="10">
        <f>50*F24</f>
        <v>100</v>
      </c>
      <c r="O24" s="10">
        <v>0</v>
      </c>
      <c r="P24" s="10">
        <f t="shared" si="3"/>
        <v>79.238304787199993</v>
      </c>
      <c r="Q24" s="10">
        <v>0</v>
      </c>
      <c r="R24" s="10">
        <f t="shared" si="4"/>
        <v>838.61338894720006</v>
      </c>
      <c r="S24" s="10">
        <f t="shared" si="5"/>
        <v>1118.1511852629335</v>
      </c>
      <c r="T24" s="34"/>
      <c r="V24" s="4"/>
    </row>
    <row r="25" spans="1:22" x14ac:dyDescent="0.2">
      <c r="A25" s="11">
        <f t="shared" si="6"/>
        <v>19</v>
      </c>
      <c r="B25" s="33" t="s">
        <v>42</v>
      </c>
      <c r="C25" s="40">
        <v>85</v>
      </c>
      <c r="D25" s="33">
        <f>F4-15</f>
        <v>85</v>
      </c>
      <c r="E25" s="33">
        <v>2</v>
      </c>
      <c r="F25" s="33">
        <v>0</v>
      </c>
      <c r="G25" s="33"/>
      <c r="H25" s="33"/>
      <c r="I25" s="33">
        <f t="shared" si="0"/>
        <v>0</v>
      </c>
      <c r="J25" s="33">
        <f t="shared" si="1"/>
        <v>0</v>
      </c>
      <c r="K25" s="30">
        <f t="shared" si="7"/>
        <v>0</v>
      </c>
      <c r="L25" s="30">
        <f t="shared" si="2"/>
        <v>0</v>
      </c>
      <c r="M25" s="30">
        <f t="shared" ref="M25:M27" si="11">I25*M$5</f>
        <v>0</v>
      </c>
      <c r="N25" s="30">
        <v>0</v>
      </c>
      <c r="O25" s="30">
        <v>0</v>
      </c>
      <c r="P25" s="30">
        <f t="shared" si="3"/>
        <v>0</v>
      </c>
      <c r="Q25" s="30">
        <v>0</v>
      </c>
      <c r="R25" s="30">
        <f t="shared" si="4"/>
        <v>0</v>
      </c>
      <c r="S25" s="30">
        <f t="shared" si="5"/>
        <v>0</v>
      </c>
      <c r="T25" s="35"/>
      <c r="V25" s="4"/>
    </row>
    <row r="26" spans="1:22" x14ac:dyDescent="0.2">
      <c r="A26" s="11">
        <f t="shared" si="6"/>
        <v>20</v>
      </c>
      <c r="B26" s="33" t="s">
        <v>96</v>
      </c>
      <c r="C26" s="40">
        <f>F4-5+44</f>
        <v>139</v>
      </c>
      <c r="D26" s="33">
        <f>C4-121*2</f>
        <v>558</v>
      </c>
      <c r="E26" s="33">
        <v>2</v>
      </c>
      <c r="F26" s="33">
        <v>0</v>
      </c>
      <c r="G26" s="33"/>
      <c r="H26" s="33"/>
      <c r="I26" s="33"/>
      <c r="J26" s="33"/>
      <c r="K26" s="30"/>
      <c r="L26" s="30"/>
      <c r="M26" s="30"/>
      <c r="N26" s="30"/>
      <c r="O26" s="30"/>
      <c r="P26" s="30"/>
      <c r="Q26" s="30"/>
      <c r="R26" s="30"/>
      <c r="S26" s="30"/>
      <c r="T26" s="35"/>
      <c r="V26" s="4"/>
    </row>
    <row r="27" spans="1:22" x14ac:dyDescent="0.2">
      <c r="A27" s="11">
        <f t="shared" si="6"/>
        <v>21</v>
      </c>
      <c r="B27" s="33" t="s">
        <v>43</v>
      </c>
      <c r="C27" s="40">
        <f>F4+82</f>
        <v>182</v>
      </c>
      <c r="D27" s="40">
        <f>C4-79</f>
        <v>721</v>
      </c>
      <c r="E27" s="33">
        <v>3</v>
      </c>
      <c r="F27" s="33">
        <f>2*G$4</f>
        <v>2</v>
      </c>
      <c r="G27" s="33"/>
      <c r="H27" s="33"/>
      <c r="I27" s="33">
        <f t="shared" si="0"/>
        <v>6.2986560000000003</v>
      </c>
      <c r="J27" s="33">
        <f t="shared" si="1"/>
        <v>5.6477948800000002</v>
      </c>
      <c r="K27" s="30">
        <f t="shared" si="7"/>
        <v>440.90592000000004</v>
      </c>
      <c r="L27" s="30">
        <f t="shared" si="2"/>
        <v>44.090592000000008</v>
      </c>
      <c r="M27" s="30">
        <f t="shared" si="11"/>
        <v>125.97312000000001</v>
      </c>
      <c r="N27" s="30">
        <v>0</v>
      </c>
      <c r="O27" s="30">
        <v>0</v>
      </c>
      <c r="P27" s="30">
        <f t="shared" si="3"/>
        <v>73.421333439999998</v>
      </c>
      <c r="Q27" s="30">
        <v>0</v>
      </c>
      <c r="R27" s="30">
        <f t="shared" si="4"/>
        <v>684.39096544000006</v>
      </c>
      <c r="S27" s="30">
        <f t="shared" si="5"/>
        <v>912.52128725333341</v>
      </c>
      <c r="T27" s="35"/>
      <c r="V27" s="4"/>
    </row>
    <row r="28" spans="1:22" x14ac:dyDescent="0.2">
      <c r="A28" s="36">
        <f t="shared" si="6"/>
        <v>22</v>
      </c>
      <c r="B28" s="13" t="s">
        <v>44</v>
      </c>
      <c r="C28" s="15">
        <f>F4+3</f>
        <v>103</v>
      </c>
      <c r="D28" s="15">
        <f>C4-162</f>
        <v>638</v>
      </c>
      <c r="E28" s="13">
        <v>1.6</v>
      </c>
      <c r="F28" s="13">
        <f>2*G$4</f>
        <v>2</v>
      </c>
      <c r="G28" s="13"/>
      <c r="H28" s="13"/>
      <c r="I28" s="13">
        <f t="shared" si="0"/>
        <v>1.6822784</v>
      </c>
      <c r="J28" s="13">
        <f t="shared" si="1"/>
        <v>2.8283305599999995</v>
      </c>
      <c r="K28" s="14">
        <f t="shared" si="7"/>
        <v>117.75948799999999</v>
      </c>
      <c r="L28" s="14">
        <f t="shared" si="2"/>
        <v>11.7759488</v>
      </c>
      <c r="M28" s="14">
        <f>I28*K$5</f>
        <v>117.75948799999999</v>
      </c>
      <c r="N28" s="14">
        <v>0</v>
      </c>
      <c r="O28" s="14">
        <v>0</v>
      </c>
      <c r="P28" s="14">
        <f t="shared" si="3"/>
        <v>36.768297279999992</v>
      </c>
      <c r="Q28" s="14">
        <v>0</v>
      </c>
      <c r="R28" s="14">
        <f t="shared" si="4"/>
        <v>284.06322208</v>
      </c>
      <c r="S28" s="14">
        <f t="shared" si="5"/>
        <v>378.75096277333336</v>
      </c>
      <c r="T28" s="37">
        <f>SUM(S24:S28)</f>
        <v>2409.4234352896001</v>
      </c>
      <c r="U28" s="4"/>
      <c r="V28" s="4"/>
    </row>
    <row r="29" spans="1:22" x14ac:dyDescent="0.2">
      <c r="A29" s="7">
        <f t="shared" si="6"/>
        <v>23</v>
      </c>
      <c r="B29" s="9" t="s">
        <v>45</v>
      </c>
      <c r="C29" s="9">
        <f>C4+33</f>
        <v>833</v>
      </c>
      <c r="D29" s="9">
        <f>D4-16</f>
        <v>584</v>
      </c>
      <c r="E29" s="9">
        <v>1.6</v>
      </c>
      <c r="F29" s="9">
        <f>G4</f>
        <v>1</v>
      </c>
      <c r="G29" s="9"/>
      <c r="H29" s="9"/>
      <c r="I29" s="9">
        <f t="shared" si="0"/>
        <v>6.2268416000000002</v>
      </c>
      <c r="J29" s="9">
        <f t="shared" si="1"/>
        <v>10.468877439999998</v>
      </c>
      <c r="K29" s="10">
        <f t="shared" si="7"/>
        <v>435.87891200000001</v>
      </c>
      <c r="L29" s="10">
        <f t="shared" si="2"/>
        <v>43.587891200000001</v>
      </c>
      <c r="M29" s="10">
        <f>I29*M$5</f>
        <v>124.536832</v>
      </c>
      <c r="N29" s="10">
        <v>20</v>
      </c>
      <c r="O29" s="10">
        <v>0</v>
      </c>
      <c r="P29" s="10">
        <f t="shared" si="3"/>
        <v>136.09540671999997</v>
      </c>
      <c r="Q29" s="10">
        <v>0</v>
      </c>
      <c r="R29" s="10">
        <f t="shared" si="4"/>
        <v>760.09904191999999</v>
      </c>
      <c r="S29" s="10">
        <f t="shared" si="5"/>
        <v>1013.4653892266666</v>
      </c>
      <c r="T29" s="34"/>
      <c r="V29" s="4"/>
    </row>
    <row r="30" spans="1:22" x14ac:dyDescent="0.2">
      <c r="A30" s="11">
        <f t="shared" si="6"/>
        <v>24</v>
      </c>
      <c r="B30" s="33" t="s">
        <v>37</v>
      </c>
      <c r="C30" s="33"/>
      <c r="D30" s="33"/>
      <c r="E30" s="33"/>
      <c r="F30" s="33">
        <f>((C4/1000*2)+(D4/1000*2))*F29</f>
        <v>2.8</v>
      </c>
      <c r="G30" s="33"/>
      <c r="H30" s="33"/>
      <c r="I30" s="33">
        <f t="shared" si="0"/>
        <v>0</v>
      </c>
      <c r="J30" s="33">
        <f t="shared" si="1"/>
        <v>0</v>
      </c>
      <c r="K30" s="30">
        <f t="shared" si="7"/>
        <v>0</v>
      </c>
      <c r="L30" s="30">
        <f t="shared" si="2"/>
        <v>0</v>
      </c>
      <c r="M30" s="30">
        <f t="shared" ref="M30:M31" si="12">I30*M$5</f>
        <v>0</v>
      </c>
      <c r="N30" s="30">
        <v>0</v>
      </c>
      <c r="O30" s="30">
        <v>0</v>
      </c>
      <c r="P30" s="30">
        <f t="shared" si="3"/>
        <v>0</v>
      </c>
      <c r="Q30" s="30">
        <f>12*F30</f>
        <v>33.599999999999994</v>
      </c>
      <c r="R30" s="30">
        <f t="shared" si="4"/>
        <v>33.599999999999994</v>
      </c>
      <c r="S30" s="30">
        <f t="shared" si="5"/>
        <v>44.79999999999999</v>
      </c>
      <c r="T30" s="35"/>
      <c r="V30" s="4"/>
    </row>
    <row r="31" spans="1:22" x14ac:dyDescent="0.2">
      <c r="A31" s="11">
        <f t="shared" si="6"/>
        <v>25</v>
      </c>
      <c r="B31" s="33" t="s">
        <v>46</v>
      </c>
      <c r="C31" s="33"/>
      <c r="D31" s="33"/>
      <c r="E31" s="33"/>
      <c r="F31" s="33">
        <f>4*G4</f>
        <v>4</v>
      </c>
      <c r="G31" s="33"/>
      <c r="H31" s="33"/>
      <c r="I31" s="33">
        <f t="shared" si="0"/>
        <v>0</v>
      </c>
      <c r="J31" s="33">
        <f t="shared" si="1"/>
        <v>0</v>
      </c>
      <c r="K31" s="30">
        <f t="shared" si="7"/>
        <v>0</v>
      </c>
      <c r="L31" s="30">
        <f t="shared" si="2"/>
        <v>0</v>
      </c>
      <c r="M31" s="30">
        <f t="shared" si="12"/>
        <v>0</v>
      </c>
      <c r="N31" s="30">
        <v>0</v>
      </c>
      <c r="O31" s="30">
        <v>0</v>
      </c>
      <c r="P31" s="30">
        <f>J31*P$5</f>
        <v>0</v>
      </c>
      <c r="Q31" s="30">
        <f>F31*40</f>
        <v>160</v>
      </c>
      <c r="R31" s="30">
        <f t="shared" si="4"/>
        <v>160</v>
      </c>
      <c r="S31" s="30">
        <f t="shared" si="5"/>
        <v>213.33333333333334</v>
      </c>
      <c r="T31" s="35"/>
      <c r="V31" s="4"/>
    </row>
    <row r="32" spans="1:22" x14ac:dyDescent="0.2">
      <c r="A32" s="36">
        <f>A31+1</f>
        <v>26</v>
      </c>
      <c r="B32" s="13" t="s">
        <v>40</v>
      </c>
      <c r="C32" s="13"/>
      <c r="D32" s="13"/>
      <c r="E32" s="13"/>
      <c r="F32" s="13"/>
      <c r="G32" s="13"/>
      <c r="H32" s="13"/>
      <c r="I32" s="13">
        <f t="shared" si="0"/>
        <v>0</v>
      </c>
      <c r="J32" s="13">
        <f t="shared" si="1"/>
        <v>0</v>
      </c>
      <c r="K32" s="14">
        <f t="shared" si="7"/>
        <v>0</v>
      </c>
      <c r="L32" s="14">
        <f t="shared" si="2"/>
        <v>0</v>
      </c>
      <c r="M32" s="14">
        <f>I32*K$5</f>
        <v>0</v>
      </c>
      <c r="N32" s="14">
        <v>0</v>
      </c>
      <c r="O32" s="14">
        <v>0</v>
      </c>
      <c r="P32" s="14">
        <f t="shared" si="3"/>
        <v>0</v>
      </c>
      <c r="Q32" s="14">
        <v>0</v>
      </c>
      <c r="R32" s="14">
        <f t="shared" si="4"/>
        <v>0</v>
      </c>
      <c r="S32" s="14">
        <f t="shared" si="5"/>
        <v>0</v>
      </c>
      <c r="T32" s="37">
        <f>SUM(S29:S32)</f>
        <v>1271.5987225599999</v>
      </c>
      <c r="V32" s="4"/>
    </row>
    <row r="33" spans="1:22" x14ac:dyDescent="0.2">
      <c r="A33" s="7">
        <f t="shared" si="6"/>
        <v>27</v>
      </c>
      <c r="B33" s="9" t="s">
        <v>47</v>
      </c>
      <c r="C33" s="9">
        <v>132</v>
      </c>
      <c r="D33" s="9">
        <f>C4</f>
        <v>800</v>
      </c>
      <c r="E33" s="9">
        <v>2</v>
      </c>
      <c r="F33" s="9">
        <v>0</v>
      </c>
      <c r="G33" s="9"/>
      <c r="H33" s="9"/>
      <c r="I33" s="9">
        <f t="shared" si="0"/>
        <v>0</v>
      </c>
      <c r="J33" s="9">
        <f t="shared" si="1"/>
        <v>0</v>
      </c>
      <c r="K33" s="10">
        <f t="shared" si="7"/>
        <v>0</v>
      </c>
      <c r="L33" s="10">
        <f t="shared" si="2"/>
        <v>0</v>
      </c>
      <c r="M33" s="10">
        <f>I33*M$5</f>
        <v>0</v>
      </c>
      <c r="N33" s="10">
        <v>0</v>
      </c>
      <c r="O33" s="10">
        <v>0</v>
      </c>
      <c r="P33" s="10">
        <f t="shared" si="3"/>
        <v>0</v>
      </c>
      <c r="Q33" s="10">
        <v>0</v>
      </c>
      <c r="R33" s="10">
        <f t="shared" si="4"/>
        <v>0</v>
      </c>
      <c r="S33" s="10">
        <f t="shared" si="5"/>
        <v>0</v>
      </c>
      <c r="T33" s="34"/>
      <c r="V33" s="4"/>
    </row>
    <row r="34" spans="1:22" x14ac:dyDescent="0.2">
      <c r="A34" s="11">
        <f t="shared" si="6"/>
        <v>28</v>
      </c>
      <c r="B34" s="33" t="s">
        <v>48</v>
      </c>
      <c r="C34" s="33">
        <f>(D11)/3+48</f>
        <v>215.33333333333334</v>
      </c>
      <c r="D34" s="33">
        <f>C4-158</f>
        <v>642</v>
      </c>
      <c r="E34" s="33">
        <v>2</v>
      </c>
      <c r="F34" s="30">
        <f>G4*3</f>
        <v>3</v>
      </c>
      <c r="G34" s="33"/>
      <c r="H34" s="33"/>
      <c r="I34" s="33">
        <f t="shared" si="0"/>
        <v>6.6357119999999998</v>
      </c>
      <c r="J34" s="33">
        <f t="shared" si="1"/>
        <v>8.9250326400000013</v>
      </c>
      <c r="K34" s="30">
        <f t="shared" si="7"/>
        <v>464.49984000000001</v>
      </c>
      <c r="L34" s="30">
        <f t="shared" si="2"/>
        <v>46.449984000000001</v>
      </c>
      <c r="M34" s="30">
        <f t="shared" ref="M34:M36" si="13">I34*M$5</f>
        <v>132.71423999999999</v>
      </c>
      <c r="N34" s="30">
        <v>0</v>
      </c>
      <c r="O34" s="30">
        <v>0</v>
      </c>
      <c r="P34" s="30">
        <f t="shared" si="3"/>
        <v>116.02542432000001</v>
      </c>
      <c r="Q34" s="30">
        <v>0</v>
      </c>
      <c r="R34" s="30">
        <f t="shared" si="4"/>
        <v>759.68948832000001</v>
      </c>
      <c r="S34" s="30">
        <f t="shared" si="5"/>
        <v>1012.91931776</v>
      </c>
      <c r="T34" s="39"/>
      <c r="V34" s="4"/>
    </row>
    <row r="35" spans="1:22" x14ac:dyDescent="0.2">
      <c r="A35" s="11">
        <f t="shared" si="6"/>
        <v>29</v>
      </c>
      <c r="B35" s="33" t="s">
        <v>49</v>
      </c>
      <c r="C35" s="33">
        <v>25</v>
      </c>
      <c r="D35" s="33">
        <v>60</v>
      </c>
      <c r="E35" s="33">
        <v>3</v>
      </c>
      <c r="F35" s="33">
        <f>(F34+F33)*2</f>
        <v>6</v>
      </c>
      <c r="G35" s="33"/>
      <c r="H35" s="33"/>
      <c r="I35" s="33">
        <f t="shared" si="0"/>
        <v>0.21600000000000003</v>
      </c>
      <c r="J35" s="33">
        <f t="shared" si="1"/>
        <v>0.19368000000000002</v>
      </c>
      <c r="K35" s="30">
        <f t="shared" si="7"/>
        <v>15.120000000000001</v>
      </c>
      <c r="L35" s="30">
        <f t="shared" si="2"/>
        <v>1.5120000000000002</v>
      </c>
      <c r="M35" s="30">
        <f t="shared" si="13"/>
        <v>4.32</v>
      </c>
      <c r="N35" s="30">
        <v>0</v>
      </c>
      <c r="O35" s="30">
        <v>0</v>
      </c>
      <c r="P35" s="30">
        <f t="shared" si="3"/>
        <v>2.5178400000000001</v>
      </c>
      <c r="Q35" s="30">
        <v>0</v>
      </c>
      <c r="R35" s="30">
        <f t="shared" si="4"/>
        <v>23.469840000000001</v>
      </c>
      <c r="S35" s="30">
        <f t="shared" si="5"/>
        <v>31.293120000000002</v>
      </c>
      <c r="T35" s="35"/>
      <c r="V35" s="4"/>
    </row>
    <row r="36" spans="1:22" x14ac:dyDescent="0.2">
      <c r="A36" s="11">
        <f t="shared" si="6"/>
        <v>30</v>
      </c>
      <c r="B36" s="33" t="s">
        <v>40</v>
      </c>
      <c r="C36" s="33"/>
      <c r="D36" s="33"/>
      <c r="E36" s="33"/>
      <c r="F36" s="33"/>
      <c r="G36" s="33"/>
      <c r="H36" s="33"/>
      <c r="I36" s="33">
        <f t="shared" si="0"/>
        <v>0</v>
      </c>
      <c r="J36" s="33">
        <f t="shared" si="1"/>
        <v>0</v>
      </c>
      <c r="K36" s="30">
        <f t="shared" si="7"/>
        <v>0</v>
      </c>
      <c r="L36" s="30">
        <f t="shared" si="2"/>
        <v>0</v>
      </c>
      <c r="M36" s="30">
        <f t="shared" si="13"/>
        <v>0</v>
      </c>
      <c r="N36" s="30">
        <v>0</v>
      </c>
      <c r="O36" s="30">
        <v>0</v>
      </c>
      <c r="P36" s="30">
        <f t="shared" si="3"/>
        <v>0</v>
      </c>
      <c r="Q36" s="30">
        <v>0</v>
      </c>
      <c r="R36" s="30">
        <f t="shared" si="4"/>
        <v>0</v>
      </c>
      <c r="S36" s="30">
        <f t="shared" si="5"/>
        <v>0</v>
      </c>
      <c r="T36" s="35"/>
      <c r="V36" s="4"/>
    </row>
    <row r="37" spans="1:22" x14ac:dyDescent="0.2">
      <c r="A37" s="36">
        <f t="shared" si="6"/>
        <v>31</v>
      </c>
      <c r="B37" s="13" t="s">
        <v>37</v>
      </c>
      <c r="C37" s="13"/>
      <c r="D37" s="13"/>
      <c r="E37" s="13"/>
      <c r="F37" s="13">
        <f>((C4/1000*2)+(D4/1000*2))*G4</f>
        <v>2.8</v>
      </c>
      <c r="G37" s="13"/>
      <c r="H37" s="13"/>
      <c r="I37" s="13">
        <f t="shared" si="0"/>
        <v>0</v>
      </c>
      <c r="J37" s="13">
        <f t="shared" si="1"/>
        <v>0</v>
      </c>
      <c r="K37" s="14">
        <f t="shared" si="7"/>
        <v>0</v>
      </c>
      <c r="L37" s="14">
        <f t="shared" si="2"/>
        <v>0</v>
      </c>
      <c r="M37" s="14">
        <f>I37*K$5</f>
        <v>0</v>
      </c>
      <c r="N37" s="14">
        <v>0</v>
      </c>
      <c r="O37" s="14">
        <v>0</v>
      </c>
      <c r="P37" s="14">
        <f t="shared" si="3"/>
        <v>0</v>
      </c>
      <c r="Q37" s="14">
        <f>12*F37</f>
        <v>33.599999999999994</v>
      </c>
      <c r="R37" s="14">
        <f t="shared" si="4"/>
        <v>33.599999999999994</v>
      </c>
      <c r="S37" s="14">
        <f t="shared" si="5"/>
        <v>44.79999999999999</v>
      </c>
      <c r="T37" s="37">
        <f>SUM(S33:S37)</f>
        <v>1089.01243776</v>
      </c>
      <c r="V37" s="4"/>
    </row>
    <row r="38" spans="1:22" x14ac:dyDescent="0.2">
      <c r="A38" s="7">
        <f t="shared" si="6"/>
        <v>32</v>
      </c>
      <c r="B38" s="9" t="s">
        <v>50</v>
      </c>
      <c r="C38" s="9">
        <f>C4+28</f>
        <v>828</v>
      </c>
      <c r="D38" s="9">
        <f>E4+25</f>
        <v>1825</v>
      </c>
      <c r="E38" s="9">
        <v>1.6</v>
      </c>
      <c r="F38" s="9">
        <f>G4*2-F17</f>
        <v>0</v>
      </c>
      <c r="G38" s="9"/>
      <c r="H38" s="9"/>
      <c r="I38" s="9">
        <f t="shared" si="0"/>
        <v>0</v>
      </c>
      <c r="J38" s="9">
        <f t="shared" si="1"/>
        <v>0</v>
      </c>
      <c r="K38" s="10">
        <f t="shared" si="7"/>
        <v>0</v>
      </c>
      <c r="L38" s="10">
        <f t="shared" si="2"/>
        <v>0</v>
      </c>
      <c r="M38" s="10">
        <f>I38*M$5</f>
        <v>0</v>
      </c>
      <c r="N38" s="10">
        <f>20*F38</f>
        <v>0</v>
      </c>
      <c r="O38" s="10">
        <v>0</v>
      </c>
      <c r="P38" s="10">
        <f t="shared" si="3"/>
        <v>0</v>
      </c>
      <c r="Q38" s="10">
        <v>0</v>
      </c>
      <c r="R38" s="10">
        <f t="shared" si="4"/>
        <v>0</v>
      </c>
      <c r="S38" s="10">
        <f t="shared" si="5"/>
        <v>0</v>
      </c>
      <c r="T38" s="34"/>
      <c r="V38" s="4"/>
    </row>
    <row r="39" spans="1:22" x14ac:dyDescent="0.2">
      <c r="A39" s="11">
        <f t="shared" si="6"/>
        <v>33</v>
      </c>
      <c r="B39" s="33" t="s">
        <v>31</v>
      </c>
      <c r="C39" s="33">
        <v>100</v>
      </c>
      <c r="D39" s="33">
        <v>100</v>
      </c>
      <c r="E39" s="33">
        <v>3</v>
      </c>
      <c r="F39" s="33">
        <f>F38*8</f>
        <v>0</v>
      </c>
      <c r="G39" s="33"/>
      <c r="H39" s="33"/>
      <c r="I39" s="33">
        <f t="shared" si="0"/>
        <v>0</v>
      </c>
      <c r="J39" s="33">
        <f t="shared" si="1"/>
        <v>0</v>
      </c>
      <c r="K39" s="30">
        <f t="shared" si="7"/>
        <v>0</v>
      </c>
      <c r="L39" s="30">
        <f t="shared" si="2"/>
        <v>0</v>
      </c>
      <c r="M39" s="30">
        <f t="shared" ref="M39:M41" si="14">I39*M$5</f>
        <v>0</v>
      </c>
      <c r="N39" s="30">
        <v>0</v>
      </c>
      <c r="O39" s="30">
        <v>0</v>
      </c>
      <c r="P39" s="30">
        <f t="shared" si="3"/>
        <v>0</v>
      </c>
      <c r="Q39" s="30">
        <v>0</v>
      </c>
      <c r="R39" s="30">
        <f t="shared" si="4"/>
        <v>0</v>
      </c>
      <c r="S39" s="30">
        <f t="shared" si="5"/>
        <v>0</v>
      </c>
      <c r="T39" s="35"/>
      <c r="V39" s="4"/>
    </row>
    <row r="40" spans="1:22" x14ac:dyDescent="0.2">
      <c r="A40" s="11">
        <f t="shared" si="6"/>
        <v>34</v>
      </c>
      <c r="B40" s="33" t="s">
        <v>37</v>
      </c>
      <c r="C40" s="33"/>
      <c r="D40" s="33"/>
      <c r="E40" s="33"/>
      <c r="F40" s="33">
        <f>((C4*2/1000)+(E4*2/1000))*F38</f>
        <v>0</v>
      </c>
      <c r="G40" s="33"/>
      <c r="H40" s="33"/>
      <c r="I40" s="33">
        <f t="shared" si="0"/>
        <v>0</v>
      </c>
      <c r="J40" s="33">
        <f t="shared" si="1"/>
        <v>0</v>
      </c>
      <c r="K40" s="30">
        <f t="shared" si="7"/>
        <v>0</v>
      </c>
      <c r="L40" s="30">
        <f t="shared" si="2"/>
        <v>0</v>
      </c>
      <c r="M40" s="30">
        <f t="shared" si="14"/>
        <v>0</v>
      </c>
      <c r="N40" s="30">
        <v>0</v>
      </c>
      <c r="O40" s="30">
        <v>0</v>
      </c>
      <c r="P40" s="30">
        <f t="shared" si="3"/>
        <v>0</v>
      </c>
      <c r="Q40" s="30">
        <f>35*F40</f>
        <v>0</v>
      </c>
      <c r="R40" s="30">
        <f t="shared" si="4"/>
        <v>0</v>
      </c>
      <c r="S40" s="30">
        <f t="shared" si="5"/>
        <v>0</v>
      </c>
      <c r="T40" s="35"/>
      <c r="V40" s="4"/>
    </row>
    <row r="41" spans="1:22" x14ac:dyDescent="0.2">
      <c r="A41" s="11">
        <f t="shared" si="6"/>
        <v>35</v>
      </c>
      <c r="B41" s="33" t="s">
        <v>40</v>
      </c>
      <c r="C41" s="33"/>
      <c r="D41" s="33"/>
      <c r="E41" s="33"/>
      <c r="F41" s="33"/>
      <c r="G41" s="33"/>
      <c r="H41" s="33"/>
      <c r="I41" s="33">
        <f t="shared" si="0"/>
        <v>0</v>
      </c>
      <c r="J41" s="33">
        <f t="shared" si="1"/>
        <v>0</v>
      </c>
      <c r="K41" s="30">
        <f t="shared" si="7"/>
        <v>0</v>
      </c>
      <c r="L41" s="30">
        <f t="shared" si="2"/>
        <v>0</v>
      </c>
      <c r="M41" s="30">
        <f t="shared" si="14"/>
        <v>0</v>
      </c>
      <c r="N41" s="30">
        <v>0</v>
      </c>
      <c r="O41" s="30">
        <v>0</v>
      </c>
      <c r="P41" s="30">
        <f t="shared" si="3"/>
        <v>0</v>
      </c>
      <c r="Q41" s="30">
        <v>0</v>
      </c>
      <c r="R41" s="30">
        <f t="shared" si="4"/>
        <v>0</v>
      </c>
      <c r="S41" s="30">
        <f t="shared" si="5"/>
        <v>0</v>
      </c>
      <c r="T41" s="35"/>
      <c r="V41" s="4"/>
    </row>
    <row r="42" spans="1:22" x14ac:dyDescent="0.2">
      <c r="A42" s="36">
        <f t="shared" si="6"/>
        <v>36</v>
      </c>
      <c r="B42" s="13" t="s">
        <v>51</v>
      </c>
      <c r="C42" s="13">
        <f>20*4+100</f>
        <v>180</v>
      </c>
      <c r="D42" s="13">
        <f>E4-150</f>
        <v>1650</v>
      </c>
      <c r="E42" s="13">
        <v>1.6</v>
      </c>
      <c r="F42" s="13">
        <f>F38</f>
        <v>0</v>
      </c>
      <c r="G42" s="13"/>
      <c r="H42" s="13"/>
      <c r="I42" s="13">
        <f t="shared" si="0"/>
        <v>0</v>
      </c>
      <c r="J42" s="13">
        <f t="shared" si="1"/>
        <v>0</v>
      </c>
      <c r="K42" s="14">
        <f t="shared" si="7"/>
        <v>0</v>
      </c>
      <c r="L42" s="14">
        <f t="shared" si="2"/>
        <v>0</v>
      </c>
      <c r="M42" s="14">
        <f>I42*K$5</f>
        <v>0</v>
      </c>
      <c r="N42" s="14">
        <v>0</v>
      </c>
      <c r="O42" s="14">
        <v>0</v>
      </c>
      <c r="P42" s="14">
        <f t="shared" si="3"/>
        <v>0</v>
      </c>
      <c r="Q42" s="14">
        <v>0</v>
      </c>
      <c r="R42" s="14">
        <f t="shared" si="4"/>
        <v>0</v>
      </c>
      <c r="S42" s="14">
        <f t="shared" si="5"/>
        <v>0</v>
      </c>
      <c r="T42" s="37">
        <f>SUM(S38:S42)</f>
        <v>0</v>
      </c>
      <c r="V42" s="4"/>
    </row>
    <row r="43" spans="1:22" x14ac:dyDescent="0.2">
      <c r="A43" s="7">
        <f t="shared" si="6"/>
        <v>37</v>
      </c>
      <c r="B43" s="9" t="s">
        <v>52</v>
      </c>
      <c r="C43" s="9">
        <f>D4-16</f>
        <v>584</v>
      </c>
      <c r="D43" s="9">
        <f>E4+5.5</f>
        <v>1805.5</v>
      </c>
      <c r="E43" s="9">
        <v>1.6</v>
      </c>
      <c r="F43" s="9">
        <f>G4*2</f>
        <v>2</v>
      </c>
      <c r="G43" s="9"/>
      <c r="H43" s="9"/>
      <c r="I43" s="9">
        <f t="shared" si="0"/>
        <v>26.992947200000003</v>
      </c>
      <c r="J43" s="9">
        <f t="shared" si="1"/>
        <v>45.381892480000005</v>
      </c>
      <c r="K43" s="10">
        <f t="shared" si="7"/>
        <v>1889.5063040000002</v>
      </c>
      <c r="L43" s="10">
        <f t="shared" si="2"/>
        <v>188.95063040000002</v>
      </c>
      <c r="M43" s="10">
        <f>I43*M$5</f>
        <v>539.85894400000006</v>
      </c>
      <c r="N43" s="10">
        <f>10*F43</f>
        <v>20</v>
      </c>
      <c r="O43" s="10">
        <v>0</v>
      </c>
      <c r="P43" s="10">
        <f t="shared" si="3"/>
        <v>589.96460224000009</v>
      </c>
      <c r="Q43" s="10">
        <v>0</v>
      </c>
      <c r="R43" s="10">
        <f t="shared" si="4"/>
        <v>3228.2804806400004</v>
      </c>
      <c r="S43" s="10">
        <f t="shared" si="5"/>
        <v>4304.3739741866675</v>
      </c>
      <c r="T43" s="38"/>
      <c r="V43" s="4"/>
    </row>
    <row r="44" spans="1:22" x14ac:dyDescent="0.2">
      <c r="A44" s="11">
        <f t="shared" si="6"/>
        <v>38</v>
      </c>
      <c r="B44" s="33" t="s">
        <v>53</v>
      </c>
      <c r="C44" s="33">
        <v>75</v>
      </c>
      <c r="D44" s="33">
        <v>40</v>
      </c>
      <c r="E44" s="33">
        <v>2</v>
      </c>
      <c r="F44" s="33">
        <f>8*F43</f>
        <v>16</v>
      </c>
      <c r="G44" s="33"/>
      <c r="H44" s="33"/>
      <c r="I44" s="33">
        <f t="shared" si="0"/>
        <v>0.76800000000000002</v>
      </c>
      <c r="J44" s="33">
        <f t="shared" si="1"/>
        <v>1.0329600000000001</v>
      </c>
      <c r="K44" s="30">
        <f t="shared" si="7"/>
        <v>53.76</v>
      </c>
      <c r="L44" s="30">
        <f t="shared" si="2"/>
        <v>5.3760000000000003</v>
      </c>
      <c r="M44" s="30">
        <f t="shared" ref="M44:M45" si="15">I44*M$5</f>
        <v>15.36</v>
      </c>
      <c r="N44" s="30">
        <v>0</v>
      </c>
      <c r="O44" s="30">
        <v>0</v>
      </c>
      <c r="P44" s="30">
        <f t="shared" si="3"/>
        <v>13.42848</v>
      </c>
      <c r="Q44" s="30">
        <v>0</v>
      </c>
      <c r="R44" s="30">
        <f t="shared" si="4"/>
        <v>87.924479999999988</v>
      </c>
      <c r="S44" s="30">
        <f t="shared" si="5"/>
        <v>117.23263999999999</v>
      </c>
      <c r="T44" s="35"/>
      <c r="V44" s="4"/>
    </row>
    <row r="45" spans="1:22" x14ac:dyDescent="0.2">
      <c r="A45" s="11">
        <f t="shared" si="6"/>
        <v>39</v>
      </c>
      <c r="B45" s="33" t="s">
        <v>37</v>
      </c>
      <c r="C45" s="33"/>
      <c r="D45" s="33"/>
      <c r="E45" s="33"/>
      <c r="F45" s="33">
        <f>((D4*2/1000)+(E4*2/1000))*F43</f>
        <v>9.6</v>
      </c>
      <c r="G45" s="33"/>
      <c r="H45" s="33"/>
      <c r="I45" s="33">
        <f t="shared" si="0"/>
        <v>0</v>
      </c>
      <c r="J45" s="33">
        <f t="shared" si="1"/>
        <v>0</v>
      </c>
      <c r="K45" s="30">
        <f t="shared" si="7"/>
        <v>0</v>
      </c>
      <c r="L45" s="30">
        <f t="shared" si="2"/>
        <v>0</v>
      </c>
      <c r="M45" s="30">
        <f t="shared" si="15"/>
        <v>0</v>
      </c>
      <c r="N45" s="30">
        <v>0</v>
      </c>
      <c r="O45" s="30">
        <v>0</v>
      </c>
      <c r="P45" s="30">
        <f t="shared" si="3"/>
        <v>0</v>
      </c>
      <c r="Q45" s="30">
        <f>12*F45</f>
        <v>115.19999999999999</v>
      </c>
      <c r="R45" s="30">
        <f t="shared" si="4"/>
        <v>115.19999999999999</v>
      </c>
      <c r="S45" s="30">
        <f t="shared" si="5"/>
        <v>153.6</v>
      </c>
      <c r="T45" s="35"/>
      <c r="V45" s="4"/>
    </row>
    <row r="46" spans="1:22" x14ac:dyDescent="0.2">
      <c r="A46" s="36">
        <f t="shared" si="6"/>
        <v>40</v>
      </c>
      <c r="B46" s="13" t="s">
        <v>40</v>
      </c>
      <c r="C46" s="13"/>
      <c r="D46" s="13"/>
      <c r="E46" s="13"/>
      <c r="F46" s="13"/>
      <c r="G46" s="13"/>
      <c r="H46" s="13"/>
      <c r="I46" s="13">
        <f t="shared" si="0"/>
        <v>0</v>
      </c>
      <c r="J46" s="13">
        <f t="shared" si="1"/>
        <v>0</v>
      </c>
      <c r="K46" s="14">
        <f t="shared" si="7"/>
        <v>0</v>
      </c>
      <c r="L46" s="14">
        <f t="shared" si="2"/>
        <v>0</v>
      </c>
      <c r="M46" s="14">
        <f>I46*K$5</f>
        <v>0</v>
      </c>
      <c r="N46" s="14">
        <v>0</v>
      </c>
      <c r="O46" s="14">
        <v>0</v>
      </c>
      <c r="P46" s="14">
        <f t="shared" si="3"/>
        <v>0</v>
      </c>
      <c r="Q46" s="14">
        <v>0</v>
      </c>
      <c r="R46" s="14">
        <f t="shared" si="4"/>
        <v>0</v>
      </c>
      <c r="S46" s="14">
        <f t="shared" si="5"/>
        <v>0</v>
      </c>
      <c r="T46" s="37">
        <f>SUM(S43:S46)</f>
        <v>4575.206614186668</v>
      </c>
      <c r="V46" s="4"/>
    </row>
    <row r="47" spans="1:22" x14ac:dyDescent="0.2">
      <c r="A47" s="7">
        <f t="shared" si="6"/>
        <v>41</v>
      </c>
      <c r="B47" s="9" t="s">
        <v>54</v>
      </c>
      <c r="C47" s="9">
        <f>C4-50+25*4-1.75*8</f>
        <v>836</v>
      </c>
      <c r="D47" s="9">
        <f>E4-100+25*4-1.75*8</f>
        <v>1786</v>
      </c>
      <c r="E47" s="9">
        <v>2</v>
      </c>
      <c r="F47" s="9">
        <f>F17</f>
        <v>2</v>
      </c>
      <c r="G47" s="9"/>
      <c r="H47" s="9"/>
      <c r="I47" s="9">
        <f t="shared" si="0"/>
        <v>47.779071999999999</v>
      </c>
      <c r="J47" s="9">
        <f t="shared" si="1"/>
        <v>64.262851839999996</v>
      </c>
      <c r="K47" s="10">
        <f t="shared" si="7"/>
        <v>3344.5350399999998</v>
      </c>
      <c r="L47" s="10">
        <f t="shared" si="2"/>
        <v>334.45350400000001</v>
      </c>
      <c r="M47" s="10">
        <f>I47*M$5</f>
        <v>955.58143999999993</v>
      </c>
      <c r="N47" s="10">
        <v>0</v>
      </c>
      <c r="O47" s="10">
        <v>0</v>
      </c>
      <c r="P47" s="10">
        <f t="shared" si="3"/>
        <v>835.41707391999989</v>
      </c>
      <c r="Q47" s="10">
        <v>0</v>
      </c>
      <c r="R47" s="10">
        <f t="shared" si="4"/>
        <v>5469.9870579199996</v>
      </c>
      <c r="S47" s="10">
        <f t="shared" si="5"/>
        <v>7293.3160772266665</v>
      </c>
      <c r="T47" s="34"/>
      <c r="V47" s="4"/>
    </row>
    <row r="48" spans="1:22" x14ac:dyDescent="0.2">
      <c r="A48" s="11">
        <f t="shared" si="6"/>
        <v>42</v>
      </c>
      <c r="B48" s="33" t="s">
        <v>98</v>
      </c>
      <c r="C48" s="33">
        <v>42</v>
      </c>
      <c r="D48" s="33">
        <f>D4-103</f>
        <v>497</v>
      </c>
      <c r="E48" s="33">
        <v>2</v>
      </c>
      <c r="F48" s="33">
        <f>G4*4</f>
        <v>4</v>
      </c>
      <c r="G48" s="33"/>
      <c r="H48" s="33"/>
      <c r="I48" s="33">
        <f t="shared" si="0"/>
        <v>1.3359360000000002</v>
      </c>
      <c r="J48" s="33">
        <f t="shared" si="1"/>
        <v>1.7968339200000003</v>
      </c>
      <c r="K48" s="30">
        <f t="shared" si="7"/>
        <v>93.515520000000009</v>
      </c>
      <c r="L48" s="30">
        <f t="shared" si="2"/>
        <v>9.3515520000000016</v>
      </c>
      <c r="M48" s="30">
        <f t="shared" ref="M48:M49" si="16">I48*M$5</f>
        <v>26.718720000000005</v>
      </c>
      <c r="N48" s="30">
        <v>0</v>
      </c>
      <c r="O48" s="30">
        <f>D48/25*F48*0.2</f>
        <v>15.904</v>
      </c>
      <c r="P48" s="30">
        <f>J48*30</f>
        <v>53.905017600000008</v>
      </c>
      <c r="Q48" s="30">
        <v>0</v>
      </c>
      <c r="R48" s="30">
        <f t="shared" si="4"/>
        <v>199.39480960000003</v>
      </c>
      <c r="S48" s="30">
        <f t="shared" si="5"/>
        <v>265.85974613333337</v>
      </c>
      <c r="T48" s="35"/>
      <c r="V48" s="4"/>
    </row>
    <row r="49" spans="1:22" x14ac:dyDescent="0.2">
      <c r="A49" s="11">
        <f t="shared" si="6"/>
        <v>43</v>
      </c>
      <c r="B49" s="33" t="s">
        <v>55</v>
      </c>
      <c r="C49" s="33">
        <v>100</v>
      </c>
      <c r="D49" s="33">
        <v>100</v>
      </c>
      <c r="E49" s="33">
        <v>3</v>
      </c>
      <c r="F49" s="33">
        <f>F47*4</f>
        <v>8</v>
      </c>
      <c r="G49" s="33"/>
      <c r="H49" s="33"/>
      <c r="I49" s="33">
        <f t="shared" si="0"/>
        <v>1.92</v>
      </c>
      <c r="J49" s="33">
        <f t="shared" si="1"/>
        <v>1.7216</v>
      </c>
      <c r="K49" s="30">
        <f t="shared" si="7"/>
        <v>134.4</v>
      </c>
      <c r="L49" s="30">
        <f t="shared" si="2"/>
        <v>13.440000000000001</v>
      </c>
      <c r="M49" s="30">
        <f t="shared" si="16"/>
        <v>38.4</v>
      </c>
      <c r="N49" s="30">
        <v>0</v>
      </c>
      <c r="O49" s="30">
        <v>0</v>
      </c>
      <c r="P49" s="30">
        <f>J49*30</f>
        <v>51.648000000000003</v>
      </c>
      <c r="Q49" s="30">
        <v>0</v>
      </c>
      <c r="R49" s="30">
        <f t="shared" si="4"/>
        <v>237.88800000000001</v>
      </c>
      <c r="S49" s="30">
        <f t="shared" si="5"/>
        <v>317.18400000000003</v>
      </c>
      <c r="T49" s="35"/>
      <c r="V49" s="4"/>
    </row>
    <row r="50" spans="1:22" x14ac:dyDescent="0.2">
      <c r="A50" s="36">
        <f t="shared" si="6"/>
        <v>44</v>
      </c>
      <c r="B50" s="13" t="s">
        <v>40</v>
      </c>
      <c r="C50" s="13">
        <v>69</v>
      </c>
      <c r="D50" s="13">
        <f>C4-100</f>
        <v>700</v>
      </c>
      <c r="E50" s="13">
        <v>1.6</v>
      </c>
      <c r="F50" s="13">
        <f>F47*2</f>
        <v>4</v>
      </c>
      <c r="G50" s="13"/>
      <c r="H50" s="13"/>
      <c r="I50" s="13">
        <f t="shared" si="0"/>
        <v>2.4729600000000005</v>
      </c>
      <c r="J50" s="13">
        <f t="shared" si="1"/>
        <v>4.1576640000000005</v>
      </c>
      <c r="K50" s="14">
        <f t="shared" si="7"/>
        <v>173.10720000000003</v>
      </c>
      <c r="L50" s="14">
        <f t="shared" si="2"/>
        <v>17.310720000000003</v>
      </c>
      <c r="M50" s="14">
        <f>I50*K$5</f>
        <v>173.10720000000003</v>
      </c>
      <c r="N50" s="14">
        <v>0</v>
      </c>
      <c r="O50" s="14">
        <v>0</v>
      </c>
      <c r="P50" s="14">
        <f t="shared" ref="P50:P55" si="17">J50*P$5</f>
        <v>54.049632000000003</v>
      </c>
      <c r="Q50" s="14">
        <v>0</v>
      </c>
      <c r="R50" s="14">
        <f t="shared" si="4"/>
        <v>417.5747520000001</v>
      </c>
      <c r="S50" s="14">
        <f t="shared" si="5"/>
        <v>556.76633600000014</v>
      </c>
      <c r="T50" s="37">
        <f>SUM(S47:S50)</f>
        <v>8433.1261593599993</v>
      </c>
      <c r="V50" s="4"/>
    </row>
    <row r="51" spans="1:22" x14ac:dyDescent="0.2">
      <c r="A51" s="7">
        <f>A50+1</f>
        <v>45</v>
      </c>
      <c r="B51" s="9" t="s">
        <v>56</v>
      </c>
      <c r="C51" s="9">
        <v>400</v>
      </c>
      <c r="D51" s="9">
        <v>400</v>
      </c>
      <c r="E51" s="9">
        <v>2</v>
      </c>
      <c r="F51" s="9">
        <v>0</v>
      </c>
      <c r="G51" s="9"/>
      <c r="H51" s="9"/>
      <c r="I51" s="9">
        <f t="shared" si="0"/>
        <v>0</v>
      </c>
      <c r="J51" s="9">
        <f t="shared" si="1"/>
        <v>0</v>
      </c>
      <c r="K51" s="10">
        <f t="shared" si="7"/>
        <v>0</v>
      </c>
      <c r="L51" s="10">
        <f t="shared" si="2"/>
        <v>0</v>
      </c>
      <c r="M51" s="10">
        <f t="shared" ref="M51" si="18">I51*M$5</f>
        <v>0</v>
      </c>
      <c r="N51" s="10">
        <f>100*F51</f>
        <v>0</v>
      </c>
      <c r="O51" s="10">
        <v>0</v>
      </c>
      <c r="P51" s="10">
        <f t="shared" si="17"/>
        <v>0</v>
      </c>
      <c r="Q51" s="10">
        <f>50*F51*4</f>
        <v>0</v>
      </c>
      <c r="R51" s="10">
        <f t="shared" si="4"/>
        <v>0</v>
      </c>
      <c r="S51" s="10">
        <f t="shared" si="5"/>
        <v>0</v>
      </c>
      <c r="T51" s="34"/>
      <c r="V51" s="4"/>
    </row>
    <row r="52" spans="1:22" x14ac:dyDescent="0.2">
      <c r="A52" s="36">
        <f t="shared" si="6"/>
        <v>46</v>
      </c>
      <c r="B52" s="13" t="s">
        <v>57</v>
      </c>
      <c r="C52" s="13">
        <f>30+30+200</f>
        <v>260</v>
      </c>
      <c r="D52" s="13">
        <f>(C4+(D4-150))/2</f>
        <v>625</v>
      </c>
      <c r="E52" s="13">
        <v>1.6</v>
      </c>
      <c r="F52" s="13">
        <f>F51*4</f>
        <v>0</v>
      </c>
      <c r="G52" s="13"/>
      <c r="H52" s="13"/>
      <c r="I52" s="13">
        <f t="shared" si="0"/>
        <v>0</v>
      </c>
      <c r="J52" s="13">
        <f t="shared" si="1"/>
        <v>0</v>
      </c>
      <c r="K52" s="14">
        <f t="shared" si="7"/>
        <v>0</v>
      </c>
      <c r="L52" s="14">
        <f t="shared" si="2"/>
        <v>0</v>
      </c>
      <c r="M52" s="14">
        <f>I52*K$5</f>
        <v>0</v>
      </c>
      <c r="N52" s="14">
        <v>0</v>
      </c>
      <c r="O52" s="14">
        <v>0</v>
      </c>
      <c r="P52" s="14">
        <f t="shared" si="17"/>
        <v>0</v>
      </c>
      <c r="Q52" s="14">
        <v>0</v>
      </c>
      <c r="R52" s="14">
        <f t="shared" si="4"/>
        <v>0</v>
      </c>
      <c r="S52" s="14">
        <f t="shared" si="5"/>
        <v>0</v>
      </c>
      <c r="T52" s="37">
        <f>SUM(S51:S52)</f>
        <v>0</v>
      </c>
      <c r="V52" s="4"/>
    </row>
    <row r="53" spans="1:22" x14ac:dyDescent="0.2">
      <c r="A53" s="7">
        <f t="shared" si="6"/>
        <v>47</v>
      </c>
      <c r="B53" s="9" t="s">
        <v>58</v>
      </c>
      <c r="C53" s="9">
        <f>D19+100</f>
        <v>740</v>
      </c>
      <c r="D53" s="9">
        <v>300</v>
      </c>
      <c r="E53" s="9">
        <v>1.6</v>
      </c>
      <c r="F53" s="9">
        <f>F47</f>
        <v>2</v>
      </c>
      <c r="G53" s="9"/>
      <c r="H53" s="9"/>
      <c r="I53" s="9">
        <f t="shared" si="0"/>
        <v>5.6832000000000003</v>
      </c>
      <c r="J53" s="9">
        <f t="shared" si="1"/>
        <v>9.5548800000000007</v>
      </c>
      <c r="K53" s="10">
        <f t="shared" si="7"/>
        <v>397.82400000000001</v>
      </c>
      <c r="L53" s="10">
        <f t="shared" si="2"/>
        <v>39.782400000000003</v>
      </c>
      <c r="M53" s="10">
        <f>I53*M$5</f>
        <v>113.664</v>
      </c>
      <c r="N53" s="10">
        <v>0</v>
      </c>
      <c r="O53" s="10">
        <v>0</v>
      </c>
      <c r="P53" s="10">
        <f t="shared" si="17"/>
        <v>124.21344000000001</v>
      </c>
      <c r="Q53" s="10">
        <v>0</v>
      </c>
      <c r="R53" s="10">
        <f t="shared" si="4"/>
        <v>675.48383999999999</v>
      </c>
      <c r="S53" s="10">
        <f t="shared" si="5"/>
        <v>900.64512000000002</v>
      </c>
      <c r="T53" s="34"/>
      <c r="V53" s="4"/>
    </row>
    <row r="54" spans="1:22" x14ac:dyDescent="0.2">
      <c r="A54" s="11">
        <f t="shared" si="6"/>
        <v>48</v>
      </c>
      <c r="B54" s="33" t="s">
        <v>59</v>
      </c>
      <c r="C54" s="33">
        <f>190+40</f>
        <v>230</v>
      </c>
      <c r="D54" s="33">
        <f>E4-100</f>
        <v>1700</v>
      </c>
      <c r="E54" s="33">
        <v>2</v>
      </c>
      <c r="F54" s="33">
        <v>0</v>
      </c>
      <c r="G54" s="33"/>
      <c r="H54" s="33"/>
      <c r="I54" s="33">
        <f t="shared" si="0"/>
        <v>0</v>
      </c>
      <c r="J54" s="33">
        <f t="shared" si="1"/>
        <v>0</v>
      </c>
      <c r="K54" s="30">
        <f t="shared" si="7"/>
        <v>0</v>
      </c>
      <c r="L54" s="30">
        <f t="shared" si="2"/>
        <v>0</v>
      </c>
      <c r="M54" s="30">
        <f t="shared" ref="M54:M67" si="19">I54*M$5</f>
        <v>0</v>
      </c>
      <c r="N54" s="30">
        <v>0</v>
      </c>
      <c r="O54" s="30">
        <v>0</v>
      </c>
      <c r="P54" s="30">
        <f t="shared" si="17"/>
        <v>0</v>
      </c>
      <c r="Q54" s="30">
        <v>0</v>
      </c>
      <c r="R54" s="30">
        <f t="shared" si="4"/>
        <v>0</v>
      </c>
      <c r="S54" s="30">
        <f t="shared" si="5"/>
        <v>0</v>
      </c>
      <c r="T54" s="35"/>
      <c r="V54" s="4"/>
    </row>
    <row r="55" spans="1:22" x14ac:dyDescent="0.2">
      <c r="A55" s="11">
        <f t="shared" si="6"/>
        <v>49</v>
      </c>
      <c r="B55" s="33" t="s">
        <v>60</v>
      </c>
      <c r="C55" s="33">
        <v>50</v>
      </c>
      <c r="D55" s="33">
        <f>(C4*2+D4*2)*G4</f>
        <v>2800</v>
      </c>
      <c r="E55" s="33">
        <v>3</v>
      </c>
      <c r="F55" s="33">
        <v>0</v>
      </c>
      <c r="G55" s="33"/>
      <c r="H55" s="33"/>
      <c r="I55" s="33">
        <f t="shared" si="0"/>
        <v>0</v>
      </c>
      <c r="J55" s="33">
        <f t="shared" si="1"/>
        <v>0</v>
      </c>
      <c r="K55" s="30">
        <f t="shared" si="7"/>
        <v>0</v>
      </c>
      <c r="L55" s="30">
        <f t="shared" si="2"/>
        <v>0</v>
      </c>
      <c r="M55" s="30">
        <f t="shared" si="19"/>
        <v>0</v>
      </c>
      <c r="N55" s="30">
        <f>I55*20</f>
        <v>0</v>
      </c>
      <c r="O55" s="30">
        <v>0</v>
      </c>
      <c r="P55" s="30">
        <f t="shared" si="17"/>
        <v>0</v>
      </c>
      <c r="Q55" s="30">
        <v>0</v>
      </c>
      <c r="R55" s="30">
        <f t="shared" si="4"/>
        <v>0</v>
      </c>
      <c r="S55" s="30">
        <f t="shared" si="5"/>
        <v>0</v>
      </c>
      <c r="T55" s="35"/>
      <c r="V55" s="4"/>
    </row>
    <row r="56" spans="1:22" x14ac:dyDescent="0.2">
      <c r="A56" s="11">
        <f t="shared" si="6"/>
        <v>50</v>
      </c>
      <c r="B56" s="33" t="s">
        <v>61</v>
      </c>
      <c r="C56" s="33"/>
      <c r="D56" s="33">
        <f>((C4*2+D4*2)*G4)/1000</f>
        <v>2.8</v>
      </c>
      <c r="E56" s="33">
        <v>15</v>
      </c>
      <c r="F56" s="33">
        <v>0</v>
      </c>
      <c r="G56" s="33"/>
      <c r="H56" s="33"/>
      <c r="I56" s="33"/>
      <c r="J56" s="33"/>
      <c r="K56" s="30"/>
      <c r="L56" s="30"/>
      <c r="M56" s="30">
        <f t="shared" si="19"/>
        <v>0</v>
      </c>
      <c r="N56" s="30">
        <v>0</v>
      </c>
      <c r="O56" s="30">
        <v>0</v>
      </c>
      <c r="P56" s="30">
        <v>0</v>
      </c>
      <c r="Q56" s="30">
        <f>D56*F56*180</f>
        <v>0</v>
      </c>
      <c r="R56" s="30">
        <f t="shared" si="4"/>
        <v>0</v>
      </c>
      <c r="S56" s="30">
        <f t="shared" si="5"/>
        <v>0</v>
      </c>
      <c r="T56" s="35"/>
      <c r="V56" s="4"/>
    </row>
    <row r="57" spans="1:22" x14ac:dyDescent="0.2">
      <c r="A57" s="11">
        <f t="shared" si="6"/>
        <v>51</v>
      </c>
      <c r="B57" s="33" t="s">
        <v>62</v>
      </c>
      <c r="C57" s="33">
        <f>D19+45</f>
        <v>685</v>
      </c>
      <c r="D57" s="33">
        <f>20+20</f>
        <v>40</v>
      </c>
      <c r="E57" s="33">
        <v>2</v>
      </c>
      <c r="F57" s="33">
        <v>4</v>
      </c>
      <c r="G57" s="33"/>
      <c r="H57" s="33"/>
      <c r="I57" s="33">
        <f t="shared" ref="I57:I69" si="20">C57/1000*D57/1000*E57*F57*8</f>
        <v>1.7536</v>
      </c>
      <c r="J57" s="33">
        <f>C57/1000*D57/1000*2*10.76*F57</f>
        <v>2.3585919999999998</v>
      </c>
      <c r="K57" s="30">
        <f>I57*K$5</f>
        <v>122.75200000000001</v>
      </c>
      <c r="L57" s="30">
        <f t="shared" ref="L57:L69" si="21">K57*L$5</f>
        <v>12.275200000000002</v>
      </c>
      <c r="M57" s="30">
        <f t="shared" si="19"/>
        <v>35.072000000000003</v>
      </c>
      <c r="N57" s="30">
        <v>0</v>
      </c>
      <c r="O57" s="30">
        <v>0</v>
      </c>
      <c r="P57" s="30">
        <f>J57*P$5</f>
        <v>30.661695999999999</v>
      </c>
      <c r="Q57" s="30">
        <v>0</v>
      </c>
      <c r="R57" s="30">
        <f t="shared" si="4"/>
        <v>200.76089600000003</v>
      </c>
      <c r="S57" s="30">
        <f t="shared" si="5"/>
        <v>267.68119466666673</v>
      </c>
      <c r="T57" s="35"/>
      <c r="V57" s="4"/>
    </row>
    <row r="58" spans="1:22" x14ac:dyDescent="0.2">
      <c r="A58" s="11">
        <f t="shared" si="6"/>
        <v>52</v>
      </c>
      <c r="B58" s="33" t="s">
        <v>63</v>
      </c>
      <c r="C58" s="33">
        <v>2</v>
      </c>
      <c r="D58" s="33">
        <v>2</v>
      </c>
      <c r="E58" s="33"/>
      <c r="F58" s="33">
        <v>0</v>
      </c>
      <c r="G58" s="33"/>
      <c r="H58" s="33"/>
      <c r="I58" s="33">
        <f t="shared" si="20"/>
        <v>0</v>
      </c>
      <c r="J58" s="33">
        <f>C58*D58*F58</f>
        <v>0</v>
      </c>
      <c r="K58" s="30">
        <f>I58*K$5</f>
        <v>0</v>
      </c>
      <c r="L58" s="30">
        <f t="shared" si="21"/>
        <v>0</v>
      </c>
      <c r="M58" s="30">
        <f t="shared" si="19"/>
        <v>0</v>
      </c>
      <c r="N58" s="30">
        <v>0</v>
      </c>
      <c r="O58" s="30">
        <v>0</v>
      </c>
      <c r="P58" s="30">
        <v>0</v>
      </c>
      <c r="Q58" s="30">
        <f>J58*100</f>
        <v>0</v>
      </c>
      <c r="R58" s="30">
        <f t="shared" si="4"/>
        <v>0</v>
      </c>
      <c r="S58" s="30">
        <f t="shared" si="5"/>
        <v>0</v>
      </c>
      <c r="T58" s="35"/>
      <c r="V58" s="4"/>
    </row>
    <row r="59" spans="1:22" x14ac:dyDescent="0.2">
      <c r="A59" s="11">
        <f t="shared" si="6"/>
        <v>53</v>
      </c>
      <c r="B59" s="33" t="s">
        <v>64</v>
      </c>
      <c r="C59" s="33">
        <f>25*2+150*2+280</f>
        <v>630</v>
      </c>
      <c r="D59" s="33">
        <v>210</v>
      </c>
      <c r="E59" s="33">
        <v>3</v>
      </c>
      <c r="F59" s="33">
        <v>0</v>
      </c>
      <c r="G59" s="33"/>
      <c r="H59" s="33"/>
      <c r="I59" s="33">
        <f t="shared" si="20"/>
        <v>0</v>
      </c>
      <c r="J59" s="33">
        <f>C59/1000*D59/1000*2*10.76*F59</f>
        <v>0</v>
      </c>
      <c r="K59" s="30">
        <f>I59*K$5</f>
        <v>0</v>
      </c>
      <c r="L59" s="30">
        <f t="shared" si="21"/>
        <v>0</v>
      </c>
      <c r="M59" s="30">
        <f t="shared" si="19"/>
        <v>0</v>
      </c>
      <c r="N59" s="30">
        <v>0</v>
      </c>
      <c r="O59" s="30">
        <v>0</v>
      </c>
      <c r="P59" s="30">
        <f>I59*30</f>
        <v>0</v>
      </c>
      <c r="Q59" s="30">
        <v>0</v>
      </c>
      <c r="R59" s="30">
        <f t="shared" si="4"/>
        <v>0</v>
      </c>
      <c r="S59" s="30">
        <f t="shared" si="5"/>
        <v>0</v>
      </c>
      <c r="T59" s="35"/>
      <c r="V59" s="4"/>
    </row>
    <row r="60" spans="1:22" x14ac:dyDescent="0.2">
      <c r="A60" s="11">
        <f t="shared" si="6"/>
        <v>54</v>
      </c>
      <c r="B60" s="33" t="s">
        <v>100</v>
      </c>
      <c r="C60" s="33">
        <f>50+25*2-1.75*4</f>
        <v>93</v>
      </c>
      <c r="D60" s="33">
        <f>C4-56-4+50</f>
        <v>790</v>
      </c>
      <c r="E60" s="33">
        <v>2</v>
      </c>
      <c r="F60" s="33">
        <v>0</v>
      </c>
      <c r="G60" s="33"/>
      <c r="H60" s="33"/>
      <c r="I60" s="33">
        <f t="shared" ref="I60:I63" si="22">C60/1000*D60/1000*E60*F60*8</f>
        <v>0</v>
      </c>
      <c r="J60" s="33">
        <f t="shared" ref="J60:J63" si="23">C60/1000*D60/1000*2*10.76*F60</f>
        <v>0</v>
      </c>
      <c r="K60" s="30">
        <f t="shared" ref="K60:K63" si="24">I60*K$5</f>
        <v>0</v>
      </c>
      <c r="L60" s="30">
        <f t="shared" ref="L60:L63" si="25">K60*L$5</f>
        <v>0</v>
      </c>
      <c r="M60" s="30">
        <f t="shared" ref="M60:M63" si="26">I60*M$5</f>
        <v>0</v>
      </c>
      <c r="N60" s="30">
        <v>0</v>
      </c>
      <c r="O60" s="30">
        <v>0</v>
      </c>
      <c r="P60" s="30">
        <f t="shared" ref="P60:P63" si="27">I60*30</f>
        <v>0</v>
      </c>
      <c r="Q60" s="30">
        <v>0</v>
      </c>
      <c r="R60" s="30">
        <f t="shared" ref="R60:R63" si="28">K60+L60+M60+N60+O60+P60+Q60</f>
        <v>0</v>
      </c>
      <c r="S60" s="30">
        <f t="shared" ref="S60:S63" si="29">R60/S$5</f>
        <v>0</v>
      </c>
      <c r="T60" s="35"/>
      <c r="V60" s="4"/>
    </row>
    <row r="61" spans="1:22" x14ac:dyDescent="0.2">
      <c r="A61" s="11">
        <f t="shared" si="6"/>
        <v>55</v>
      </c>
      <c r="B61" s="33" t="s">
        <v>99</v>
      </c>
      <c r="C61" s="33">
        <f>12+50</f>
        <v>62</v>
      </c>
      <c r="D61" s="33">
        <f>D48</f>
        <v>497</v>
      </c>
      <c r="E61" s="33">
        <v>2</v>
      </c>
      <c r="F61" s="33">
        <f>F60*2</f>
        <v>0</v>
      </c>
      <c r="G61" s="33"/>
      <c r="H61" s="33"/>
      <c r="I61" s="33">
        <f t="shared" si="22"/>
        <v>0</v>
      </c>
      <c r="J61" s="33">
        <f t="shared" si="23"/>
        <v>0</v>
      </c>
      <c r="K61" s="30">
        <f t="shared" si="24"/>
        <v>0</v>
      </c>
      <c r="L61" s="30">
        <f t="shared" si="25"/>
        <v>0</v>
      </c>
      <c r="M61" s="30">
        <f t="shared" si="26"/>
        <v>0</v>
      </c>
      <c r="N61" s="30">
        <v>0</v>
      </c>
      <c r="O61" s="30">
        <v>0</v>
      </c>
      <c r="P61" s="30">
        <f t="shared" si="27"/>
        <v>0</v>
      </c>
      <c r="Q61" s="30">
        <v>0</v>
      </c>
      <c r="R61" s="30">
        <f t="shared" si="28"/>
        <v>0</v>
      </c>
      <c r="S61" s="30">
        <f t="shared" si="29"/>
        <v>0</v>
      </c>
      <c r="T61" s="35"/>
      <c r="V61" s="4"/>
    </row>
    <row r="62" spans="1:22" x14ac:dyDescent="0.2">
      <c r="A62" s="11">
        <f t="shared" si="6"/>
        <v>56</v>
      </c>
      <c r="B62" s="33" t="s">
        <v>97</v>
      </c>
      <c r="C62" s="33">
        <f>250+25*2-1.75*4</f>
        <v>293</v>
      </c>
      <c r="D62" s="33">
        <f>C4-56-4+50</f>
        <v>790</v>
      </c>
      <c r="E62" s="33">
        <v>2</v>
      </c>
      <c r="F62" s="33">
        <v>0</v>
      </c>
      <c r="G62" s="33"/>
      <c r="H62" s="33"/>
      <c r="I62" s="33">
        <f t="shared" si="22"/>
        <v>0</v>
      </c>
      <c r="J62" s="33">
        <f t="shared" si="23"/>
        <v>0</v>
      </c>
      <c r="K62" s="30">
        <f t="shared" si="24"/>
        <v>0</v>
      </c>
      <c r="L62" s="30">
        <f t="shared" si="25"/>
        <v>0</v>
      </c>
      <c r="M62" s="30">
        <f t="shared" si="26"/>
        <v>0</v>
      </c>
      <c r="N62" s="30">
        <v>0</v>
      </c>
      <c r="O62" s="30">
        <v>0</v>
      </c>
      <c r="P62" s="30">
        <f t="shared" si="27"/>
        <v>0</v>
      </c>
      <c r="Q62" s="30">
        <v>0</v>
      </c>
      <c r="R62" s="30">
        <f t="shared" si="28"/>
        <v>0</v>
      </c>
      <c r="S62" s="30">
        <f t="shared" si="29"/>
        <v>0</v>
      </c>
      <c r="T62" s="35"/>
      <c r="V62" s="4"/>
    </row>
    <row r="63" spans="1:22" x14ac:dyDescent="0.2">
      <c r="A63" s="36">
        <f t="shared" si="6"/>
        <v>57</v>
      </c>
      <c r="B63" s="13" t="s">
        <v>98</v>
      </c>
      <c r="C63" s="13">
        <f>12+25</f>
        <v>37</v>
      </c>
      <c r="D63" s="13">
        <f>D48</f>
        <v>497</v>
      </c>
      <c r="E63" s="13">
        <v>2</v>
      </c>
      <c r="F63" s="13">
        <f>F62*4</f>
        <v>0</v>
      </c>
      <c r="G63" s="13"/>
      <c r="H63" s="13"/>
      <c r="I63" s="13">
        <f t="shared" si="22"/>
        <v>0</v>
      </c>
      <c r="J63" s="13">
        <f t="shared" si="23"/>
        <v>0</v>
      </c>
      <c r="K63" s="14">
        <f t="shared" si="24"/>
        <v>0</v>
      </c>
      <c r="L63" s="14">
        <f t="shared" si="25"/>
        <v>0</v>
      </c>
      <c r="M63" s="14">
        <f t="shared" si="26"/>
        <v>0</v>
      </c>
      <c r="N63" s="14">
        <v>0</v>
      </c>
      <c r="O63" s="14">
        <v>0</v>
      </c>
      <c r="P63" s="14">
        <f t="shared" si="27"/>
        <v>0</v>
      </c>
      <c r="Q63" s="14">
        <v>4</v>
      </c>
      <c r="R63" s="14">
        <f t="shared" si="28"/>
        <v>4</v>
      </c>
      <c r="S63" s="14">
        <f t="shared" si="29"/>
        <v>5.333333333333333</v>
      </c>
      <c r="T63" s="37">
        <f>SUM(S53:S63)</f>
        <v>1173.6596480000001</v>
      </c>
      <c r="V63" s="4"/>
    </row>
    <row r="64" spans="1:22" x14ac:dyDescent="0.2">
      <c r="A64" s="11">
        <f t="shared" si="6"/>
        <v>58</v>
      </c>
      <c r="B64" s="33" t="s">
        <v>65</v>
      </c>
      <c r="C64" s="33"/>
      <c r="D64" s="33"/>
      <c r="E64" s="33"/>
      <c r="F64" s="33">
        <v>0</v>
      </c>
      <c r="G64" s="33"/>
      <c r="H64" s="33"/>
      <c r="I64" s="33">
        <f t="shared" si="20"/>
        <v>0</v>
      </c>
      <c r="J64" s="33">
        <f>C64*D64*F64</f>
        <v>0</v>
      </c>
      <c r="K64" s="30">
        <f>J64*85</f>
        <v>0</v>
      </c>
      <c r="L64" s="30">
        <f t="shared" si="21"/>
        <v>0</v>
      </c>
      <c r="M64" s="30">
        <f t="shared" si="19"/>
        <v>0</v>
      </c>
      <c r="N64" s="30">
        <v>0</v>
      </c>
      <c r="O64" s="30">
        <v>0</v>
      </c>
      <c r="P64" s="30">
        <f t="shared" ref="P64:P69" si="30">J64*P$5</f>
        <v>0</v>
      </c>
      <c r="Q64" s="30">
        <f>150*F64</f>
        <v>0</v>
      </c>
      <c r="R64" s="30">
        <f t="shared" si="4"/>
        <v>0</v>
      </c>
      <c r="S64" s="30">
        <f t="shared" si="5"/>
        <v>0</v>
      </c>
      <c r="T64" s="35"/>
      <c r="V64" s="4"/>
    </row>
    <row r="65" spans="1:23" x14ac:dyDescent="0.2">
      <c r="A65" s="11">
        <f t="shared" si="6"/>
        <v>59</v>
      </c>
      <c r="B65" s="33" t="s">
        <v>66</v>
      </c>
      <c r="C65" s="33"/>
      <c r="D65" s="33"/>
      <c r="E65" s="33"/>
      <c r="F65" s="33">
        <v>0</v>
      </c>
      <c r="G65" s="33"/>
      <c r="H65" s="33"/>
      <c r="I65" s="33">
        <f t="shared" si="20"/>
        <v>0</v>
      </c>
      <c r="J65" s="33">
        <f>C65/1000*D65/1000*2*10.76*F65</f>
        <v>0</v>
      </c>
      <c r="K65" s="30">
        <f>I65*K$5</f>
        <v>0</v>
      </c>
      <c r="L65" s="30">
        <f t="shared" si="21"/>
        <v>0</v>
      </c>
      <c r="M65" s="30">
        <f t="shared" si="19"/>
        <v>0</v>
      </c>
      <c r="N65" s="30">
        <v>0</v>
      </c>
      <c r="O65" s="30">
        <v>0</v>
      </c>
      <c r="P65" s="30">
        <f t="shared" si="30"/>
        <v>0</v>
      </c>
      <c r="Q65" s="30">
        <f>120*F65</f>
        <v>0</v>
      </c>
      <c r="R65" s="30">
        <f t="shared" si="4"/>
        <v>0</v>
      </c>
      <c r="S65" s="30">
        <f t="shared" si="5"/>
        <v>0</v>
      </c>
      <c r="T65" s="35"/>
      <c r="V65" s="4"/>
    </row>
    <row r="66" spans="1:23" x14ac:dyDescent="0.2">
      <c r="A66" s="11">
        <f t="shared" si="6"/>
        <v>60</v>
      </c>
      <c r="B66" s="33" t="s">
        <v>40</v>
      </c>
      <c r="C66" s="33"/>
      <c r="D66" s="33"/>
      <c r="E66" s="33"/>
      <c r="F66" s="33">
        <f>G$4</f>
        <v>1</v>
      </c>
      <c r="G66" s="33"/>
      <c r="H66" s="33"/>
      <c r="I66" s="33">
        <f t="shared" si="20"/>
        <v>0</v>
      </c>
      <c r="J66" s="33">
        <f>C66/1000*D66/1000*2*10.76*F66</f>
        <v>0</v>
      </c>
      <c r="K66" s="30">
        <f>I66*K$5</f>
        <v>0</v>
      </c>
      <c r="L66" s="30">
        <f t="shared" si="21"/>
        <v>0</v>
      </c>
      <c r="M66" s="30">
        <f t="shared" si="19"/>
        <v>0</v>
      </c>
      <c r="N66" s="30">
        <v>0</v>
      </c>
      <c r="O66" s="30">
        <v>0</v>
      </c>
      <c r="P66" s="30">
        <f t="shared" si="30"/>
        <v>0</v>
      </c>
      <c r="Q66" s="30">
        <f>350*F66</f>
        <v>350</v>
      </c>
      <c r="R66" s="30">
        <f t="shared" si="4"/>
        <v>350</v>
      </c>
      <c r="S66" s="30">
        <f t="shared" si="5"/>
        <v>466.66666666666669</v>
      </c>
      <c r="T66" s="35"/>
      <c r="V66" s="4"/>
    </row>
    <row r="67" spans="1:23" x14ac:dyDescent="0.2">
      <c r="A67" s="11">
        <f t="shared" si="6"/>
        <v>61</v>
      </c>
      <c r="B67" s="33" t="s">
        <v>67</v>
      </c>
      <c r="C67" s="33"/>
      <c r="D67" s="33"/>
      <c r="E67" s="33"/>
      <c r="F67" s="33">
        <f>G$4</f>
        <v>1</v>
      </c>
      <c r="G67" s="33"/>
      <c r="H67" s="33"/>
      <c r="I67" s="33">
        <f t="shared" si="20"/>
        <v>0</v>
      </c>
      <c r="J67" s="33">
        <f>C67/1000*D67/1000*2*10.76*F67</f>
        <v>0</v>
      </c>
      <c r="K67" s="30">
        <f>I67*K$5</f>
        <v>0</v>
      </c>
      <c r="L67" s="30">
        <f t="shared" si="21"/>
        <v>0</v>
      </c>
      <c r="M67" s="30">
        <f t="shared" si="19"/>
        <v>0</v>
      </c>
      <c r="N67" s="30">
        <v>0</v>
      </c>
      <c r="O67" s="30">
        <v>0</v>
      </c>
      <c r="P67" s="30">
        <f t="shared" si="30"/>
        <v>0</v>
      </c>
      <c r="Q67" s="30">
        <f>350*F67</f>
        <v>350</v>
      </c>
      <c r="R67" s="30">
        <f t="shared" si="4"/>
        <v>350</v>
      </c>
      <c r="S67" s="30">
        <f t="shared" si="5"/>
        <v>466.66666666666669</v>
      </c>
      <c r="T67" s="35"/>
      <c r="V67" s="4"/>
      <c r="W67" s="5"/>
    </row>
    <row r="68" spans="1:23" x14ac:dyDescent="0.2">
      <c r="A68" s="11">
        <f t="shared" si="6"/>
        <v>62</v>
      </c>
      <c r="B68" s="33" t="s">
        <v>68</v>
      </c>
      <c r="C68" s="33"/>
      <c r="D68" s="33"/>
      <c r="E68" s="33"/>
      <c r="F68" s="33">
        <f>G$4</f>
        <v>1</v>
      </c>
      <c r="G68" s="33"/>
      <c r="H68" s="33"/>
      <c r="I68" s="33">
        <f t="shared" si="20"/>
        <v>0</v>
      </c>
      <c r="J68" s="33">
        <f>C68/1000*D68/1000*2*10.76*F68</f>
        <v>0</v>
      </c>
      <c r="K68" s="30">
        <f>I68*K$5</f>
        <v>0</v>
      </c>
      <c r="L68" s="30">
        <f t="shared" si="21"/>
        <v>0</v>
      </c>
      <c r="M68" s="30">
        <f t="shared" ref="M68" si="31">I68*M$5</f>
        <v>0</v>
      </c>
      <c r="N68" s="30">
        <v>0</v>
      </c>
      <c r="O68" s="30">
        <v>0</v>
      </c>
      <c r="P68" s="30">
        <f t="shared" si="30"/>
        <v>0</v>
      </c>
      <c r="Q68" s="30">
        <f>350*F68</f>
        <v>350</v>
      </c>
      <c r="R68" s="30">
        <f t="shared" si="4"/>
        <v>350</v>
      </c>
      <c r="S68" s="30">
        <f t="shared" si="5"/>
        <v>466.66666666666669</v>
      </c>
      <c r="T68" s="35"/>
      <c r="V68" s="4"/>
    </row>
    <row r="69" spans="1:23" x14ac:dyDescent="0.2">
      <c r="A69" s="36">
        <f t="shared" si="6"/>
        <v>63</v>
      </c>
      <c r="B69" s="13" t="s">
        <v>69</v>
      </c>
      <c r="C69" s="13"/>
      <c r="D69" s="13"/>
      <c r="E69" s="13"/>
      <c r="F69" s="13">
        <f>G$4</f>
        <v>1</v>
      </c>
      <c r="G69" s="13"/>
      <c r="H69" s="13"/>
      <c r="I69" s="13">
        <f t="shared" si="20"/>
        <v>0</v>
      </c>
      <c r="J69" s="13">
        <f>C69/1000*D69/1000*2*10.76*F69</f>
        <v>0</v>
      </c>
      <c r="K69" s="14">
        <f>I69*K$5</f>
        <v>0</v>
      </c>
      <c r="L69" s="14">
        <f t="shared" si="21"/>
        <v>0</v>
      </c>
      <c r="M69" s="14">
        <f>I69*K$5</f>
        <v>0</v>
      </c>
      <c r="N69" s="14">
        <v>0</v>
      </c>
      <c r="O69" s="14">
        <v>0</v>
      </c>
      <c r="P69" s="14">
        <f t="shared" si="30"/>
        <v>0</v>
      </c>
      <c r="Q69" s="14">
        <f>350*F69</f>
        <v>350</v>
      </c>
      <c r="R69" s="14">
        <f t="shared" si="4"/>
        <v>350</v>
      </c>
      <c r="S69" s="14">
        <f t="shared" si="5"/>
        <v>466.66666666666669</v>
      </c>
      <c r="T69" s="37">
        <f>SUM(S64:S69)</f>
        <v>1866.6666666666667</v>
      </c>
      <c r="V69" s="4"/>
    </row>
    <row r="70" spans="1:23" x14ac:dyDescent="0.2">
      <c r="A70" s="31"/>
      <c r="B70" s="31"/>
      <c r="C70" s="31"/>
      <c r="D70" s="31"/>
      <c r="E70" s="31"/>
      <c r="F70" s="31">
        <f t="shared" ref="F70:T70" si="32">SUM(F7:F69)</f>
        <v>187.98</v>
      </c>
      <c r="G70" s="31">
        <f t="shared" si="32"/>
        <v>0</v>
      </c>
      <c r="H70" s="31">
        <f t="shared" si="32"/>
        <v>0</v>
      </c>
      <c r="I70" s="31">
        <f t="shared" si="32"/>
        <v>215.39301567999999</v>
      </c>
      <c r="J70" s="31">
        <f t="shared" si="32"/>
        <v>286.69980231040006</v>
      </c>
      <c r="K70" s="32">
        <f t="shared" si="32"/>
        <v>15077.511097600003</v>
      </c>
      <c r="L70" s="31">
        <f t="shared" si="32"/>
        <v>1507.7511097600002</v>
      </c>
      <c r="M70" s="31">
        <f t="shared" si="32"/>
        <v>4515.6222336000001</v>
      </c>
      <c r="N70" s="31">
        <f t="shared" si="32"/>
        <v>1040</v>
      </c>
      <c r="O70" s="31">
        <f t="shared" si="32"/>
        <v>69.111999999999995</v>
      </c>
      <c r="P70" s="31">
        <f t="shared" si="32"/>
        <v>3786.9108066752005</v>
      </c>
      <c r="Q70" s="31">
        <f t="shared" si="32"/>
        <v>4542.7999999999993</v>
      </c>
      <c r="R70" s="31">
        <f t="shared" si="32"/>
        <v>30539.7072476352</v>
      </c>
      <c r="S70" s="32">
        <f t="shared" si="32"/>
        <v>40719.609663513584</v>
      </c>
      <c r="T70" s="32">
        <f t="shared" si="32"/>
        <v>40719.609663513598</v>
      </c>
      <c r="V70" s="4"/>
    </row>
    <row r="71" spans="1:23" x14ac:dyDescent="0.2">
      <c r="C71" s="4"/>
      <c r="P71" s="1">
        <f>P70/I70</f>
        <v>17.581400189415838</v>
      </c>
      <c r="R71" s="5"/>
      <c r="S71" s="4"/>
    </row>
    <row r="72" spans="1:23" ht="12" x14ac:dyDescent="0.25">
      <c r="S72" s="4"/>
      <c r="T72" s="2"/>
    </row>
    <row r="73" spans="1:23" ht="12" x14ac:dyDescent="0.25">
      <c r="B73" s="17" t="s">
        <v>70</v>
      </c>
      <c r="C73" s="17">
        <f>C4*G4</f>
        <v>800</v>
      </c>
      <c r="D73" s="17">
        <f>D4</f>
        <v>600</v>
      </c>
      <c r="E73" s="17">
        <f>E4</f>
        <v>1800</v>
      </c>
      <c r="F73" s="17">
        <f>F4</f>
        <v>100</v>
      </c>
      <c r="T73" s="2"/>
    </row>
    <row r="74" spans="1:23" x14ac:dyDescent="0.2">
      <c r="B74" s="17"/>
      <c r="C74" s="18" t="s">
        <v>0</v>
      </c>
      <c r="D74" s="18" t="s">
        <v>1</v>
      </c>
      <c r="E74" s="18" t="s">
        <v>2</v>
      </c>
      <c r="F74" s="18" t="s">
        <v>3</v>
      </c>
      <c r="M74" s="4"/>
      <c r="N74" s="4"/>
    </row>
    <row r="75" spans="1:23" ht="13.2" x14ac:dyDescent="0.25">
      <c r="B75" s="17"/>
      <c r="C75" s="17"/>
      <c r="D75" s="17"/>
      <c r="E75" s="17"/>
      <c r="F75" s="19"/>
      <c r="H75" s="4"/>
    </row>
    <row r="76" spans="1:23" ht="13.2" x14ac:dyDescent="0.25">
      <c r="B76" s="17" t="s">
        <v>71</v>
      </c>
      <c r="C76" s="17">
        <f>I70</f>
        <v>215.39301567999999</v>
      </c>
      <c r="D76" s="17" t="s">
        <v>72</v>
      </c>
      <c r="E76" s="17"/>
      <c r="F76" s="19"/>
      <c r="P76" s="5"/>
    </row>
    <row r="77" spans="1:23" x14ac:dyDescent="0.2">
      <c r="B77" s="17"/>
      <c r="C77" s="17"/>
      <c r="D77" s="17"/>
      <c r="E77" s="17"/>
      <c r="F77" s="16"/>
    </row>
    <row r="78" spans="1:23" x14ac:dyDescent="0.2">
      <c r="B78" s="17" t="s">
        <v>73</v>
      </c>
      <c r="C78" s="17" t="s">
        <v>74</v>
      </c>
      <c r="D78" s="17" t="s">
        <v>75</v>
      </c>
      <c r="E78" s="17" t="s">
        <v>76</v>
      </c>
      <c r="F78" s="16"/>
    </row>
    <row r="79" spans="1:23" x14ac:dyDescent="0.2">
      <c r="B79" s="17" t="s">
        <v>77</v>
      </c>
      <c r="C79" s="17">
        <f>K5</f>
        <v>70</v>
      </c>
      <c r="D79" s="17">
        <f>C76</f>
        <v>215.39301567999999</v>
      </c>
      <c r="E79" s="17">
        <f t="shared" ref="E79:E88" si="33">D79*C79</f>
        <v>15077.5110976</v>
      </c>
      <c r="F79" s="20"/>
      <c r="J79" s="1" t="s">
        <v>63</v>
      </c>
    </row>
    <row r="80" spans="1:23" x14ac:dyDescent="0.2">
      <c r="B80" s="17" t="s">
        <v>78</v>
      </c>
      <c r="C80" s="17">
        <f>P71</f>
        <v>17.581400189415838</v>
      </c>
      <c r="D80" s="17">
        <f>C76</f>
        <v>215.39301567999999</v>
      </c>
      <c r="E80" s="17">
        <f t="shared" si="33"/>
        <v>3786.9108066752005</v>
      </c>
      <c r="F80" s="16"/>
      <c r="I80" s="1" t="s">
        <v>0</v>
      </c>
      <c r="J80" s="1" t="s">
        <v>2</v>
      </c>
      <c r="K80" s="1" t="s">
        <v>75</v>
      </c>
      <c r="L80" s="1" t="s">
        <v>74</v>
      </c>
      <c r="M80" s="1" t="s">
        <v>76</v>
      </c>
    </row>
    <row r="81" spans="2:14" x14ac:dyDescent="0.2">
      <c r="B81" s="17" t="s">
        <v>39</v>
      </c>
      <c r="C81" s="17">
        <v>60</v>
      </c>
      <c r="D81" s="17">
        <f>F22</f>
        <v>8</v>
      </c>
      <c r="E81" s="17">
        <f t="shared" si="33"/>
        <v>480</v>
      </c>
      <c r="F81" s="16"/>
      <c r="I81" s="1">
        <v>2</v>
      </c>
      <c r="J81" s="1">
        <v>3</v>
      </c>
      <c r="K81" s="1">
        <v>1</v>
      </c>
      <c r="L81" s="1">
        <v>100</v>
      </c>
      <c r="M81" s="1">
        <f>I81*J81*K81*L81</f>
        <v>600</v>
      </c>
    </row>
    <row r="82" spans="2:14" x14ac:dyDescent="0.2">
      <c r="B82" s="17" t="s">
        <v>38</v>
      </c>
      <c r="C82" s="21">
        <f>Q21/F21</f>
        <v>650</v>
      </c>
      <c r="D82" s="17">
        <f>F21</f>
        <v>2</v>
      </c>
      <c r="E82" s="17">
        <f t="shared" si="33"/>
        <v>1300</v>
      </c>
      <c r="F82" s="16"/>
      <c r="J82" s="1" t="s">
        <v>101</v>
      </c>
    </row>
    <row r="83" spans="2:14" x14ac:dyDescent="0.2">
      <c r="B83" s="17" t="s">
        <v>37</v>
      </c>
      <c r="C83" s="17">
        <v>35</v>
      </c>
      <c r="D83" s="17">
        <f>F20+F30/2+F37/2+F40+F45/2</f>
        <v>18.38</v>
      </c>
      <c r="E83" s="17">
        <f t="shared" si="33"/>
        <v>643.29999999999995</v>
      </c>
      <c r="F83" s="16"/>
      <c r="I83" s="1">
        <f>I81*K81*2</f>
        <v>4</v>
      </c>
      <c r="J83" s="1">
        <f>J81*K81*2</f>
        <v>6</v>
      </c>
      <c r="K83" s="1">
        <f>K81</f>
        <v>1</v>
      </c>
      <c r="L83" s="1">
        <v>35</v>
      </c>
      <c r="M83" s="1">
        <f>(I83+J83)*K83*L83</f>
        <v>350</v>
      </c>
    </row>
    <row r="84" spans="2:14" x14ac:dyDescent="0.2">
      <c r="B84" s="17" t="s">
        <v>79</v>
      </c>
      <c r="C84" s="17">
        <v>35</v>
      </c>
      <c r="D84" s="17">
        <f>F31</f>
        <v>4</v>
      </c>
      <c r="E84" s="17">
        <f t="shared" si="33"/>
        <v>140</v>
      </c>
      <c r="F84" s="16"/>
      <c r="M84" s="1">
        <f>SUM(M81:M83)</f>
        <v>950</v>
      </c>
      <c r="N84" s="1" t="s">
        <v>83</v>
      </c>
    </row>
    <row r="85" spans="2:14" x14ac:dyDescent="0.2">
      <c r="B85" s="22" t="s">
        <v>80</v>
      </c>
      <c r="C85" s="22">
        <v>35</v>
      </c>
      <c r="D85" s="22">
        <f>F15</f>
        <v>8</v>
      </c>
      <c r="E85" s="22">
        <f t="shared" si="33"/>
        <v>280</v>
      </c>
      <c r="F85" s="16"/>
    </row>
    <row r="86" spans="2:14" x14ac:dyDescent="0.2">
      <c r="B86" s="22" t="s">
        <v>81</v>
      </c>
      <c r="C86" s="22">
        <v>6</v>
      </c>
      <c r="D86" s="22">
        <f>F23</f>
        <v>34</v>
      </c>
      <c r="E86" s="22">
        <f t="shared" si="33"/>
        <v>204</v>
      </c>
      <c r="F86" s="16"/>
    </row>
    <row r="87" spans="2:14" x14ac:dyDescent="0.2">
      <c r="B87" s="17" t="s">
        <v>82</v>
      </c>
      <c r="C87" s="21">
        <f>R67/F67</f>
        <v>350</v>
      </c>
      <c r="D87" s="17">
        <f>G4</f>
        <v>1</v>
      </c>
      <c r="E87" s="17">
        <f t="shared" si="33"/>
        <v>350</v>
      </c>
      <c r="F87" s="16"/>
    </row>
    <row r="88" spans="2:14" x14ac:dyDescent="0.2">
      <c r="B88" s="17" t="s">
        <v>40</v>
      </c>
      <c r="C88" s="21">
        <f>R66/F66</f>
        <v>350</v>
      </c>
      <c r="D88" s="17">
        <f>G4</f>
        <v>1</v>
      </c>
      <c r="E88" s="17">
        <f t="shared" si="33"/>
        <v>350</v>
      </c>
      <c r="F88" s="16"/>
    </row>
    <row r="89" spans="2:14" x14ac:dyDescent="0.2">
      <c r="B89" s="17"/>
      <c r="C89" s="17"/>
      <c r="D89" s="17" t="s">
        <v>83</v>
      </c>
      <c r="E89" s="17">
        <f>SUM(E79:E88)</f>
        <v>22611.7219042752</v>
      </c>
      <c r="F89" s="16"/>
    </row>
    <row r="90" spans="2:14" x14ac:dyDescent="0.2">
      <c r="B90" s="17"/>
      <c r="C90" s="23" t="s">
        <v>84</v>
      </c>
      <c r="D90" s="24">
        <v>0.2</v>
      </c>
      <c r="E90" s="17">
        <f>E89*D90</f>
        <v>4522.3443808550401</v>
      </c>
      <c r="F90" s="16"/>
    </row>
    <row r="91" spans="2:14" x14ac:dyDescent="0.2">
      <c r="B91" s="17"/>
      <c r="C91" s="17"/>
      <c r="D91" s="17" t="s">
        <v>83</v>
      </c>
      <c r="E91" s="17">
        <f>SUM(E89:E90)</f>
        <v>27134.06628513024</v>
      </c>
      <c r="F91" s="16"/>
    </row>
    <row r="92" spans="2:14" x14ac:dyDescent="0.2">
      <c r="B92" s="17" t="s">
        <v>85</v>
      </c>
      <c r="C92" s="17">
        <v>20</v>
      </c>
      <c r="D92" s="17">
        <f>C76</f>
        <v>215.39301567999999</v>
      </c>
      <c r="E92" s="17">
        <f>D92*C92</f>
        <v>4307.8603136000002</v>
      </c>
      <c r="F92" s="16"/>
    </row>
    <row r="93" spans="2:14" x14ac:dyDescent="0.2">
      <c r="B93" s="17" t="s">
        <v>86</v>
      </c>
      <c r="C93" s="17">
        <v>120</v>
      </c>
      <c r="D93" s="17">
        <f>F65</f>
        <v>0</v>
      </c>
      <c r="E93" s="17">
        <f>D93*C93</f>
        <v>0</v>
      </c>
      <c r="F93" s="16"/>
    </row>
    <row r="94" spans="2:14" x14ac:dyDescent="0.2">
      <c r="B94" s="17" t="s">
        <v>87</v>
      </c>
      <c r="C94" s="17" t="s">
        <v>88</v>
      </c>
      <c r="D94" s="24">
        <v>0.1</v>
      </c>
      <c r="E94" s="17">
        <f>E79*D94</f>
        <v>1507.75110976</v>
      </c>
      <c r="F94" s="16"/>
    </row>
    <row r="95" spans="2:14" x14ac:dyDescent="0.2">
      <c r="B95" s="17" t="s">
        <v>68</v>
      </c>
      <c r="C95" s="17">
        <f>R68/F68</f>
        <v>350</v>
      </c>
      <c r="D95" s="17">
        <f>G$4</f>
        <v>1</v>
      </c>
      <c r="E95" s="17">
        <f>D95*C95</f>
        <v>350</v>
      </c>
      <c r="F95" s="16"/>
    </row>
    <row r="96" spans="2:14" x14ac:dyDescent="0.2">
      <c r="B96" s="17" t="s">
        <v>89</v>
      </c>
      <c r="C96" s="21">
        <f>S56+S55</f>
        <v>0</v>
      </c>
      <c r="D96" s="17">
        <f>G$4</f>
        <v>1</v>
      </c>
      <c r="E96" s="17">
        <f>D96*C96</f>
        <v>0</v>
      </c>
      <c r="F96" s="16"/>
    </row>
    <row r="97" spans="2:7" x14ac:dyDescent="0.2">
      <c r="B97" s="17" t="s">
        <v>65</v>
      </c>
      <c r="C97" s="17">
        <v>0</v>
      </c>
      <c r="D97" s="17">
        <f>G4</f>
        <v>1</v>
      </c>
      <c r="E97" s="17">
        <f>D97*C97</f>
        <v>0</v>
      </c>
      <c r="F97" s="16"/>
    </row>
    <row r="98" spans="2:7" x14ac:dyDescent="0.2">
      <c r="B98" s="17" t="s">
        <v>90</v>
      </c>
      <c r="C98" s="17">
        <v>-20</v>
      </c>
      <c r="D98" s="17">
        <f>C76*10%</f>
        <v>21.539301567999999</v>
      </c>
      <c r="E98" s="17">
        <f>D98*C98</f>
        <v>-430.78603135999998</v>
      </c>
      <c r="F98" s="16"/>
    </row>
    <row r="99" spans="2:7" x14ac:dyDescent="0.2">
      <c r="B99" s="17" t="s">
        <v>83</v>
      </c>
      <c r="C99" s="17"/>
      <c r="D99" s="17"/>
      <c r="E99" s="17">
        <f>SUM(E91:E98)</f>
        <v>32868.891677130239</v>
      </c>
      <c r="F99" s="25"/>
    </row>
    <row r="100" spans="2:7" x14ac:dyDescent="0.2">
      <c r="B100" s="17" t="s">
        <v>91</v>
      </c>
      <c r="C100" s="24">
        <v>0.03</v>
      </c>
      <c r="D100" s="17"/>
      <c r="E100" s="17">
        <f>E99*C100</f>
        <v>986.06675031390716</v>
      </c>
      <c r="F100" s="16"/>
    </row>
    <row r="101" spans="2:7" x14ac:dyDescent="0.2">
      <c r="B101" s="17" t="s">
        <v>92</v>
      </c>
      <c r="C101" s="17"/>
      <c r="D101" s="17"/>
      <c r="E101" s="17">
        <f>SUM(E99:E100)</f>
        <v>33854.958427444144</v>
      </c>
      <c r="F101" s="16"/>
      <c r="G101" s="4">
        <f>S70</f>
        <v>40719.609663513584</v>
      </c>
    </row>
    <row r="102" spans="2:7" x14ac:dyDescent="0.2">
      <c r="B102" s="17"/>
      <c r="C102" s="17" t="s">
        <v>93</v>
      </c>
      <c r="D102" s="17"/>
      <c r="E102" s="26">
        <f>E101</f>
        <v>33854.958427444144</v>
      </c>
      <c r="F102" s="25">
        <v>0.15</v>
      </c>
      <c r="G102" s="1">
        <f>G101-G101*F102</f>
        <v>34611.668213986544</v>
      </c>
    </row>
    <row r="113" spans="1:19" ht="12" x14ac:dyDescent="0.25">
      <c r="B113" s="2"/>
      <c r="C113" s="2"/>
      <c r="D113" s="2"/>
      <c r="E113" s="2"/>
    </row>
    <row r="116" spans="1:19" x14ac:dyDescent="0.2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</row>
    <row r="117" spans="1:19" x14ac:dyDescent="0.2">
      <c r="B117" s="12"/>
    </row>
    <row r="118" spans="1:19" x14ac:dyDescent="0.2">
      <c r="B118" s="12"/>
    </row>
    <row r="119" spans="1:19" x14ac:dyDescent="0.2">
      <c r="B119" s="12"/>
    </row>
    <row r="120" spans="1:19" x14ac:dyDescent="0.2">
      <c r="B120" s="12"/>
    </row>
    <row r="121" spans="1:19" x14ac:dyDescent="0.2">
      <c r="B121" s="12"/>
    </row>
    <row r="122" spans="1:19" x14ac:dyDescent="0.2">
      <c r="B122" s="12"/>
    </row>
    <row r="127" spans="1:19" x14ac:dyDescent="0.2">
      <c r="B127" s="12"/>
    </row>
    <row r="128" spans="1:19" x14ac:dyDescent="0.2">
      <c r="B128" s="12"/>
    </row>
    <row r="212" spans="1:19" ht="12" x14ac:dyDescent="0.25">
      <c r="B212" s="2"/>
      <c r="C212" s="2"/>
      <c r="D212" s="2"/>
      <c r="E212" s="2"/>
    </row>
    <row r="215" spans="1:19" x14ac:dyDescent="0.2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</row>
    <row r="216" spans="1:19" x14ac:dyDescent="0.2">
      <c r="B216" s="12"/>
    </row>
    <row r="217" spans="1:19" x14ac:dyDescent="0.2">
      <c r="B217" s="12"/>
    </row>
    <row r="218" spans="1:19" x14ac:dyDescent="0.2">
      <c r="B218" s="12"/>
    </row>
    <row r="219" spans="1:19" x14ac:dyDescent="0.2">
      <c r="B219" s="12"/>
    </row>
    <row r="220" spans="1:19" x14ac:dyDescent="0.2">
      <c r="B220" s="12"/>
    </row>
    <row r="221" spans="1:19" x14ac:dyDescent="0.2">
      <c r="B221" s="12"/>
    </row>
    <row r="226" spans="2:2" x14ac:dyDescent="0.2">
      <c r="B226" s="12"/>
    </row>
    <row r="227" spans="2:2" x14ac:dyDescent="0.2">
      <c r="B227" s="12"/>
    </row>
    <row r="309" spans="1:21" x14ac:dyDescent="0.2">
      <c r="U309" s="27"/>
    </row>
    <row r="312" spans="1:21" ht="12" x14ac:dyDescent="0.25">
      <c r="B312" s="2"/>
      <c r="C312" s="2"/>
      <c r="D312" s="2"/>
      <c r="E312" s="2"/>
    </row>
    <row r="313" spans="1:21" x14ac:dyDescent="0.2">
      <c r="T313" s="27"/>
    </row>
    <row r="315" spans="1:21" x14ac:dyDescent="0.2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</row>
    <row r="317" spans="1:21" x14ac:dyDescent="0.2">
      <c r="B317" s="12"/>
    </row>
    <row r="319" spans="1:21" x14ac:dyDescent="0.2">
      <c r="B319" s="12"/>
    </row>
    <row r="320" spans="1:21" x14ac:dyDescent="0.2">
      <c r="B320" s="12"/>
    </row>
    <row r="321" spans="2:2" x14ac:dyDescent="0.2">
      <c r="B321" s="12"/>
    </row>
    <row r="412" spans="1:19" ht="12" x14ac:dyDescent="0.25">
      <c r="B412" s="2"/>
      <c r="C412" s="2"/>
      <c r="D412" s="2"/>
      <c r="E412" s="2"/>
    </row>
    <row r="415" spans="1:19" x14ac:dyDescent="0.2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</row>
    <row r="417" spans="2:2" x14ac:dyDescent="0.2">
      <c r="B417" s="12"/>
    </row>
    <row r="419" spans="2:2" x14ac:dyDescent="0.2">
      <c r="B419" s="12"/>
    </row>
    <row r="420" spans="2:2" x14ac:dyDescent="0.2">
      <c r="B420" s="12"/>
    </row>
    <row r="421" spans="2:2" x14ac:dyDescent="0.2">
      <c r="B421" s="12"/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600-1000x600-1200x1200-2200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2021-01-03T14:41:35Z</dcterms:created>
  <dcterms:modified xsi:type="dcterms:W3CDTF">2021-01-10T08:05:35Z</dcterms:modified>
</cp:coreProperties>
</file>