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osting Sheets\"/>
    </mc:Choice>
  </mc:AlternateContent>
  <xr:revisionPtr revIDLastSave="0" documentId="13_ncr:1_{2C341892-2C03-4998-9B18-748BE36E11BB}" xr6:coauthVersionLast="46" xr6:coauthVersionMax="46" xr10:uidLastSave="{00000000-0000-0000-0000-000000000000}"/>
  <bookViews>
    <workbookView xWindow="-108" yWindow="-108" windowWidth="23256" windowHeight="12576" xr2:uid="{F6E62354-52D5-4F51-BD0B-057D6E136705}"/>
  </bookViews>
  <sheets>
    <sheet name="PC Enclosure Shop Floor FDR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3" i="1" l="1"/>
  <c r="D30" i="1"/>
  <c r="C30" i="1"/>
  <c r="F19" i="1"/>
  <c r="J19" i="1" s="1"/>
  <c r="P19" i="1" s="1"/>
  <c r="F15" i="1"/>
  <c r="F16" i="1" s="1"/>
  <c r="J16" i="1" s="1"/>
  <c r="P16" i="1" s="1"/>
  <c r="M8" i="1"/>
  <c r="M9" i="1"/>
  <c r="M10" i="1"/>
  <c r="M11" i="1"/>
  <c r="M12" i="1"/>
  <c r="M13" i="1"/>
  <c r="M18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7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R56" i="1" s="1"/>
  <c r="S56" i="1" s="1"/>
  <c r="M57" i="1"/>
  <c r="M58" i="1"/>
  <c r="M59" i="1"/>
  <c r="M60" i="1"/>
  <c r="M61" i="1"/>
  <c r="M62" i="1"/>
  <c r="M7" i="1"/>
  <c r="M6" i="1"/>
  <c r="K4" i="1"/>
  <c r="K32" i="1" s="1"/>
  <c r="H63" i="1"/>
  <c r="G63" i="1"/>
  <c r="Q62" i="1"/>
  <c r="J62" i="1"/>
  <c r="P62" i="1" s="1"/>
  <c r="F62" i="1"/>
  <c r="I62" i="1" s="1"/>
  <c r="J61" i="1"/>
  <c r="P61" i="1" s="1"/>
  <c r="I61" i="1"/>
  <c r="K61" i="1" s="1"/>
  <c r="L61" i="1" s="1"/>
  <c r="F61" i="1"/>
  <c r="G60" i="1"/>
  <c r="F60" i="1"/>
  <c r="J60" i="1" s="1"/>
  <c r="P60" i="1" s="1"/>
  <c r="F59" i="1"/>
  <c r="J59" i="1" s="1"/>
  <c r="P59" i="1" s="1"/>
  <c r="K58" i="1"/>
  <c r="L58" i="1" s="1"/>
  <c r="J58" i="1"/>
  <c r="P58" i="1" s="1"/>
  <c r="I58" i="1"/>
  <c r="J57" i="1"/>
  <c r="L57" i="1" s="1"/>
  <c r="I57" i="1"/>
  <c r="Q56" i="1"/>
  <c r="J55" i="1"/>
  <c r="P55" i="1" s="1"/>
  <c r="I55" i="1"/>
  <c r="F55" i="1"/>
  <c r="Q55" i="1" s="1"/>
  <c r="Q54" i="1"/>
  <c r="I54" i="1"/>
  <c r="F54" i="1"/>
  <c r="J54" i="1" s="1"/>
  <c r="P54" i="1" s="1"/>
  <c r="F53" i="1"/>
  <c r="J53" i="1" s="1"/>
  <c r="P53" i="1" s="1"/>
  <c r="Q52" i="1"/>
  <c r="P52" i="1"/>
  <c r="K52" i="1"/>
  <c r="L52" i="1" s="1"/>
  <c r="J52" i="1"/>
  <c r="I52" i="1"/>
  <c r="Q51" i="1"/>
  <c r="P51" i="1"/>
  <c r="J51" i="1"/>
  <c r="I51" i="1"/>
  <c r="K51" i="1" s="1"/>
  <c r="I50" i="1"/>
  <c r="C50" i="1"/>
  <c r="J50" i="1" s="1"/>
  <c r="P50" i="1" s="1"/>
  <c r="J49" i="1"/>
  <c r="P49" i="1" s="1"/>
  <c r="I49" i="1"/>
  <c r="J48" i="1"/>
  <c r="P48" i="1" s="1"/>
  <c r="D48" i="1"/>
  <c r="C48" i="1"/>
  <c r="I48" i="1" s="1"/>
  <c r="N47" i="1"/>
  <c r="I47" i="1"/>
  <c r="D47" i="1"/>
  <c r="C47" i="1"/>
  <c r="J47" i="1" s="1"/>
  <c r="P47" i="1" s="1"/>
  <c r="K46" i="1"/>
  <c r="L46" i="1" s="1"/>
  <c r="J46" i="1"/>
  <c r="P46" i="1" s="1"/>
  <c r="I46" i="1"/>
  <c r="F45" i="1"/>
  <c r="J45" i="1" s="1"/>
  <c r="P45" i="1" s="1"/>
  <c r="O44" i="1"/>
  <c r="I44" i="1"/>
  <c r="F44" i="1"/>
  <c r="D44" i="1"/>
  <c r="J44" i="1" s="1"/>
  <c r="P44" i="1" s="1"/>
  <c r="J43" i="1"/>
  <c r="P43" i="1" s="1"/>
  <c r="I43" i="1"/>
  <c r="C43" i="1"/>
  <c r="P42" i="1"/>
  <c r="J42" i="1"/>
  <c r="I42" i="1"/>
  <c r="Q41" i="1"/>
  <c r="I41" i="1"/>
  <c r="F41" i="1"/>
  <c r="J41" i="1" s="1"/>
  <c r="P41" i="1" s="1"/>
  <c r="F40" i="1"/>
  <c r="J40" i="1" s="1"/>
  <c r="P40" i="1" s="1"/>
  <c r="N39" i="1"/>
  <c r="D39" i="1"/>
  <c r="C39" i="1"/>
  <c r="J39" i="1" s="1"/>
  <c r="P39" i="1" s="1"/>
  <c r="J37" i="1"/>
  <c r="P37" i="1" s="1"/>
  <c r="I37" i="1"/>
  <c r="J34" i="1"/>
  <c r="P34" i="1" s="1"/>
  <c r="D34" i="1"/>
  <c r="C34" i="1"/>
  <c r="Q33" i="1"/>
  <c r="I33" i="1"/>
  <c r="F33" i="1"/>
  <c r="J33" i="1" s="1"/>
  <c r="P33" i="1" s="1"/>
  <c r="J32" i="1"/>
  <c r="P32" i="1" s="1"/>
  <c r="I32" i="1"/>
  <c r="F30" i="1"/>
  <c r="F31" i="1" s="1"/>
  <c r="J29" i="1"/>
  <c r="P29" i="1" s="1"/>
  <c r="D29" i="1"/>
  <c r="I29" i="1" s="1"/>
  <c r="J28" i="1"/>
  <c r="P28" i="1" s="1"/>
  <c r="I28" i="1"/>
  <c r="Q27" i="1"/>
  <c r="I27" i="1"/>
  <c r="K27" i="1" s="1"/>
  <c r="F27" i="1"/>
  <c r="J27" i="1" s="1"/>
  <c r="P27" i="1" s="1"/>
  <c r="Q26" i="1"/>
  <c r="J26" i="1"/>
  <c r="P26" i="1" s="1"/>
  <c r="F26" i="1"/>
  <c r="I26" i="1" s="1"/>
  <c r="J25" i="1"/>
  <c r="P25" i="1" s="1"/>
  <c r="I25" i="1"/>
  <c r="F25" i="1"/>
  <c r="D25" i="1"/>
  <c r="C25" i="1"/>
  <c r="D24" i="1"/>
  <c r="C24" i="1"/>
  <c r="I24" i="1" s="1"/>
  <c r="D23" i="1"/>
  <c r="C23" i="1"/>
  <c r="I22" i="1"/>
  <c r="F22" i="1"/>
  <c r="D22" i="1"/>
  <c r="J22" i="1" s="1"/>
  <c r="P22" i="1" s="1"/>
  <c r="N21" i="1"/>
  <c r="J21" i="1"/>
  <c r="P21" i="1" s="1"/>
  <c r="F21" i="1"/>
  <c r="F23" i="1" s="1"/>
  <c r="J23" i="1" s="1"/>
  <c r="P23" i="1" s="1"/>
  <c r="D21" i="1"/>
  <c r="C21" i="1"/>
  <c r="I21" i="1" s="1"/>
  <c r="K21" i="1" s="1"/>
  <c r="J20" i="1"/>
  <c r="P20" i="1" s="1"/>
  <c r="I20" i="1"/>
  <c r="Q19" i="1"/>
  <c r="Q18" i="1"/>
  <c r="I18" i="1"/>
  <c r="K18" i="1" s="1"/>
  <c r="F18" i="1"/>
  <c r="J18" i="1" s="1"/>
  <c r="P18" i="1" s="1"/>
  <c r="D16" i="1"/>
  <c r="D15" i="1"/>
  <c r="N14" i="1"/>
  <c r="D14" i="1"/>
  <c r="C14" i="1"/>
  <c r="F13" i="1"/>
  <c r="F12" i="1"/>
  <c r="C11" i="1"/>
  <c r="F10" i="1"/>
  <c r="C10" i="1"/>
  <c r="O9" i="1"/>
  <c r="F9" i="1"/>
  <c r="D9" i="1"/>
  <c r="C9" i="1"/>
  <c r="F8" i="1"/>
  <c r="D8" i="1"/>
  <c r="C8" i="1"/>
  <c r="F7" i="1"/>
  <c r="D7" i="1"/>
  <c r="C7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N6" i="1"/>
  <c r="F6" i="1"/>
  <c r="D6" i="1"/>
  <c r="C6" i="1"/>
  <c r="I19" i="1" l="1"/>
  <c r="M19" i="1" s="1"/>
  <c r="K25" i="1"/>
  <c r="K43" i="1"/>
  <c r="L43" i="1" s="1"/>
  <c r="R43" i="1" s="1"/>
  <c r="S43" i="1" s="1"/>
  <c r="K55" i="1"/>
  <c r="L55" i="1" s="1"/>
  <c r="R55" i="1" s="1"/>
  <c r="S55" i="1" s="1"/>
  <c r="K37" i="1"/>
  <c r="L37" i="1" s="1"/>
  <c r="R37" i="1" s="1"/>
  <c r="S37" i="1" s="1"/>
  <c r="K28" i="1"/>
  <c r="L28" i="1" s="1"/>
  <c r="K42" i="1"/>
  <c r="K49" i="1"/>
  <c r="R49" i="1" s="1"/>
  <c r="S49" i="1" s="1"/>
  <c r="K54" i="1"/>
  <c r="L54" i="1" s="1"/>
  <c r="J6" i="1"/>
  <c r="I6" i="1"/>
  <c r="L21" i="1"/>
  <c r="R21" i="1" s="1"/>
  <c r="S21" i="1" s="1"/>
  <c r="K48" i="1"/>
  <c r="L51" i="1"/>
  <c r="R51" i="1"/>
  <c r="S51" i="1" s="1"/>
  <c r="L25" i="1"/>
  <c r="J31" i="1"/>
  <c r="P31" i="1" s="1"/>
  <c r="I31" i="1"/>
  <c r="I8" i="1"/>
  <c r="D10" i="1"/>
  <c r="O10" i="1" s="1"/>
  <c r="O63" i="1" s="1"/>
  <c r="D11" i="1"/>
  <c r="J11" i="1" s="1"/>
  <c r="P11" i="1" s="1"/>
  <c r="J14" i="1"/>
  <c r="P14" i="1" s="1"/>
  <c r="F17" i="1"/>
  <c r="I14" i="1"/>
  <c r="M14" i="1" s="1"/>
  <c r="K26" i="1"/>
  <c r="K62" i="1"/>
  <c r="J10" i="1"/>
  <c r="P10" i="1" s="1"/>
  <c r="J12" i="1"/>
  <c r="P12" i="1" s="1"/>
  <c r="I12" i="1"/>
  <c r="Q12" i="1"/>
  <c r="I16" i="1"/>
  <c r="M16" i="1" s="1"/>
  <c r="L18" i="1"/>
  <c r="R18" i="1" s="1"/>
  <c r="S18" i="1" s="1"/>
  <c r="K24" i="1"/>
  <c r="L42" i="1"/>
  <c r="R42" i="1"/>
  <c r="S42" i="1" s="1"/>
  <c r="I23" i="1"/>
  <c r="J7" i="1"/>
  <c r="P7" i="1" s="1"/>
  <c r="I7" i="1"/>
  <c r="J8" i="1"/>
  <c r="P8" i="1" s="1"/>
  <c r="N63" i="1"/>
  <c r="K29" i="1"/>
  <c r="J9" i="1"/>
  <c r="P9" i="1" s="1"/>
  <c r="I9" i="1"/>
  <c r="Q13" i="1"/>
  <c r="J13" i="1"/>
  <c r="P13" i="1" s="1"/>
  <c r="I13" i="1"/>
  <c r="J15" i="1"/>
  <c r="P15" i="1" s="1"/>
  <c r="I15" i="1"/>
  <c r="M15" i="1" s="1"/>
  <c r="L27" i="1"/>
  <c r="R27" i="1" s="1"/>
  <c r="S27" i="1" s="1"/>
  <c r="F35" i="1"/>
  <c r="Q60" i="1"/>
  <c r="K20" i="1"/>
  <c r="L32" i="1"/>
  <c r="R32" i="1" s="1"/>
  <c r="S32" i="1" s="1"/>
  <c r="L49" i="1"/>
  <c r="R61" i="1"/>
  <c r="S61" i="1" s="1"/>
  <c r="K22" i="1"/>
  <c r="R28" i="1"/>
  <c r="S28" i="1" s="1"/>
  <c r="K33" i="1"/>
  <c r="F36" i="1"/>
  <c r="K41" i="1"/>
  <c r="K44" i="1"/>
  <c r="R46" i="1"/>
  <c r="S46" i="1" s="1"/>
  <c r="K47" i="1"/>
  <c r="K50" i="1"/>
  <c r="R52" i="1"/>
  <c r="S52" i="1" s="1"/>
  <c r="R58" i="1"/>
  <c r="S58" i="1" s="1"/>
  <c r="I60" i="1"/>
  <c r="J24" i="1"/>
  <c r="P24" i="1" s="1"/>
  <c r="N34" i="1"/>
  <c r="I39" i="1"/>
  <c r="I45" i="1"/>
  <c r="Q59" i="1"/>
  <c r="Q53" i="1"/>
  <c r="I34" i="1"/>
  <c r="M34" i="1" s="1"/>
  <c r="F38" i="1"/>
  <c r="I40" i="1"/>
  <c r="I53" i="1"/>
  <c r="K57" i="1"/>
  <c r="R57" i="1" s="1"/>
  <c r="S57" i="1" s="1"/>
  <c r="I59" i="1"/>
  <c r="K19" i="1" l="1"/>
  <c r="L19" i="1" s="1"/>
  <c r="R19" i="1" s="1"/>
  <c r="S19" i="1" s="1"/>
  <c r="R54" i="1"/>
  <c r="S54" i="1" s="1"/>
  <c r="R25" i="1"/>
  <c r="S25" i="1" s="1"/>
  <c r="K13" i="1"/>
  <c r="L26" i="1"/>
  <c r="R26" i="1" s="1"/>
  <c r="S26" i="1" s="1"/>
  <c r="T28" i="1" s="1"/>
  <c r="L48" i="1"/>
  <c r="R48" i="1"/>
  <c r="S48" i="1" s="1"/>
  <c r="K59" i="1"/>
  <c r="L50" i="1"/>
  <c r="R50" i="1" s="1"/>
  <c r="S50" i="1" s="1"/>
  <c r="L22" i="1"/>
  <c r="R22" i="1" s="1"/>
  <c r="S22" i="1" s="1"/>
  <c r="L20" i="1"/>
  <c r="R20" i="1" s="1"/>
  <c r="S20" i="1" s="1"/>
  <c r="K12" i="1"/>
  <c r="K8" i="1"/>
  <c r="K40" i="1"/>
  <c r="L44" i="1"/>
  <c r="R44" i="1" s="1"/>
  <c r="S44" i="1" s="1"/>
  <c r="L62" i="1"/>
  <c r="R62" i="1" s="1"/>
  <c r="S62" i="1" s="1"/>
  <c r="I17" i="1"/>
  <c r="M17" i="1" s="1"/>
  <c r="J17" i="1"/>
  <c r="P17" i="1" s="1"/>
  <c r="Q17" i="1"/>
  <c r="K45" i="1"/>
  <c r="K39" i="1"/>
  <c r="K14" i="1"/>
  <c r="I38" i="1"/>
  <c r="M38" i="1" s="1"/>
  <c r="J38" i="1"/>
  <c r="P38" i="1" s="1"/>
  <c r="L41" i="1"/>
  <c r="R41" i="1" s="1"/>
  <c r="S41" i="1" s="1"/>
  <c r="L29" i="1"/>
  <c r="R29" i="1" s="1"/>
  <c r="S29" i="1" s="1"/>
  <c r="K7" i="1"/>
  <c r="F63" i="1"/>
  <c r="L47" i="1"/>
  <c r="R47" i="1" s="1"/>
  <c r="S47" i="1" s="1"/>
  <c r="T48" i="1" s="1"/>
  <c r="J35" i="1"/>
  <c r="P35" i="1" s="1"/>
  <c r="I35" i="1"/>
  <c r="M35" i="1" s="1"/>
  <c r="L24" i="1"/>
  <c r="R24" i="1" s="1"/>
  <c r="S24" i="1" s="1"/>
  <c r="I11" i="1"/>
  <c r="K34" i="1"/>
  <c r="K60" i="1"/>
  <c r="J36" i="1"/>
  <c r="P36" i="1" s="1"/>
  <c r="I36" i="1"/>
  <c r="M36" i="1" s="1"/>
  <c r="Q36" i="1"/>
  <c r="K15" i="1"/>
  <c r="K6" i="1"/>
  <c r="K53" i="1"/>
  <c r="K9" i="1"/>
  <c r="L33" i="1"/>
  <c r="R33" i="1" s="1"/>
  <c r="S33" i="1" s="1"/>
  <c r="I10" i="1"/>
  <c r="K23" i="1"/>
  <c r="K16" i="1"/>
  <c r="J30" i="1"/>
  <c r="P30" i="1" s="1"/>
  <c r="I30" i="1"/>
  <c r="M30" i="1" s="1"/>
  <c r="K31" i="1"/>
  <c r="P6" i="1"/>
  <c r="Q63" i="1" l="1"/>
  <c r="K17" i="1"/>
  <c r="P63" i="1"/>
  <c r="L53" i="1"/>
  <c r="R53" i="1" s="1"/>
  <c r="S53" i="1" s="1"/>
  <c r="L60" i="1"/>
  <c r="R60" i="1"/>
  <c r="S60" i="1" s="1"/>
  <c r="L12" i="1"/>
  <c r="R12" i="1" s="1"/>
  <c r="S12" i="1" s="1"/>
  <c r="L59" i="1"/>
  <c r="R59" i="1" s="1"/>
  <c r="S59" i="1" s="1"/>
  <c r="L13" i="1"/>
  <c r="R13" i="1" s="1"/>
  <c r="S13" i="1" s="1"/>
  <c r="L8" i="1"/>
  <c r="R8" i="1"/>
  <c r="S8" i="1" s="1"/>
  <c r="M63" i="1"/>
  <c r="K10" i="1"/>
  <c r="L45" i="1"/>
  <c r="R45" i="1"/>
  <c r="S45" i="1" s="1"/>
  <c r="T46" i="1" s="1"/>
  <c r="L31" i="1"/>
  <c r="R31" i="1" s="1"/>
  <c r="S31" i="1" s="1"/>
  <c r="I63" i="1"/>
  <c r="K36" i="1"/>
  <c r="L39" i="1"/>
  <c r="R39" i="1"/>
  <c r="S39" i="1" s="1"/>
  <c r="L23" i="1"/>
  <c r="R23" i="1"/>
  <c r="S23" i="1" s="1"/>
  <c r="U24" i="1" s="1"/>
  <c r="K30" i="1"/>
  <c r="L15" i="1"/>
  <c r="R15" i="1" s="1"/>
  <c r="S15" i="1" s="1"/>
  <c r="L34" i="1"/>
  <c r="R34" i="1" s="1"/>
  <c r="S34" i="1" s="1"/>
  <c r="K38" i="1"/>
  <c r="L16" i="1"/>
  <c r="R16" i="1" s="1"/>
  <c r="S16" i="1" s="1"/>
  <c r="K35" i="1"/>
  <c r="J63" i="1"/>
  <c r="L6" i="1"/>
  <c r="R6" i="1"/>
  <c r="L9" i="1"/>
  <c r="R9" i="1"/>
  <c r="S9" i="1" s="1"/>
  <c r="K11" i="1"/>
  <c r="L7" i="1"/>
  <c r="R7" i="1" s="1"/>
  <c r="S7" i="1" s="1"/>
  <c r="L14" i="1"/>
  <c r="R14" i="1"/>
  <c r="S14" i="1" s="1"/>
  <c r="L40" i="1"/>
  <c r="R40" i="1" s="1"/>
  <c r="S40" i="1" s="1"/>
  <c r="T24" i="1" l="1"/>
  <c r="T62" i="1"/>
  <c r="L30" i="1"/>
  <c r="R30" i="1" s="1"/>
  <c r="S30" i="1" s="1"/>
  <c r="T33" i="1" s="1"/>
  <c r="S6" i="1"/>
  <c r="L38" i="1"/>
  <c r="R38" i="1" s="1"/>
  <c r="S38" i="1" s="1"/>
  <c r="T42" i="1"/>
  <c r="L35" i="1"/>
  <c r="R35" i="1" s="1"/>
  <c r="S35" i="1" s="1"/>
  <c r="L36" i="1"/>
  <c r="R36" i="1"/>
  <c r="S36" i="1" s="1"/>
  <c r="L17" i="1"/>
  <c r="R17" i="1" s="1"/>
  <c r="S17" i="1" s="1"/>
  <c r="T20" i="1" s="1"/>
  <c r="K63" i="1"/>
  <c r="L11" i="1"/>
  <c r="R11" i="1"/>
  <c r="S11" i="1" s="1"/>
  <c r="L10" i="1"/>
  <c r="R10" i="1" s="1"/>
  <c r="S10" i="1" s="1"/>
  <c r="L63" i="1" l="1"/>
  <c r="T38" i="1"/>
  <c r="R63" i="1"/>
  <c r="S63" i="1"/>
  <c r="S65" i="1" s="1"/>
  <c r="T13" i="1"/>
  <c r="T63" i="1" l="1"/>
</calcChain>
</file>

<file path=xl/sharedStrings.xml><?xml version="1.0" encoding="utf-8"?>
<sst xmlns="http://schemas.openxmlformats.org/spreadsheetml/2006/main" count="83" uniqueCount="72">
  <si>
    <t>W</t>
  </si>
  <si>
    <t>D</t>
  </si>
  <si>
    <t>H</t>
  </si>
  <si>
    <t>B</t>
  </si>
  <si>
    <t>Q</t>
  </si>
  <si>
    <t>Sr.No.</t>
  </si>
  <si>
    <t>DESCRIPTION</t>
  </si>
  <si>
    <t>WIDTH</t>
  </si>
  <si>
    <t>LENGTH</t>
  </si>
  <si>
    <t>THK</t>
  </si>
  <si>
    <t>QTY</t>
  </si>
  <si>
    <t>SHEAR</t>
  </si>
  <si>
    <t>BEND</t>
  </si>
  <si>
    <t>WEIGHT</t>
  </si>
  <si>
    <t>AREA</t>
  </si>
  <si>
    <t>MAT. COST</t>
  </si>
  <si>
    <t>SCRAP</t>
  </si>
  <si>
    <t>LABOUR</t>
  </si>
  <si>
    <t>WELD</t>
  </si>
  <si>
    <t>HOLE</t>
  </si>
  <si>
    <t>PAINT</t>
  </si>
  <si>
    <t>OTHER</t>
  </si>
  <si>
    <t>TOTAL</t>
  </si>
  <si>
    <t>NET</t>
  </si>
  <si>
    <t>V' Channel</t>
  </si>
  <si>
    <t>H' Channel</t>
  </si>
  <si>
    <t>S' Channel</t>
  </si>
  <si>
    <t>Indexing L</t>
  </si>
  <si>
    <t>C plt mtg ch</t>
  </si>
  <si>
    <t>B. C. Angle</t>
  </si>
  <si>
    <t>Corner Piece Sq.</t>
  </si>
  <si>
    <t>Corner Piece Triangle.</t>
  </si>
  <si>
    <t>Door</t>
  </si>
  <si>
    <t>V' Supp. Ch.</t>
  </si>
  <si>
    <t>H' Supp. Ch.</t>
  </si>
  <si>
    <t>Gasket</t>
  </si>
  <si>
    <t>Lock</t>
  </si>
  <si>
    <t>Hinges</t>
  </si>
  <si>
    <t>Hardware</t>
  </si>
  <si>
    <t>Base</t>
  </si>
  <si>
    <t>Plinth plates</t>
  </si>
  <si>
    <t>Base Cover thk</t>
  </si>
  <si>
    <t>Base Cover Thin</t>
  </si>
  <si>
    <t>Top Cover</t>
  </si>
  <si>
    <t>Eye Bolts</t>
  </si>
  <si>
    <t>Bottom Cover '4'</t>
  </si>
  <si>
    <t>Bottom Cover '5'</t>
  </si>
  <si>
    <t>B. C. Clamps</t>
  </si>
  <si>
    <t>Back Cover</t>
  </si>
  <si>
    <t>B. C. Rest. Ch.</t>
  </si>
  <si>
    <t>Side Cover</t>
  </si>
  <si>
    <t>S. C. Mtg. Bkt.</t>
  </si>
  <si>
    <t>Component Plate</t>
  </si>
  <si>
    <t>Cross Channel</t>
  </si>
  <si>
    <t>C. P. Bracket</t>
  </si>
  <si>
    <t>Canopy</t>
  </si>
  <si>
    <t>Studs</t>
  </si>
  <si>
    <t>C Plate</t>
  </si>
  <si>
    <t>Drawer</t>
  </si>
  <si>
    <t>Rail</t>
  </si>
  <si>
    <t>Hinge &amp; Lock</t>
  </si>
  <si>
    <t>Aluminium Section</t>
  </si>
  <si>
    <t>Gas spring</t>
  </si>
  <si>
    <t>Nylon 4" Caster</t>
  </si>
  <si>
    <t>4" Filter grill kit</t>
  </si>
  <si>
    <t>Glass</t>
  </si>
  <si>
    <t>Transport</t>
  </si>
  <si>
    <t>Assly</t>
  </si>
  <si>
    <t>Packing</t>
  </si>
  <si>
    <t>Cutouts &amp; other</t>
  </si>
  <si>
    <t>Steel</t>
  </si>
  <si>
    <t>COSTING OF PC Enclosure Shop Floor FDRC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</si>
</sst>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sz val="9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" fontId="1" fillId="0" borderId="0" xfId="0" applyNumberFormat="1" applyFont="1"/>
    <xf numFmtId="9" fontId="1" fillId="0" borderId="0" xfId="0" applyNumberFormat="1" applyFont="1"/>
    <xf numFmtId="0" fontId="1" fillId="0" borderId="1" xfId="0" applyFont="1" applyBorder="1" applyAlignment="1">
      <alignment horizontal="left"/>
    </xf>
    <xf numFmtId="0" fontId="1" fillId="0" borderId="2" xfId="0" applyFont="1" applyBorder="1"/>
    <xf numFmtId="0" fontId="1" fillId="0" borderId="3" xfId="0" quotePrefix="1" applyFont="1" applyBorder="1"/>
    <xf numFmtId="0" fontId="1" fillId="0" borderId="3" xfId="0" applyFont="1" applyBorder="1"/>
    <xf numFmtId="1" fontId="1" fillId="0" borderId="3" xfId="0" applyNumberFormat="1" applyFont="1" applyBorder="1"/>
    <xf numFmtId="0" fontId="1" fillId="0" borderId="4" xfId="0" applyFont="1" applyBorder="1"/>
    <xf numFmtId="0" fontId="1" fillId="0" borderId="0" xfId="0" quotePrefix="1" applyFont="1"/>
    <xf numFmtId="0" fontId="1" fillId="0" borderId="5" xfId="0" applyFont="1" applyBorder="1"/>
    <xf numFmtId="1" fontId="1" fillId="0" borderId="5" xfId="0" applyNumberFormat="1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5" xfId="0" applyFont="1" applyBorder="1"/>
    <xf numFmtId="0" fontId="3" fillId="0" borderId="5" xfId="0" applyFont="1" applyBorder="1" applyAlignment="1">
      <alignment horizontal="right"/>
    </xf>
    <xf numFmtId="1" fontId="2" fillId="0" borderId="0" xfId="0" applyNumberFormat="1" applyFont="1"/>
    <xf numFmtId="9" fontId="2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D9D1-2BED-4FF1-A769-0245052177A4}">
  <dimension ref="A1:Y416"/>
  <sheetViews>
    <sheetView tabSelected="1" zoomScale="85" workbookViewId="0">
      <pane xSplit="2" ySplit="5" topLeftCell="C6" activePane="bottomRight" state="frozen"/>
      <selection activeCell="L68" sqref="L68"/>
      <selection pane="topRight" activeCell="L68" sqref="L68"/>
      <selection pane="bottomLeft" activeCell="L68" sqref="L68"/>
      <selection pane="bottomRight" activeCell="M47" sqref="M47"/>
    </sheetView>
  </sheetViews>
  <sheetFormatPr defaultColWidth="9.109375" defaultRowHeight="11.4" x14ac:dyDescent="0.2"/>
  <cols>
    <col min="1" max="1" width="3.88671875" style="1" customWidth="1"/>
    <col min="2" max="2" width="13.109375" style="1" customWidth="1"/>
    <col min="3" max="3" width="7" style="1" customWidth="1"/>
    <col min="4" max="4" width="6.33203125" style="1" customWidth="1"/>
    <col min="5" max="5" width="7.33203125" style="1" customWidth="1"/>
    <col min="6" max="6" width="6.5546875" style="1" customWidth="1"/>
    <col min="7" max="7" width="9.109375" style="1"/>
    <col min="8" max="8" width="4.44140625" style="1" customWidth="1"/>
    <col min="9" max="9" width="5.33203125" style="1" customWidth="1"/>
    <col min="10" max="10" width="5.44140625" style="1" customWidth="1"/>
    <col min="11" max="11" width="6.109375" style="1" customWidth="1"/>
    <col min="12" max="12" width="5.44140625" style="1" customWidth="1"/>
    <col min="13" max="14" width="5.5546875" style="1" customWidth="1"/>
    <col min="15" max="15" width="6" style="1" customWidth="1"/>
    <col min="16" max="16" width="4.88671875" style="1" customWidth="1"/>
    <col min="17" max="17" width="5" style="1" customWidth="1"/>
    <col min="18" max="18" width="6.6640625" style="1" customWidth="1"/>
    <col min="19" max="19" width="7.5546875" style="1" customWidth="1"/>
    <col min="20" max="20" width="5.88671875" style="1" customWidth="1"/>
    <col min="21" max="21" width="7" style="1" customWidth="1"/>
    <col min="22" max="22" width="9.109375" style="1"/>
    <col min="23" max="23" width="9.5546875" style="1" customWidth="1"/>
    <col min="24" max="24" width="9.109375" style="1"/>
    <col min="25" max="25" width="10.33203125" style="1" bestFit="1" customWidth="1"/>
    <col min="26" max="256" width="9.109375" style="1"/>
    <col min="257" max="257" width="3.88671875" style="1" customWidth="1"/>
    <col min="258" max="258" width="13.109375" style="1" customWidth="1"/>
    <col min="259" max="259" width="7" style="1" customWidth="1"/>
    <col min="260" max="260" width="6.33203125" style="1" customWidth="1"/>
    <col min="261" max="261" width="7.33203125" style="1" customWidth="1"/>
    <col min="262" max="262" width="6.5546875" style="1" customWidth="1"/>
    <col min="263" max="263" width="9.109375" style="1"/>
    <col min="264" max="264" width="4.44140625" style="1" customWidth="1"/>
    <col min="265" max="265" width="5.33203125" style="1" customWidth="1"/>
    <col min="266" max="266" width="5.44140625" style="1" customWidth="1"/>
    <col min="267" max="267" width="6.109375" style="1" customWidth="1"/>
    <col min="268" max="268" width="5.44140625" style="1" customWidth="1"/>
    <col min="269" max="270" width="5.5546875" style="1" customWidth="1"/>
    <col min="271" max="271" width="6" style="1" customWidth="1"/>
    <col min="272" max="272" width="4.88671875" style="1" customWidth="1"/>
    <col min="273" max="273" width="5" style="1" customWidth="1"/>
    <col min="274" max="274" width="6.6640625" style="1" customWidth="1"/>
    <col min="275" max="275" width="7.5546875" style="1" customWidth="1"/>
    <col min="276" max="276" width="5.88671875" style="1" customWidth="1"/>
    <col min="277" max="277" width="7" style="1" customWidth="1"/>
    <col min="278" max="278" width="9.109375" style="1"/>
    <col min="279" max="279" width="9.5546875" style="1" customWidth="1"/>
    <col min="280" max="280" width="9.109375" style="1"/>
    <col min="281" max="281" width="10.33203125" style="1" bestFit="1" customWidth="1"/>
    <col min="282" max="512" width="9.109375" style="1"/>
    <col min="513" max="513" width="3.88671875" style="1" customWidth="1"/>
    <col min="514" max="514" width="13.109375" style="1" customWidth="1"/>
    <col min="515" max="515" width="7" style="1" customWidth="1"/>
    <col min="516" max="516" width="6.33203125" style="1" customWidth="1"/>
    <col min="517" max="517" width="7.33203125" style="1" customWidth="1"/>
    <col min="518" max="518" width="6.5546875" style="1" customWidth="1"/>
    <col min="519" max="519" width="9.109375" style="1"/>
    <col min="520" max="520" width="4.44140625" style="1" customWidth="1"/>
    <col min="521" max="521" width="5.33203125" style="1" customWidth="1"/>
    <col min="522" max="522" width="5.44140625" style="1" customWidth="1"/>
    <col min="523" max="523" width="6.109375" style="1" customWidth="1"/>
    <col min="524" max="524" width="5.44140625" style="1" customWidth="1"/>
    <col min="525" max="526" width="5.5546875" style="1" customWidth="1"/>
    <col min="527" max="527" width="6" style="1" customWidth="1"/>
    <col min="528" max="528" width="4.88671875" style="1" customWidth="1"/>
    <col min="529" max="529" width="5" style="1" customWidth="1"/>
    <col min="530" max="530" width="6.6640625" style="1" customWidth="1"/>
    <col min="531" max="531" width="7.5546875" style="1" customWidth="1"/>
    <col min="532" max="532" width="5.88671875" style="1" customWidth="1"/>
    <col min="533" max="533" width="7" style="1" customWidth="1"/>
    <col min="534" max="534" width="9.109375" style="1"/>
    <col min="535" max="535" width="9.5546875" style="1" customWidth="1"/>
    <col min="536" max="536" width="9.109375" style="1"/>
    <col min="537" max="537" width="10.33203125" style="1" bestFit="1" customWidth="1"/>
    <col min="538" max="768" width="9.109375" style="1"/>
    <col min="769" max="769" width="3.88671875" style="1" customWidth="1"/>
    <col min="770" max="770" width="13.109375" style="1" customWidth="1"/>
    <col min="771" max="771" width="7" style="1" customWidth="1"/>
    <col min="772" max="772" width="6.33203125" style="1" customWidth="1"/>
    <col min="773" max="773" width="7.33203125" style="1" customWidth="1"/>
    <col min="774" max="774" width="6.5546875" style="1" customWidth="1"/>
    <col min="775" max="775" width="9.109375" style="1"/>
    <col min="776" max="776" width="4.44140625" style="1" customWidth="1"/>
    <col min="777" max="777" width="5.33203125" style="1" customWidth="1"/>
    <col min="778" max="778" width="5.44140625" style="1" customWidth="1"/>
    <col min="779" max="779" width="6.109375" style="1" customWidth="1"/>
    <col min="780" max="780" width="5.44140625" style="1" customWidth="1"/>
    <col min="781" max="782" width="5.5546875" style="1" customWidth="1"/>
    <col min="783" max="783" width="6" style="1" customWidth="1"/>
    <col min="784" max="784" width="4.88671875" style="1" customWidth="1"/>
    <col min="785" max="785" width="5" style="1" customWidth="1"/>
    <col min="786" max="786" width="6.6640625" style="1" customWidth="1"/>
    <col min="787" max="787" width="7.5546875" style="1" customWidth="1"/>
    <col min="788" max="788" width="5.88671875" style="1" customWidth="1"/>
    <col min="789" max="789" width="7" style="1" customWidth="1"/>
    <col min="790" max="790" width="9.109375" style="1"/>
    <col min="791" max="791" width="9.5546875" style="1" customWidth="1"/>
    <col min="792" max="792" width="9.109375" style="1"/>
    <col min="793" max="793" width="10.33203125" style="1" bestFit="1" customWidth="1"/>
    <col min="794" max="1024" width="9.109375" style="1"/>
    <col min="1025" max="1025" width="3.88671875" style="1" customWidth="1"/>
    <col min="1026" max="1026" width="13.109375" style="1" customWidth="1"/>
    <col min="1027" max="1027" width="7" style="1" customWidth="1"/>
    <col min="1028" max="1028" width="6.33203125" style="1" customWidth="1"/>
    <col min="1029" max="1029" width="7.33203125" style="1" customWidth="1"/>
    <col min="1030" max="1030" width="6.5546875" style="1" customWidth="1"/>
    <col min="1031" max="1031" width="9.109375" style="1"/>
    <col min="1032" max="1032" width="4.44140625" style="1" customWidth="1"/>
    <col min="1033" max="1033" width="5.33203125" style="1" customWidth="1"/>
    <col min="1034" max="1034" width="5.44140625" style="1" customWidth="1"/>
    <col min="1035" max="1035" width="6.109375" style="1" customWidth="1"/>
    <col min="1036" max="1036" width="5.44140625" style="1" customWidth="1"/>
    <col min="1037" max="1038" width="5.5546875" style="1" customWidth="1"/>
    <col min="1039" max="1039" width="6" style="1" customWidth="1"/>
    <col min="1040" max="1040" width="4.88671875" style="1" customWidth="1"/>
    <col min="1041" max="1041" width="5" style="1" customWidth="1"/>
    <col min="1042" max="1042" width="6.6640625" style="1" customWidth="1"/>
    <col min="1043" max="1043" width="7.5546875" style="1" customWidth="1"/>
    <col min="1044" max="1044" width="5.88671875" style="1" customWidth="1"/>
    <col min="1045" max="1045" width="7" style="1" customWidth="1"/>
    <col min="1046" max="1046" width="9.109375" style="1"/>
    <col min="1047" max="1047" width="9.5546875" style="1" customWidth="1"/>
    <col min="1048" max="1048" width="9.109375" style="1"/>
    <col min="1049" max="1049" width="10.33203125" style="1" bestFit="1" customWidth="1"/>
    <col min="1050" max="1280" width="9.109375" style="1"/>
    <col min="1281" max="1281" width="3.88671875" style="1" customWidth="1"/>
    <col min="1282" max="1282" width="13.109375" style="1" customWidth="1"/>
    <col min="1283" max="1283" width="7" style="1" customWidth="1"/>
    <col min="1284" max="1284" width="6.33203125" style="1" customWidth="1"/>
    <col min="1285" max="1285" width="7.33203125" style="1" customWidth="1"/>
    <col min="1286" max="1286" width="6.5546875" style="1" customWidth="1"/>
    <col min="1287" max="1287" width="9.109375" style="1"/>
    <col min="1288" max="1288" width="4.44140625" style="1" customWidth="1"/>
    <col min="1289" max="1289" width="5.33203125" style="1" customWidth="1"/>
    <col min="1290" max="1290" width="5.44140625" style="1" customWidth="1"/>
    <col min="1291" max="1291" width="6.109375" style="1" customWidth="1"/>
    <col min="1292" max="1292" width="5.44140625" style="1" customWidth="1"/>
    <col min="1293" max="1294" width="5.5546875" style="1" customWidth="1"/>
    <col min="1295" max="1295" width="6" style="1" customWidth="1"/>
    <col min="1296" max="1296" width="4.88671875" style="1" customWidth="1"/>
    <col min="1297" max="1297" width="5" style="1" customWidth="1"/>
    <col min="1298" max="1298" width="6.6640625" style="1" customWidth="1"/>
    <col min="1299" max="1299" width="7.5546875" style="1" customWidth="1"/>
    <col min="1300" max="1300" width="5.88671875" style="1" customWidth="1"/>
    <col min="1301" max="1301" width="7" style="1" customWidth="1"/>
    <col min="1302" max="1302" width="9.109375" style="1"/>
    <col min="1303" max="1303" width="9.5546875" style="1" customWidth="1"/>
    <col min="1304" max="1304" width="9.109375" style="1"/>
    <col min="1305" max="1305" width="10.33203125" style="1" bestFit="1" customWidth="1"/>
    <col min="1306" max="1536" width="9.109375" style="1"/>
    <col min="1537" max="1537" width="3.88671875" style="1" customWidth="1"/>
    <col min="1538" max="1538" width="13.109375" style="1" customWidth="1"/>
    <col min="1539" max="1539" width="7" style="1" customWidth="1"/>
    <col min="1540" max="1540" width="6.33203125" style="1" customWidth="1"/>
    <col min="1541" max="1541" width="7.33203125" style="1" customWidth="1"/>
    <col min="1542" max="1542" width="6.5546875" style="1" customWidth="1"/>
    <col min="1543" max="1543" width="9.109375" style="1"/>
    <col min="1544" max="1544" width="4.44140625" style="1" customWidth="1"/>
    <col min="1545" max="1545" width="5.33203125" style="1" customWidth="1"/>
    <col min="1546" max="1546" width="5.44140625" style="1" customWidth="1"/>
    <col min="1547" max="1547" width="6.109375" style="1" customWidth="1"/>
    <col min="1548" max="1548" width="5.44140625" style="1" customWidth="1"/>
    <col min="1549" max="1550" width="5.5546875" style="1" customWidth="1"/>
    <col min="1551" max="1551" width="6" style="1" customWidth="1"/>
    <col min="1552" max="1552" width="4.88671875" style="1" customWidth="1"/>
    <col min="1553" max="1553" width="5" style="1" customWidth="1"/>
    <col min="1554" max="1554" width="6.6640625" style="1" customWidth="1"/>
    <col min="1555" max="1555" width="7.5546875" style="1" customWidth="1"/>
    <col min="1556" max="1556" width="5.88671875" style="1" customWidth="1"/>
    <col min="1557" max="1557" width="7" style="1" customWidth="1"/>
    <col min="1558" max="1558" width="9.109375" style="1"/>
    <col min="1559" max="1559" width="9.5546875" style="1" customWidth="1"/>
    <col min="1560" max="1560" width="9.109375" style="1"/>
    <col min="1561" max="1561" width="10.33203125" style="1" bestFit="1" customWidth="1"/>
    <col min="1562" max="1792" width="9.109375" style="1"/>
    <col min="1793" max="1793" width="3.88671875" style="1" customWidth="1"/>
    <col min="1794" max="1794" width="13.109375" style="1" customWidth="1"/>
    <col min="1795" max="1795" width="7" style="1" customWidth="1"/>
    <col min="1796" max="1796" width="6.33203125" style="1" customWidth="1"/>
    <col min="1797" max="1797" width="7.33203125" style="1" customWidth="1"/>
    <col min="1798" max="1798" width="6.5546875" style="1" customWidth="1"/>
    <col min="1799" max="1799" width="9.109375" style="1"/>
    <col min="1800" max="1800" width="4.44140625" style="1" customWidth="1"/>
    <col min="1801" max="1801" width="5.33203125" style="1" customWidth="1"/>
    <col min="1802" max="1802" width="5.44140625" style="1" customWidth="1"/>
    <col min="1803" max="1803" width="6.109375" style="1" customWidth="1"/>
    <col min="1804" max="1804" width="5.44140625" style="1" customWidth="1"/>
    <col min="1805" max="1806" width="5.5546875" style="1" customWidth="1"/>
    <col min="1807" max="1807" width="6" style="1" customWidth="1"/>
    <col min="1808" max="1808" width="4.88671875" style="1" customWidth="1"/>
    <col min="1809" max="1809" width="5" style="1" customWidth="1"/>
    <col min="1810" max="1810" width="6.6640625" style="1" customWidth="1"/>
    <col min="1811" max="1811" width="7.5546875" style="1" customWidth="1"/>
    <col min="1812" max="1812" width="5.88671875" style="1" customWidth="1"/>
    <col min="1813" max="1813" width="7" style="1" customWidth="1"/>
    <col min="1814" max="1814" width="9.109375" style="1"/>
    <col min="1815" max="1815" width="9.5546875" style="1" customWidth="1"/>
    <col min="1816" max="1816" width="9.109375" style="1"/>
    <col min="1817" max="1817" width="10.33203125" style="1" bestFit="1" customWidth="1"/>
    <col min="1818" max="2048" width="9.109375" style="1"/>
    <col min="2049" max="2049" width="3.88671875" style="1" customWidth="1"/>
    <col min="2050" max="2050" width="13.109375" style="1" customWidth="1"/>
    <col min="2051" max="2051" width="7" style="1" customWidth="1"/>
    <col min="2052" max="2052" width="6.33203125" style="1" customWidth="1"/>
    <col min="2053" max="2053" width="7.33203125" style="1" customWidth="1"/>
    <col min="2054" max="2054" width="6.5546875" style="1" customWidth="1"/>
    <col min="2055" max="2055" width="9.109375" style="1"/>
    <col min="2056" max="2056" width="4.44140625" style="1" customWidth="1"/>
    <col min="2057" max="2057" width="5.33203125" style="1" customWidth="1"/>
    <col min="2058" max="2058" width="5.44140625" style="1" customWidth="1"/>
    <col min="2059" max="2059" width="6.109375" style="1" customWidth="1"/>
    <col min="2060" max="2060" width="5.44140625" style="1" customWidth="1"/>
    <col min="2061" max="2062" width="5.5546875" style="1" customWidth="1"/>
    <col min="2063" max="2063" width="6" style="1" customWidth="1"/>
    <col min="2064" max="2064" width="4.88671875" style="1" customWidth="1"/>
    <col min="2065" max="2065" width="5" style="1" customWidth="1"/>
    <col min="2066" max="2066" width="6.6640625" style="1" customWidth="1"/>
    <col min="2067" max="2067" width="7.5546875" style="1" customWidth="1"/>
    <col min="2068" max="2068" width="5.88671875" style="1" customWidth="1"/>
    <col min="2069" max="2069" width="7" style="1" customWidth="1"/>
    <col min="2070" max="2070" width="9.109375" style="1"/>
    <col min="2071" max="2071" width="9.5546875" style="1" customWidth="1"/>
    <col min="2072" max="2072" width="9.109375" style="1"/>
    <col min="2073" max="2073" width="10.33203125" style="1" bestFit="1" customWidth="1"/>
    <col min="2074" max="2304" width="9.109375" style="1"/>
    <col min="2305" max="2305" width="3.88671875" style="1" customWidth="1"/>
    <col min="2306" max="2306" width="13.109375" style="1" customWidth="1"/>
    <col min="2307" max="2307" width="7" style="1" customWidth="1"/>
    <col min="2308" max="2308" width="6.33203125" style="1" customWidth="1"/>
    <col min="2309" max="2309" width="7.33203125" style="1" customWidth="1"/>
    <col min="2310" max="2310" width="6.5546875" style="1" customWidth="1"/>
    <col min="2311" max="2311" width="9.109375" style="1"/>
    <col min="2312" max="2312" width="4.44140625" style="1" customWidth="1"/>
    <col min="2313" max="2313" width="5.33203125" style="1" customWidth="1"/>
    <col min="2314" max="2314" width="5.44140625" style="1" customWidth="1"/>
    <col min="2315" max="2315" width="6.109375" style="1" customWidth="1"/>
    <col min="2316" max="2316" width="5.44140625" style="1" customWidth="1"/>
    <col min="2317" max="2318" width="5.5546875" style="1" customWidth="1"/>
    <col min="2319" max="2319" width="6" style="1" customWidth="1"/>
    <col min="2320" max="2320" width="4.88671875" style="1" customWidth="1"/>
    <col min="2321" max="2321" width="5" style="1" customWidth="1"/>
    <col min="2322" max="2322" width="6.6640625" style="1" customWidth="1"/>
    <col min="2323" max="2323" width="7.5546875" style="1" customWidth="1"/>
    <col min="2324" max="2324" width="5.88671875" style="1" customWidth="1"/>
    <col min="2325" max="2325" width="7" style="1" customWidth="1"/>
    <col min="2326" max="2326" width="9.109375" style="1"/>
    <col min="2327" max="2327" width="9.5546875" style="1" customWidth="1"/>
    <col min="2328" max="2328" width="9.109375" style="1"/>
    <col min="2329" max="2329" width="10.33203125" style="1" bestFit="1" customWidth="1"/>
    <col min="2330" max="2560" width="9.109375" style="1"/>
    <col min="2561" max="2561" width="3.88671875" style="1" customWidth="1"/>
    <col min="2562" max="2562" width="13.109375" style="1" customWidth="1"/>
    <col min="2563" max="2563" width="7" style="1" customWidth="1"/>
    <col min="2564" max="2564" width="6.33203125" style="1" customWidth="1"/>
    <col min="2565" max="2565" width="7.33203125" style="1" customWidth="1"/>
    <col min="2566" max="2566" width="6.5546875" style="1" customWidth="1"/>
    <col min="2567" max="2567" width="9.109375" style="1"/>
    <col min="2568" max="2568" width="4.44140625" style="1" customWidth="1"/>
    <col min="2569" max="2569" width="5.33203125" style="1" customWidth="1"/>
    <col min="2570" max="2570" width="5.44140625" style="1" customWidth="1"/>
    <col min="2571" max="2571" width="6.109375" style="1" customWidth="1"/>
    <col min="2572" max="2572" width="5.44140625" style="1" customWidth="1"/>
    <col min="2573" max="2574" width="5.5546875" style="1" customWidth="1"/>
    <col min="2575" max="2575" width="6" style="1" customWidth="1"/>
    <col min="2576" max="2576" width="4.88671875" style="1" customWidth="1"/>
    <col min="2577" max="2577" width="5" style="1" customWidth="1"/>
    <col min="2578" max="2578" width="6.6640625" style="1" customWidth="1"/>
    <col min="2579" max="2579" width="7.5546875" style="1" customWidth="1"/>
    <col min="2580" max="2580" width="5.88671875" style="1" customWidth="1"/>
    <col min="2581" max="2581" width="7" style="1" customWidth="1"/>
    <col min="2582" max="2582" width="9.109375" style="1"/>
    <col min="2583" max="2583" width="9.5546875" style="1" customWidth="1"/>
    <col min="2584" max="2584" width="9.109375" style="1"/>
    <col min="2585" max="2585" width="10.33203125" style="1" bestFit="1" customWidth="1"/>
    <col min="2586" max="2816" width="9.109375" style="1"/>
    <col min="2817" max="2817" width="3.88671875" style="1" customWidth="1"/>
    <col min="2818" max="2818" width="13.109375" style="1" customWidth="1"/>
    <col min="2819" max="2819" width="7" style="1" customWidth="1"/>
    <col min="2820" max="2820" width="6.33203125" style="1" customWidth="1"/>
    <col min="2821" max="2821" width="7.33203125" style="1" customWidth="1"/>
    <col min="2822" max="2822" width="6.5546875" style="1" customWidth="1"/>
    <col min="2823" max="2823" width="9.109375" style="1"/>
    <col min="2824" max="2824" width="4.44140625" style="1" customWidth="1"/>
    <col min="2825" max="2825" width="5.33203125" style="1" customWidth="1"/>
    <col min="2826" max="2826" width="5.44140625" style="1" customWidth="1"/>
    <col min="2827" max="2827" width="6.109375" style="1" customWidth="1"/>
    <col min="2828" max="2828" width="5.44140625" style="1" customWidth="1"/>
    <col min="2829" max="2830" width="5.5546875" style="1" customWidth="1"/>
    <col min="2831" max="2831" width="6" style="1" customWidth="1"/>
    <col min="2832" max="2832" width="4.88671875" style="1" customWidth="1"/>
    <col min="2833" max="2833" width="5" style="1" customWidth="1"/>
    <col min="2834" max="2834" width="6.6640625" style="1" customWidth="1"/>
    <col min="2835" max="2835" width="7.5546875" style="1" customWidth="1"/>
    <col min="2836" max="2836" width="5.88671875" style="1" customWidth="1"/>
    <col min="2837" max="2837" width="7" style="1" customWidth="1"/>
    <col min="2838" max="2838" width="9.109375" style="1"/>
    <col min="2839" max="2839" width="9.5546875" style="1" customWidth="1"/>
    <col min="2840" max="2840" width="9.109375" style="1"/>
    <col min="2841" max="2841" width="10.33203125" style="1" bestFit="1" customWidth="1"/>
    <col min="2842" max="3072" width="9.109375" style="1"/>
    <col min="3073" max="3073" width="3.88671875" style="1" customWidth="1"/>
    <col min="3074" max="3074" width="13.109375" style="1" customWidth="1"/>
    <col min="3075" max="3075" width="7" style="1" customWidth="1"/>
    <col min="3076" max="3076" width="6.33203125" style="1" customWidth="1"/>
    <col min="3077" max="3077" width="7.33203125" style="1" customWidth="1"/>
    <col min="3078" max="3078" width="6.5546875" style="1" customWidth="1"/>
    <col min="3079" max="3079" width="9.109375" style="1"/>
    <col min="3080" max="3080" width="4.44140625" style="1" customWidth="1"/>
    <col min="3081" max="3081" width="5.33203125" style="1" customWidth="1"/>
    <col min="3082" max="3082" width="5.44140625" style="1" customWidth="1"/>
    <col min="3083" max="3083" width="6.109375" style="1" customWidth="1"/>
    <col min="3084" max="3084" width="5.44140625" style="1" customWidth="1"/>
    <col min="3085" max="3086" width="5.5546875" style="1" customWidth="1"/>
    <col min="3087" max="3087" width="6" style="1" customWidth="1"/>
    <col min="3088" max="3088" width="4.88671875" style="1" customWidth="1"/>
    <col min="3089" max="3089" width="5" style="1" customWidth="1"/>
    <col min="3090" max="3090" width="6.6640625" style="1" customWidth="1"/>
    <col min="3091" max="3091" width="7.5546875" style="1" customWidth="1"/>
    <col min="3092" max="3092" width="5.88671875" style="1" customWidth="1"/>
    <col min="3093" max="3093" width="7" style="1" customWidth="1"/>
    <col min="3094" max="3094" width="9.109375" style="1"/>
    <col min="3095" max="3095" width="9.5546875" style="1" customWidth="1"/>
    <col min="3096" max="3096" width="9.109375" style="1"/>
    <col min="3097" max="3097" width="10.33203125" style="1" bestFit="1" customWidth="1"/>
    <col min="3098" max="3328" width="9.109375" style="1"/>
    <col min="3329" max="3329" width="3.88671875" style="1" customWidth="1"/>
    <col min="3330" max="3330" width="13.109375" style="1" customWidth="1"/>
    <col min="3331" max="3331" width="7" style="1" customWidth="1"/>
    <col min="3332" max="3332" width="6.33203125" style="1" customWidth="1"/>
    <col min="3333" max="3333" width="7.33203125" style="1" customWidth="1"/>
    <col min="3334" max="3334" width="6.5546875" style="1" customWidth="1"/>
    <col min="3335" max="3335" width="9.109375" style="1"/>
    <col min="3336" max="3336" width="4.44140625" style="1" customWidth="1"/>
    <col min="3337" max="3337" width="5.33203125" style="1" customWidth="1"/>
    <col min="3338" max="3338" width="5.44140625" style="1" customWidth="1"/>
    <col min="3339" max="3339" width="6.109375" style="1" customWidth="1"/>
    <col min="3340" max="3340" width="5.44140625" style="1" customWidth="1"/>
    <col min="3341" max="3342" width="5.5546875" style="1" customWidth="1"/>
    <col min="3343" max="3343" width="6" style="1" customWidth="1"/>
    <col min="3344" max="3344" width="4.88671875" style="1" customWidth="1"/>
    <col min="3345" max="3345" width="5" style="1" customWidth="1"/>
    <col min="3346" max="3346" width="6.6640625" style="1" customWidth="1"/>
    <col min="3347" max="3347" width="7.5546875" style="1" customWidth="1"/>
    <col min="3348" max="3348" width="5.88671875" style="1" customWidth="1"/>
    <col min="3349" max="3349" width="7" style="1" customWidth="1"/>
    <col min="3350" max="3350" width="9.109375" style="1"/>
    <col min="3351" max="3351" width="9.5546875" style="1" customWidth="1"/>
    <col min="3352" max="3352" width="9.109375" style="1"/>
    <col min="3353" max="3353" width="10.33203125" style="1" bestFit="1" customWidth="1"/>
    <col min="3354" max="3584" width="9.109375" style="1"/>
    <col min="3585" max="3585" width="3.88671875" style="1" customWidth="1"/>
    <col min="3586" max="3586" width="13.109375" style="1" customWidth="1"/>
    <col min="3587" max="3587" width="7" style="1" customWidth="1"/>
    <col min="3588" max="3588" width="6.33203125" style="1" customWidth="1"/>
    <col min="3589" max="3589" width="7.33203125" style="1" customWidth="1"/>
    <col min="3590" max="3590" width="6.5546875" style="1" customWidth="1"/>
    <col min="3591" max="3591" width="9.109375" style="1"/>
    <col min="3592" max="3592" width="4.44140625" style="1" customWidth="1"/>
    <col min="3593" max="3593" width="5.33203125" style="1" customWidth="1"/>
    <col min="3594" max="3594" width="5.44140625" style="1" customWidth="1"/>
    <col min="3595" max="3595" width="6.109375" style="1" customWidth="1"/>
    <col min="3596" max="3596" width="5.44140625" style="1" customWidth="1"/>
    <col min="3597" max="3598" width="5.5546875" style="1" customWidth="1"/>
    <col min="3599" max="3599" width="6" style="1" customWidth="1"/>
    <col min="3600" max="3600" width="4.88671875" style="1" customWidth="1"/>
    <col min="3601" max="3601" width="5" style="1" customWidth="1"/>
    <col min="3602" max="3602" width="6.6640625" style="1" customWidth="1"/>
    <col min="3603" max="3603" width="7.5546875" style="1" customWidth="1"/>
    <col min="3604" max="3604" width="5.88671875" style="1" customWidth="1"/>
    <col min="3605" max="3605" width="7" style="1" customWidth="1"/>
    <col min="3606" max="3606" width="9.109375" style="1"/>
    <col min="3607" max="3607" width="9.5546875" style="1" customWidth="1"/>
    <col min="3608" max="3608" width="9.109375" style="1"/>
    <col min="3609" max="3609" width="10.33203125" style="1" bestFit="1" customWidth="1"/>
    <col min="3610" max="3840" width="9.109375" style="1"/>
    <col min="3841" max="3841" width="3.88671875" style="1" customWidth="1"/>
    <col min="3842" max="3842" width="13.109375" style="1" customWidth="1"/>
    <col min="3843" max="3843" width="7" style="1" customWidth="1"/>
    <col min="3844" max="3844" width="6.33203125" style="1" customWidth="1"/>
    <col min="3845" max="3845" width="7.33203125" style="1" customWidth="1"/>
    <col min="3846" max="3846" width="6.5546875" style="1" customWidth="1"/>
    <col min="3847" max="3847" width="9.109375" style="1"/>
    <col min="3848" max="3848" width="4.44140625" style="1" customWidth="1"/>
    <col min="3849" max="3849" width="5.33203125" style="1" customWidth="1"/>
    <col min="3850" max="3850" width="5.44140625" style="1" customWidth="1"/>
    <col min="3851" max="3851" width="6.109375" style="1" customWidth="1"/>
    <col min="3852" max="3852" width="5.44140625" style="1" customWidth="1"/>
    <col min="3853" max="3854" width="5.5546875" style="1" customWidth="1"/>
    <col min="3855" max="3855" width="6" style="1" customWidth="1"/>
    <col min="3856" max="3856" width="4.88671875" style="1" customWidth="1"/>
    <col min="3857" max="3857" width="5" style="1" customWidth="1"/>
    <col min="3858" max="3858" width="6.6640625" style="1" customWidth="1"/>
    <col min="3859" max="3859" width="7.5546875" style="1" customWidth="1"/>
    <col min="3860" max="3860" width="5.88671875" style="1" customWidth="1"/>
    <col min="3861" max="3861" width="7" style="1" customWidth="1"/>
    <col min="3862" max="3862" width="9.109375" style="1"/>
    <col min="3863" max="3863" width="9.5546875" style="1" customWidth="1"/>
    <col min="3864" max="3864" width="9.109375" style="1"/>
    <col min="3865" max="3865" width="10.33203125" style="1" bestFit="1" customWidth="1"/>
    <col min="3866" max="4096" width="9.109375" style="1"/>
    <col min="4097" max="4097" width="3.88671875" style="1" customWidth="1"/>
    <col min="4098" max="4098" width="13.109375" style="1" customWidth="1"/>
    <col min="4099" max="4099" width="7" style="1" customWidth="1"/>
    <col min="4100" max="4100" width="6.33203125" style="1" customWidth="1"/>
    <col min="4101" max="4101" width="7.33203125" style="1" customWidth="1"/>
    <col min="4102" max="4102" width="6.5546875" style="1" customWidth="1"/>
    <col min="4103" max="4103" width="9.109375" style="1"/>
    <col min="4104" max="4104" width="4.44140625" style="1" customWidth="1"/>
    <col min="4105" max="4105" width="5.33203125" style="1" customWidth="1"/>
    <col min="4106" max="4106" width="5.44140625" style="1" customWidth="1"/>
    <col min="4107" max="4107" width="6.109375" style="1" customWidth="1"/>
    <col min="4108" max="4108" width="5.44140625" style="1" customWidth="1"/>
    <col min="4109" max="4110" width="5.5546875" style="1" customWidth="1"/>
    <col min="4111" max="4111" width="6" style="1" customWidth="1"/>
    <col min="4112" max="4112" width="4.88671875" style="1" customWidth="1"/>
    <col min="4113" max="4113" width="5" style="1" customWidth="1"/>
    <col min="4114" max="4114" width="6.6640625" style="1" customWidth="1"/>
    <col min="4115" max="4115" width="7.5546875" style="1" customWidth="1"/>
    <col min="4116" max="4116" width="5.88671875" style="1" customWidth="1"/>
    <col min="4117" max="4117" width="7" style="1" customWidth="1"/>
    <col min="4118" max="4118" width="9.109375" style="1"/>
    <col min="4119" max="4119" width="9.5546875" style="1" customWidth="1"/>
    <col min="4120" max="4120" width="9.109375" style="1"/>
    <col min="4121" max="4121" width="10.33203125" style="1" bestFit="1" customWidth="1"/>
    <col min="4122" max="4352" width="9.109375" style="1"/>
    <col min="4353" max="4353" width="3.88671875" style="1" customWidth="1"/>
    <col min="4354" max="4354" width="13.109375" style="1" customWidth="1"/>
    <col min="4355" max="4355" width="7" style="1" customWidth="1"/>
    <col min="4356" max="4356" width="6.33203125" style="1" customWidth="1"/>
    <col min="4357" max="4357" width="7.33203125" style="1" customWidth="1"/>
    <col min="4358" max="4358" width="6.5546875" style="1" customWidth="1"/>
    <col min="4359" max="4359" width="9.109375" style="1"/>
    <col min="4360" max="4360" width="4.44140625" style="1" customWidth="1"/>
    <col min="4361" max="4361" width="5.33203125" style="1" customWidth="1"/>
    <col min="4362" max="4362" width="5.44140625" style="1" customWidth="1"/>
    <col min="4363" max="4363" width="6.109375" style="1" customWidth="1"/>
    <col min="4364" max="4364" width="5.44140625" style="1" customWidth="1"/>
    <col min="4365" max="4366" width="5.5546875" style="1" customWidth="1"/>
    <col min="4367" max="4367" width="6" style="1" customWidth="1"/>
    <col min="4368" max="4368" width="4.88671875" style="1" customWidth="1"/>
    <col min="4369" max="4369" width="5" style="1" customWidth="1"/>
    <col min="4370" max="4370" width="6.6640625" style="1" customWidth="1"/>
    <col min="4371" max="4371" width="7.5546875" style="1" customWidth="1"/>
    <col min="4372" max="4372" width="5.88671875" style="1" customWidth="1"/>
    <col min="4373" max="4373" width="7" style="1" customWidth="1"/>
    <col min="4374" max="4374" width="9.109375" style="1"/>
    <col min="4375" max="4375" width="9.5546875" style="1" customWidth="1"/>
    <col min="4376" max="4376" width="9.109375" style="1"/>
    <col min="4377" max="4377" width="10.33203125" style="1" bestFit="1" customWidth="1"/>
    <col min="4378" max="4608" width="9.109375" style="1"/>
    <col min="4609" max="4609" width="3.88671875" style="1" customWidth="1"/>
    <col min="4610" max="4610" width="13.109375" style="1" customWidth="1"/>
    <col min="4611" max="4611" width="7" style="1" customWidth="1"/>
    <col min="4612" max="4612" width="6.33203125" style="1" customWidth="1"/>
    <col min="4613" max="4613" width="7.33203125" style="1" customWidth="1"/>
    <col min="4614" max="4614" width="6.5546875" style="1" customWidth="1"/>
    <col min="4615" max="4615" width="9.109375" style="1"/>
    <col min="4616" max="4616" width="4.44140625" style="1" customWidth="1"/>
    <col min="4617" max="4617" width="5.33203125" style="1" customWidth="1"/>
    <col min="4618" max="4618" width="5.44140625" style="1" customWidth="1"/>
    <col min="4619" max="4619" width="6.109375" style="1" customWidth="1"/>
    <col min="4620" max="4620" width="5.44140625" style="1" customWidth="1"/>
    <col min="4621" max="4622" width="5.5546875" style="1" customWidth="1"/>
    <col min="4623" max="4623" width="6" style="1" customWidth="1"/>
    <col min="4624" max="4624" width="4.88671875" style="1" customWidth="1"/>
    <col min="4625" max="4625" width="5" style="1" customWidth="1"/>
    <col min="4626" max="4626" width="6.6640625" style="1" customWidth="1"/>
    <col min="4627" max="4627" width="7.5546875" style="1" customWidth="1"/>
    <col min="4628" max="4628" width="5.88671875" style="1" customWidth="1"/>
    <col min="4629" max="4629" width="7" style="1" customWidth="1"/>
    <col min="4630" max="4630" width="9.109375" style="1"/>
    <col min="4631" max="4631" width="9.5546875" style="1" customWidth="1"/>
    <col min="4632" max="4632" width="9.109375" style="1"/>
    <col min="4633" max="4633" width="10.33203125" style="1" bestFit="1" customWidth="1"/>
    <col min="4634" max="4864" width="9.109375" style="1"/>
    <col min="4865" max="4865" width="3.88671875" style="1" customWidth="1"/>
    <col min="4866" max="4866" width="13.109375" style="1" customWidth="1"/>
    <col min="4867" max="4867" width="7" style="1" customWidth="1"/>
    <col min="4868" max="4868" width="6.33203125" style="1" customWidth="1"/>
    <col min="4869" max="4869" width="7.33203125" style="1" customWidth="1"/>
    <col min="4870" max="4870" width="6.5546875" style="1" customWidth="1"/>
    <col min="4871" max="4871" width="9.109375" style="1"/>
    <col min="4872" max="4872" width="4.44140625" style="1" customWidth="1"/>
    <col min="4873" max="4873" width="5.33203125" style="1" customWidth="1"/>
    <col min="4874" max="4874" width="5.44140625" style="1" customWidth="1"/>
    <col min="4875" max="4875" width="6.109375" style="1" customWidth="1"/>
    <col min="4876" max="4876" width="5.44140625" style="1" customWidth="1"/>
    <col min="4877" max="4878" width="5.5546875" style="1" customWidth="1"/>
    <col min="4879" max="4879" width="6" style="1" customWidth="1"/>
    <col min="4880" max="4880" width="4.88671875" style="1" customWidth="1"/>
    <col min="4881" max="4881" width="5" style="1" customWidth="1"/>
    <col min="4882" max="4882" width="6.6640625" style="1" customWidth="1"/>
    <col min="4883" max="4883" width="7.5546875" style="1" customWidth="1"/>
    <col min="4884" max="4884" width="5.88671875" style="1" customWidth="1"/>
    <col min="4885" max="4885" width="7" style="1" customWidth="1"/>
    <col min="4886" max="4886" width="9.109375" style="1"/>
    <col min="4887" max="4887" width="9.5546875" style="1" customWidth="1"/>
    <col min="4888" max="4888" width="9.109375" style="1"/>
    <col min="4889" max="4889" width="10.33203125" style="1" bestFit="1" customWidth="1"/>
    <col min="4890" max="5120" width="9.109375" style="1"/>
    <col min="5121" max="5121" width="3.88671875" style="1" customWidth="1"/>
    <col min="5122" max="5122" width="13.109375" style="1" customWidth="1"/>
    <col min="5123" max="5123" width="7" style="1" customWidth="1"/>
    <col min="5124" max="5124" width="6.33203125" style="1" customWidth="1"/>
    <col min="5125" max="5125" width="7.33203125" style="1" customWidth="1"/>
    <col min="5126" max="5126" width="6.5546875" style="1" customWidth="1"/>
    <col min="5127" max="5127" width="9.109375" style="1"/>
    <col min="5128" max="5128" width="4.44140625" style="1" customWidth="1"/>
    <col min="5129" max="5129" width="5.33203125" style="1" customWidth="1"/>
    <col min="5130" max="5130" width="5.44140625" style="1" customWidth="1"/>
    <col min="5131" max="5131" width="6.109375" style="1" customWidth="1"/>
    <col min="5132" max="5132" width="5.44140625" style="1" customWidth="1"/>
    <col min="5133" max="5134" width="5.5546875" style="1" customWidth="1"/>
    <col min="5135" max="5135" width="6" style="1" customWidth="1"/>
    <col min="5136" max="5136" width="4.88671875" style="1" customWidth="1"/>
    <col min="5137" max="5137" width="5" style="1" customWidth="1"/>
    <col min="5138" max="5138" width="6.6640625" style="1" customWidth="1"/>
    <col min="5139" max="5139" width="7.5546875" style="1" customWidth="1"/>
    <col min="5140" max="5140" width="5.88671875" style="1" customWidth="1"/>
    <col min="5141" max="5141" width="7" style="1" customWidth="1"/>
    <col min="5142" max="5142" width="9.109375" style="1"/>
    <col min="5143" max="5143" width="9.5546875" style="1" customWidth="1"/>
    <col min="5144" max="5144" width="9.109375" style="1"/>
    <col min="5145" max="5145" width="10.33203125" style="1" bestFit="1" customWidth="1"/>
    <col min="5146" max="5376" width="9.109375" style="1"/>
    <col min="5377" max="5377" width="3.88671875" style="1" customWidth="1"/>
    <col min="5378" max="5378" width="13.109375" style="1" customWidth="1"/>
    <col min="5379" max="5379" width="7" style="1" customWidth="1"/>
    <col min="5380" max="5380" width="6.33203125" style="1" customWidth="1"/>
    <col min="5381" max="5381" width="7.33203125" style="1" customWidth="1"/>
    <col min="5382" max="5382" width="6.5546875" style="1" customWidth="1"/>
    <col min="5383" max="5383" width="9.109375" style="1"/>
    <col min="5384" max="5384" width="4.44140625" style="1" customWidth="1"/>
    <col min="5385" max="5385" width="5.33203125" style="1" customWidth="1"/>
    <col min="5386" max="5386" width="5.44140625" style="1" customWidth="1"/>
    <col min="5387" max="5387" width="6.109375" style="1" customWidth="1"/>
    <col min="5388" max="5388" width="5.44140625" style="1" customWidth="1"/>
    <col min="5389" max="5390" width="5.5546875" style="1" customWidth="1"/>
    <col min="5391" max="5391" width="6" style="1" customWidth="1"/>
    <col min="5392" max="5392" width="4.88671875" style="1" customWidth="1"/>
    <col min="5393" max="5393" width="5" style="1" customWidth="1"/>
    <col min="5394" max="5394" width="6.6640625" style="1" customWidth="1"/>
    <col min="5395" max="5395" width="7.5546875" style="1" customWidth="1"/>
    <col min="5396" max="5396" width="5.88671875" style="1" customWidth="1"/>
    <col min="5397" max="5397" width="7" style="1" customWidth="1"/>
    <col min="5398" max="5398" width="9.109375" style="1"/>
    <col min="5399" max="5399" width="9.5546875" style="1" customWidth="1"/>
    <col min="5400" max="5400" width="9.109375" style="1"/>
    <col min="5401" max="5401" width="10.33203125" style="1" bestFit="1" customWidth="1"/>
    <col min="5402" max="5632" width="9.109375" style="1"/>
    <col min="5633" max="5633" width="3.88671875" style="1" customWidth="1"/>
    <col min="5634" max="5634" width="13.109375" style="1" customWidth="1"/>
    <col min="5635" max="5635" width="7" style="1" customWidth="1"/>
    <col min="5636" max="5636" width="6.33203125" style="1" customWidth="1"/>
    <col min="5637" max="5637" width="7.33203125" style="1" customWidth="1"/>
    <col min="5638" max="5638" width="6.5546875" style="1" customWidth="1"/>
    <col min="5639" max="5639" width="9.109375" style="1"/>
    <col min="5640" max="5640" width="4.44140625" style="1" customWidth="1"/>
    <col min="5641" max="5641" width="5.33203125" style="1" customWidth="1"/>
    <col min="5642" max="5642" width="5.44140625" style="1" customWidth="1"/>
    <col min="5643" max="5643" width="6.109375" style="1" customWidth="1"/>
    <col min="5644" max="5644" width="5.44140625" style="1" customWidth="1"/>
    <col min="5645" max="5646" width="5.5546875" style="1" customWidth="1"/>
    <col min="5647" max="5647" width="6" style="1" customWidth="1"/>
    <col min="5648" max="5648" width="4.88671875" style="1" customWidth="1"/>
    <col min="5649" max="5649" width="5" style="1" customWidth="1"/>
    <col min="5650" max="5650" width="6.6640625" style="1" customWidth="1"/>
    <col min="5651" max="5651" width="7.5546875" style="1" customWidth="1"/>
    <col min="5652" max="5652" width="5.88671875" style="1" customWidth="1"/>
    <col min="5653" max="5653" width="7" style="1" customWidth="1"/>
    <col min="5654" max="5654" width="9.109375" style="1"/>
    <col min="5655" max="5655" width="9.5546875" style="1" customWidth="1"/>
    <col min="5656" max="5656" width="9.109375" style="1"/>
    <col min="5657" max="5657" width="10.33203125" style="1" bestFit="1" customWidth="1"/>
    <col min="5658" max="5888" width="9.109375" style="1"/>
    <col min="5889" max="5889" width="3.88671875" style="1" customWidth="1"/>
    <col min="5890" max="5890" width="13.109375" style="1" customWidth="1"/>
    <col min="5891" max="5891" width="7" style="1" customWidth="1"/>
    <col min="5892" max="5892" width="6.33203125" style="1" customWidth="1"/>
    <col min="5893" max="5893" width="7.33203125" style="1" customWidth="1"/>
    <col min="5894" max="5894" width="6.5546875" style="1" customWidth="1"/>
    <col min="5895" max="5895" width="9.109375" style="1"/>
    <col min="5896" max="5896" width="4.44140625" style="1" customWidth="1"/>
    <col min="5897" max="5897" width="5.33203125" style="1" customWidth="1"/>
    <col min="5898" max="5898" width="5.44140625" style="1" customWidth="1"/>
    <col min="5899" max="5899" width="6.109375" style="1" customWidth="1"/>
    <col min="5900" max="5900" width="5.44140625" style="1" customWidth="1"/>
    <col min="5901" max="5902" width="5.5546875" style="1" customWidth="1"/>
    <col min="5903" max="5903" width="6" style="1" customWidth="1"/>
    <col min="5904" max="5904" width="4.88671875" style="1" customWidth="1"/>
    <col min="5905" max="5905" width="5" style="1" customWidth="1"/>
    <col min="5906" max="5906" width="6.6640625" style="1" customWidth="1"/>
    <col min="5907" max="5907" width="7.5546875" style="1" customWidth="1"/>
    <col min="5908" max="5908" width="5.88671875" style="1" customWidth="1"/>
    <col min="5909" max="5909" width="7" style="1" customWidth="1"/>
    <col min="5910" max="5910" width="9.109375" style="1"/>
    <col min="5911" max="5911" width="9.5546875" style="1" customWidth="1"/>
    <col min="5912" max="5912" width="9.109375" style="1"/>
    <col min="5913" max="5913" width="10.33203125" style="1" bestFit="1" customWidth="1"/>
    <col min="5914" max="6144" width="9.109375" style="1"/>
    <col min="6145" max="6145" width="3.88671875" style="1" customWidth="1"/>
    <col min="6146" max="6146" width="13.109375" style="1" customWidth="1"/>
    <col min="6147" max="6147" width="7" style="1" customWidth="1"/>
    <col min="6148" max="6148" width="6.33203125" style="1" customWidth="1"/>
    <col min="6149" max="6149" width="7.33203125" style="1" customWidth="1"/>
    <col min="6150" max="6150" width="6.5546875" style="1" customWidth="1"/>
    <col min="6151" max="6151" width="9.109375" style="1"/>
    <col min="6152" max="6152" width="4.44140625" style="1" customWidth="1"/>
    <col min="6153" max="6153" width="5.33203125" style="1" customWidth="1"/>
    <col min="6154" max="6154" width="5.44140625" style="1" customWidth="1"/>
    <col min="6155" max="6155" width="6.109375" style="1" customWidth="1"/>
    <col min="6156" max="6156" width="5.44140625" style="1" customWidth="1"/>
    <col min="6157" max="6158" width="5.5546875" style="1" customWidth="1"/>
    <col min="6159" max="6159" width="6" style="1" customWidth="1"/>
    <col min="6160" max="6160" width="4.88671875" style="1" customWidth="1"/>
    <col min="6161" max="6161" width="5" style="1" customWidth="1"/>
    <col min="6162" max="6162" width="6.6640625" style="1" customWidth="1"/>
    <col min="6163" max="6163" width="7.5546875" style="1" customWidth="1"/>
    <col min="6164" max="6164" width="5.88671875" style="1" customWidth="1"/>
    <col min="6165" max="6165" width="7" style="1" customWidth="1"/>
    <col min="6166" max="6166" width="9.109375" style="1"/>
    <col min="6167" max="6167" width="9.5546875" style="1" customWidth="1"/>
    <col min="6168" max="6168" width="9.109375" style="1"/>
    <col min="6169" max="6169" width="10.33203125" style="1" bestFit="1" customWidth="1"/>
    <col min="6170" max="6400" width="9.109375" style="1"/>
    <col min="6401" max="6401" width="3.88671875" style="1" customWidth="1"/>
    <col min="6402" max="6402" width="13.109375" style="1" customWidth="1"/>
    <col min="6403" max="6403" width="7" style="1" customWidth="1"/>
    <col min="6404" max="6404" width="6.33203125" style="1" customWidth="1"/>
    <col min="6405" max="6405" width="7.33203125" style="1" customWidth="1"/>
    <col min="6406" max="6406" width="6.5546875" style="1" customWidth="1"/>
    <col min="6407" max="6407" width="9.109375" style="1"/>
    <col min="6408" max="6408" width="4.44140625" style="1" customWidth="1"/>
    <col min="6409" max="6409" width="5.33203125" style="1" customWidth="1"/>
    <col min="6410" max="6410" width="5.44140625" style="1" customWidth="1"/>
    <col min="6411" max="6411" width="6.109375" style="1" customWidth="1"/>
    <col min="6412" max="6412" width="5.44140625" style="1" customWidth="1"/>
    <col min="6413" max="6414" width="5.5546875" style="1" customWidth="1"/>
    <col min="6415" max="6415" width="6" style="1" customWidth="1"/>
    <col min="6416" max="6416" width="4.88671875" style="1" customWidth="1"/>
    <col min="6417" max="6417" width="5" style="1" customWidth="1"/>
    <col min="6418" max="6418" width="6.6640625" style="1" customWidth="1"/>
    <col min="6419" max="6419" width="7.5546875" style="1" customWidth="1"/>
    <col min="6420" max="6420" width="5.88671875" style="1" customWidth="1"/>
    <col min="6421" max="6421" width="7" style="1" customWidth="1"/>
    <col min="6422" max="6422" width="9.109375" style="1"/>
    <col min="6423" max="6423" width="9.5546875" style="1" customWidth="1"/>
    <col min="6424" max="6424" width="9.109375" style="1"/>
    <col min="6425" max="6425" width="10.33203125" style="1" bestFit="1" customWidth="1"/>
    <col min="6426" max="6656" width="9.109375" style="1"/>
    <col min="6657" max="6657" width="3.88671875" style="1" customWidth="1"/>
    <col min="6658" max="6658" width="13.109375" style="1" customWidth="1"/>
    <col min="6659" max="6659" width="7" style="1" customWidth="1"/>
    <col min="6660" max="6660" width="6.33203125" style="1" customWidth="1"/>
    <col min="6661" max="6661" width="7.33203125" style="1" customWidth="1"/>
    <col min="6662" max="6662" width="6.5546875" style="1" customWidth="1"/>
    <col min="6663" max="6663" width="9.109375" style="1"/>
    <col min="6664" max="6664" width="4.44140625" style="1" customWidth="1"/>
    <col min="6665" max="6665" width="5.33203125" style="1" customWidth="1"/>
    <col min="6666" max="6666" width="5.44140625" style="1" customWidth="1"/>
    <col min="6667" max="6667" width="6.109375" style="1" customWidth="1"/>
    <col min="6668" max="6668" width="5.44140625" style="1" customWidth="1"/>
    <col min="6669" max="6670" width="5.5546875" style="1" customWidth="1"/>
    <col min="6671" max="6671" width="6" style="1" customWidth="1"/>
    <col min="6672" max="6672" width="4.88671875" style="1" customWidth="1"/>
    <col min="6673" max="6673" width="5" style="1" customWidth="1"/>
    <col min="6674" max="6674" width="6.6640625" style="1" customWidth="1"/>
    <col min="6675" max="6675" width="7.5546875" style="1" customWidth="1"/>
    <col min="6676" max="6676" width="5.88671875" style="1" customWidth="1"/>
    <col min="6677" max="6677" width="7" style="1" customWidth="1"/>
    <col min="6678" max="6678" width="9.109375" style="1"/>
    <col min="6679" max="6679" width="9.5546875" style="1" customWidth="1"/>
    <col min="6680" max="6680" width="9.109375" style="1"/>
    <col min="6681" max="6681" width="10.33203125" style="1" bestFit="1" customWidth="1"/>
    <col min="6682" max="6912" width="9.109375" style="1"/>
    <col min="6913" max="6913" width="3.88671875" style="1" customWidth="1"/>
    <col min="6914" max="6914" width="13.109375" style="1" customWidth="1"/>
    <col min="6915" max="6915" width="7" style="1" customWidth="1"/>
    <col min="6916" max="6916" width="6.33203125" style="1" customWidth="1"/>
    <col min="6917" max="6917" width="7.33203125" style="1" customWidth="1"/>
    <col min="6918" max="6918" width="6.5546875" style="1" customWidth="1"/>
    <col min="6919" max="6919" width="9.109375" style="1"/>
    <col min="6920" max="6920" width="4.44140625" style="1" customWidth="1"/>
    <col min="6921" max="6921" width="5.33203125" style="1" customWidth="1"/>
    <col min="6922" max="6922" width="5.44140625" style="1" customWidth="1"/>
    <col min="6923" max="6923" width="6.109375" style="1" customWidth="1"/>
    <col min="6924" max="6924" width="5.44140625" style="1" customWidth="1"/>
    <col min="6925" max="6926" width="5.5546875" style="1" customWidth="1"/>
    <col min="6927" max="6927" width="6" style="1" customWidth="1"/>
    <col min="6928" max="6928" width="4.88671875" style="1" customWidth="1"/>
    <col min="6929" max="6929" width="5" style="1" customWidth="1"/>
    <col min="6930" max="6930" width="6.6640625" style="1" customWidth="1"/>
    <col min="6931" max="6931" width="7.5546875" style="1" customWidth="1"/>
    <col min="6932" max="6932" width="5.88671875" style="1" customWidth="1"/>
    <col min="6933" max="6933" width="7" style="1" customWidth="1"/>
    <col min="6934" max="6934" width="9.109375" style="1"/>
    <col min="6935" max="6935" width="9.5546875" style="1" customWidth="1"/>
    <col min="6936" max="6936" width="9.109375" style="1"/>
    <col min="6937" max="6937" width="10.33203125" style="1" bestFit="1" customWidth="1"/>
    <col min="6938" max="7168" width="9.109375" style="1"/>
    <col min="7169" max="7169" width="3.88671875" style="1" customWidth="1"/>
    <col min="7170" max="7170" width="13.109375" style="1" customWidth="1"/>
    <col min="7171" max="7171" width="7" style="1" customWidth="1"/>
    <col min="7172" max="7172" width="6.33203125" style="1" customWidth="1"/>
    <col min="7173" max="7173" width="7.33203125" style="1" customWidth="1"/>
    <col min="7174" max="7174" width="6.5546875" style="1" customWidth="1"/>
    <col min="7175" max="7175" width="9.109375" style="1"/>
    <col min="7176" max="7176" width="4.44140625" style="1" customWidth="1"/>
    <col min="7177" max="7177" width="5.33203125" style="1" customWidth="1"/>
    <col min="7178" max="7178" width="5.44140625" style="1" customWidth="1"/>
    <col min="7179" max="7179" width="6.109375" style="1" customWidth="1"/>
    <col min="7180" max="7180" width="5.44140625" style="1" customWidth="1"/>
    <col min="7181" max="7182" width="5.5546875" style="1" customWidth="1"/>
    <col min="7183" max="7183" width="6" style="1" customWidth="1"/>
    <col min="7184" max="7184" width="4.88671875" style="1" customWidth="1"/>
    <col min="7185" max="7185" width="5" style="1" customWidth="1"/>
    <col min="7186" max="7186" width="6.6640625" style="1" customWidth="1"/>
    <col min="7187" max="7187" width="7.5546875" style="1" customWidth="1"/>
    <col min="7188" max="7188" width="5.88671875" style="1" customWidth="1"/>
    <col min="7189" max="7189" width="7" style="1" customWidth="1"/>
    <col min="7190" max="7190" width="9.109375" style="1"/>
    <col min="7191" max="7191" width="9.5546875" style="1" customWidth="1"/>
    <col min="7192" max="7192" width="9.109375" style="1"/>
    <col min="7193" max="7193" width="10.33203125" style="1" bestFit="1" customWidth="1"/>
    <col min="7194" max="7424" width="9.109375" style="1"/>
    <col min="7425" max="7425" width="3.88671875" style="1" customWidth="1"/>
    <col min="7426" max="7426" width="13.109375" style="1" customWidth="1"/>
    <col min="7427" max="7427" width="7" style="1" customWidth="1"/>
    <col min="7428" max="7428" width="6.33203125" style="1" customWidth="1"/>
    <col min="7429" max="7429" width="7.33203125" style="1" customWidth="1"/>
    <col min="7430" max="7430" width="6.5546875" style="1" customWidth="1"/>
    <col min="7431" max="7431" width="9.109375" style="1"/>
    <col min="7432" max="7432" width="4.44140625" style="1" customWidth="1"/>
    <col min="7433" max="7433" width="5.33203125" style="1" customWidth="1"/>
    <col min="7434" max="7434" width="5.44140625" style="1" customWidth="1"/>
    <col min="7435" max="7435" width="6.109375" style="1" customWidth="1"/>
    <col min="7436" max="7436" width="5.44140625" style="1" customWidth="1"/>
    <col min="7437" max="7438" width="5.5546875" style="1" customWidth="1"/>
    <col min="7439" max="7439" width="6" style="1" customWidth="1"/>
    <col min="7440" max="7440" width="4.88671875" style="1" customWidth="1"/>
    <col min="7441" max="7441" width="5" style="1" customWidth="1"/>
    <col min="7442" max="7442" width="6.6640625" style="1" customWidth="1"/>
    <col min="7443" max="7443" width="7.5546875" style="1" customWidth="1"/>
    <col min="7444" max="7444" width="5.88671875" style="1" customWidth="1"/>
    <col min="7445" max="7445" width="7" style="1" customWidth="1"/>
    <col min="7446" max="7446" width="9.109375" style="1"/>
    <col min="7447" max="7447" width="9.5546875" style="1" customWidth="1"/>
    <col min="7448" max="7448" width="9.109375" style="1"/>
    <col min="7449" max="7449" width="10.33203125" style="1" bestFit="1" customWidth="1"/>
    <col min="7450" max="7680" width="9.109375" style="1"/>
    <col min="7681" max="7681" width="3.88671875" style="1" customWidth="1"/>
    <col min="7682" max="7682" width="13.109375" style="1" customWidth="1"/>
    <col min="7683" max="7683" width="7" style="1" customWidth="1"/>
    <col min="7684" max="7684" width="6.33203125" style="1" customWidth="1"/>
    <col min="7685" max="7685" width="7.33203125" style="1" customWidth="1"/>
    <col min="7686" max="7686" width="6.5546875" style="1" customWidth="1"/>
    <col min="7687" max="7687" width="9.109375" style="1"/>
    <col min="7688" max="7688" width="4.44140625" style="1" customWidth="1"/>
    <col min="7689" max="7689" width="5.33203125" style="1" customWidth="1"/>
    <col min="7690" max="7690" width="5.44140625" style="1" customWidth="1"/>
    <col min="7691" max="7691" width="6.109375" style="1" customWidth="1"/>
    <col min="7692" max="7692" width="5.44140625" style="1" customWidth="1"/>
    <col min="7693" max="7694" width="5.5546875" style="1" customWidth="1"/>
    <col min="7695" max="7695" width="6" style="1" customWidth="1"/>
    <col min="7696" max="7696" width="4.88671875" style="1" customWidth="1"/>
    <col min="7697" max="7697" width="5" style="1" customWidth="1"/>
    <col min="7698" max="7698" width="6.6640625" style="1" customWidth="1"/>
    <col min="7699" max="7699" width="7.5546875" style="1" customWidth="1"/>
    <col min="7700" max="7700" width="5.88671875" style="1" customWidth="1"/>
    <col min="7701" max="7701" width="7" style="1" customWidth="1"/>
    <col min="7702" max="7702" width="9.109375" style="1"/>
    <col min="7703" max="7703" width="9.5546875" style="1" customWidth="1"/>
    <col min="7704" max="7704" width="9.109375" style="1"/>
    <col min="7705" max="7705" width="10.33203125" style="1" bestFit="1" customWidth="1"/>
    <col min="7706" max="7936" width="9.109375" style="1"/>
    <col min="7937" max="7937" width="3.88671875" style="1" customWidth="1"/>
    <col min="7938" max="7938" width="13.109375" style="1" customWidth="1"/>
    <col min="7939" max="7939" width="7" style="1" customWidth="1"/>
    <col min="7940" max="7940" width="6.33203125" style="1" customWidth="1"/>
    <col min="7941" max="7941" width="7.33203125" style="1" customWidth="1"/>
    <col min="7942" max="7942" width="6.5546875" style="1" customWidth="1"/>
    <col min="7943" max="7943" width="9.109375" style="1"/>
    <col min="7944" max="7944" width="4.44140625" style="1" customWidth="1"/>
    <col min="7945" max="7945" width="5.33203125" style="1" customWidth="1"/>
    <col min="7946" max="7946" width="5.44140625" style="1" customWidth="1"/>
    <col min="7947" max="7947" width="6.109375" style="1" customWidth="1"/>
    <col min="7948" max="7948" width="5.44140625" style="1" customWidth="1"/>
    <col min="7949" max="7950" width="5.5546875" style="1" customWidth="1"/>
    <col min="7951" max="7951" width="6" style="1" customWidth="1"/>
    <col min="7952" max="7952" width="4.88671875" style="1" customWidth="1"/>
    <col min="7953" max="7953" width="5" style="1" customWidth="1"/>
    <col min="7954" max="7954" width="6.6640625" style="1" customWidth="1"/>
    <col min="7955" max="7955" width="7.5546875" style="1" customWidth="1"/>
    <col min="7956" max="7956" width="5.88671875" style="1" customWidth="1"/>
    <col min="7957" max="7957" width="7" style="1" customWidth="1"/>
    <col min="7958" max="7958" width="9.109375" style="1"/>
    <col min="7959" max="7959" width="9.5546875" style="1" customWidth="1"/>
    <col min="7960" max="7960" width="9.109375" style="1"/>
    <col min="7961" max="7961" width="10.33203125" style="1" bestFit="1" customWidth="1"/>
    <col min="7962" max="8192" width="9.109375" style="1"/>
    <col min="8193" max="8193" width="3.88671875" style="1" customWidth="1"/>
    <col min="8194" max="8194" width="13.109375" style="1" customWidth="1"/>
    <col min="8195" max="8195" width="7" style="1" customWidth="1"/>
    <col min="8196" max="8196" width="6.33203125" style="1" customWidth="1"/>
    <col min="8197" max="8197" width="7.33203125" style="1" customWidth="1"/>
    <col min="8198" max="8198" width="6.5546875" style="1" customWidth="1"/>
    <col min="8199" max="8199" width="9.109375" style="1"/>
    <col min="8200" max="8200" width="4.44140625" style="1" customWidth="1"/>
    <col min="8201" max="8201" width="5.33203125" style="1" customWidth="1"/>
    <col min="8202" max="8202" width="5.44140625" style="1" customWidth="1"/>
    <col min="8203" max="8203" width="6.109375" style="1" customWidth="1"/>
    <col min="8204" max="8204" width="5.44140625" style="1" customWidth="1"/>
    <col min="8205" max="8206" width="5.5546875" style="1" customWidth="1"/>
    <col min="8207" max="8207" width="6" style="1" customWidth="1"/>
    <col min="8208" max="8208" width="4.88671875" style="1" customWidth="1"/>
    <col min="8209" max="8209" width="5" style="1" customWidth="1"/>
    <col min="8210" max="8210" width="6.6640625" style="1" customWidth="1"/>
    <col min="8211" max="8211" width="7.5546875" style="1" customWidth="1"/>
    <col min="8212" max="8212" width="5.88671875" style="1" customWidth="1"/>
    <col min="8213" max="8213" width="7" style="1" customWidth="1"/>
    <col min="8214" max="8214" width="9.109375" style="1"/>
    <col min="8215" max="8215" width="9.5546875" style="1" customWidth="1"/>
    <col min="8216" max="8216" width="9.109375" style="1"/>
    <col min="8217" max="8217" width="10.33203125" style="1" bestFit="1" customWidth="1"/>
    <col min="8218" max="8448" width="9.109375" style="1"/>
    <col min="8449" max="8449" width="3.88671875" style="1" customWidth="1"/>
    <col min="8450" max="8450" width="13.109375" style="1" customWidth="1"/>
    <col min="8451" max="8451" width="7" style="1" customWidth="1"/>
    <col min="8452" max="8452" width="6.33203125" style="1" customWidth="1"/>
    <col min="8453" max="8453" width="7.33203125" style="1" customWidth="1"/>
    <col min="8454" max="8454" width="6.5546875" style="1" customWidth="1"/>
    <col min="8455" max="8455" width="9.109375" style="1"/>
    <col min="8456" max="8456" width="4.44140625" style="1" customWidth="1"/>
    <col min="8457" max="8457" width="5.33203125" style="1" customWidth="1"/>
    <col min="8458" max="8458" width="5.44140625" style="1" customWidth="1"/>
    <col min="8459" max="8459" width="6.109375" style="1" customWidth="1"/>
    <col min="8460" max="8460" width="5.44140625" style="1" customWidth="1"/>
    <col min="8461" max="8462" width="5.5546875" style="1" customWidth="1"/>
    <col min="8463" max="8463" width="6" style="1" customWidth="1"/>
    <col min="8464" max="8464" width="4.88671875" style="1" customWidth="1"/>
    <col min="8465" max="8465" width="5" style="1" customWidth="1"/>
    <col min="8466" max="8466" width="6.6640625" style="1" customWidth="1"/>
    <col min="8467" max="8467" width="7.5546875" style="1" customWidth="1"/>
    <col min="8468" max="8468" width="5.88671875" style="1" customWidth="1"/>
    <col min="8469" max="8469" width="7" style="1" customWidth="1"/>
    <col min="8470" max="8470" width="9.109375" style="1"/>
    <col min="8471" max="8471" width="9.5546875" style="1" customWidth="1"/>
    <col min="8472" max="8472" width="9.109375" style="1"/>
    <col min="8473" max="8473" width="10.33203125" style="1" bestFit="1" customWidth="1"/>
    <col min="8474" max="8704" width="9.109375" style="1"/>
    <col min="8705" max="8705" width="3.88671875" style="1" customWidth="1"/>
    <col min="8706" max="8706" width="13.109375" style="1" customWidth="1"/>
    <col min="8707" max="8707" width="7" style="1" customWidth="1"/>
    <col min="8708" max="8708" width="6.33203125" style="1" customWidth="1"/>
    <col min="8709" max="8709" width="7.33203125" style="1" customWidth="1"/>
    <col min="8710" max="8710" width="6.5546875" style="1" customWidth="1"/>
    <col min="8711" max="8711" width="9.109375" style="1"/>
    <col min="8712" max="8712" width="4.44140625" style="1" customWidth="1"/>
    <col min="8713" max="8713" width="5.33203125" style="1" customWidth="1"/>
    <col min="8714" max="8714" width="5.44140625" style="1" customWidth="1"/>
    <col min="8715" max="8715" width="6.109375" style="1" customWidth="1"/>
    <col min="8716" max="8716" width="5.44140625" style="1" customWidth="1"/>
    <col min="8717" max="8718" width="5.5546875" style="1" customWidth="1"/>
    <col min="8719" max="8719" width="6" style="1" customWidth="1"/>
    <col min="8720" max="8720" width="4.88671875" style="1" customWidth="1"/>
    <col min="8721" max="8721" width="5" style="1" customWidth="1"/>
    <col min="8722" max="8722" width="6.6640625" style="1" customWidth="1"/>
    <col min="8723" max="8723" width="7.5546875" style="1" customWidth="1"/>
    <col min="8724" max="8724" width="5.88671875" style="1" customWidth="1"/>
    <col min="8725" max="8725" width="7" style="1" customWidth="1"/>
    <col min="8726" max="8726" width="9.109375" style="1"/>
    <col min="8727" max="8727" width="9.5546875" style="1" customWidth="1"/>
    <col min="8728" max="8728" width="9.109375" style="1"/>
    <col min="8729" max="8729" width="10.33203125" style="1" bestFit="1" customWidth="1"/>
    <col min="8730" max="8960" width="9.109375" style="1"/>
    <col min="8961" max="8961" width="3.88671875" style="1" customWidth="1"/>
    <col min="8962" max="8962" width="13.109375" style="1" customWidth="1"/>
    <col min="8963" max="8963" width="7" style="1" customWidth="1"/>
    <col min="8964" max="8964" width="6.33203125" style="1" customWidth="1"/>
    <col min="8965" max="8965" width="7.33203125" style="1" customWidth="1"/>
    <col min="8966" max="8966" width="6.5546875" style="1" customWidth="1"/>
    <col min="8967" max="8967" width="9.109375" style="1"/>
    <col min="8968" max="8968" width="4.44140625" style="1" customWidth="1"/>
    <col min="8969" max="8969" width="5.33203125" style="1" customWidth="1"/>
    <col min="8970" max="8970" width="5.44140625" style="1" customWidth="1"/>
    <col min="8971" max="8971" width="6.109375" style="1" customWidth="1"/>
    <col min="8972" max="8972" width="5.44140625" style="1" customWidth="1"/>
    <col min="8973" max="8974" width="5.5546875" style="1" customWidth="1"/>
    <col min="8975" max="8975" width="6" style="1" customWidth="1"/>
    <col min="8976" max="8976" width="4.88671875" style="1" customWidth="1"/>
    <col min="8977" max="8977" width="5" style="1" customWidth="1"/>
    <col min="8978" max="8978" width="6.6640625" style="1" customWidth="1"/>
    <col min="8979" max="8979" width="7.5546875" style="1" customWidth="1"/>
    <col min="8980" max="8980" width="5.88671875" style="1" customWidth="1"/>
    <col min="8981" max="8981" width="7" style="1" customWidth="1"/>
    <col min="8982" max="8982" width="9.109375" style="1"/>
    <col min="8983" max="8983" width="9.5546875" style="1" customWidth="1"/>
    <col min="8984" max="8984" width="9.109375" style="1"/>
    <col min="8985" max="8985" width="10.33203125" style="1" bestFit="1" customWidth="1"/>
    <col min="8986" max="9216" width="9.109375" style="1"/>
    <col min="9217" max="9217" width="3.88671875" style="1" customWidth="1"/>
    <col min="9218" max="9218" width="13.109375" style="1" customWidth="1"/>
    <col min="9219" max="9219" width="7" style="1" customWidth="1"/>
    <col min="9220" max="9220" width="6.33203125" style="1" customWidth="1"/>
    <col min="9221" max="9221" width="7.33203125" style="1" customWidth="1"/>
    <col min="9222" max="9222" width="6.5546875" style="1" customWidth="1"/>
    <col min="9223" max="9223" width="9.109375" style="1"/>
    <col min="9224" max="9224" width="4.44140625" style="1" customWidth="1"/>
    <col min="9225" max="9225" width="5.33203125" style="1" customWidth="1"/>
    <col min="9226" max="9226" width="5.44140625" style="1" customWidth="1"/>
    <col min="9227" max="9227" width="6.109375" style="1" customWidth="1"/>
    <col min="9228" max="9228" width="5.44140625" style="1" customWidth="1"/>
    <col min="9229" max="9230" width="5.5546875" style="1" customWidth="1"/>
    <col min="9231" max="9231" width="6" style="1" customWidth="1"/>
    <col min="9232" max="9232" width="4.88671875" style="1" customWidth="1"/>
    <col min="9233" max="9233" width="5" style="1" customWidth="1"/>
    <col min="9234" max="9234" width="6.6640625" style="1" customWidth="1"/>
    <col min="9235" max="9235" width="7.5546875" style="1" customWidth="1"/>
    <col min="9236" max="9236" width="5.88671875" style="1" customWidth="1"/>
    <col min="9237" max="9237" width="7" style="1" customWidth="1"/>
    <col min="9238" max="9238" width="9.109375" style="1"/>
    <col min="9239" max="9239" width="9.5546875" style="1" customWidth="1"/>
    <col min="9240" max="9240" width="9.109375" style="1"/>
    <col min="9241" max="9241" width="10.33203125" style="1" bestFit="1" customWidth="1"/>
    <col min="9242" max="9472" width="9.109375" style="1"/>
    <col min="9473" max="9473" width="3.88671875" style="1" customWidth="1"/>
    <col min="9474" max="9474" width="13.109375" style="1" customWidth="1"/>
    <col min="9475" max="9475" width="7" style="1" customWidth="1"/>
    <col min="9476" max="9476" width="6.33203125" style="1" customWidth="1"/>
    <col min="9477" max="9477" width="7.33203125" style="1" customWidth="1"/>
    <col min="9478" max="9478" width="6.5546875" style="1" customWidth="1"/>
    <col min="9479" max="9479" width="9.109375" style="1"/>
    <col min="9480" max="9480" width="4.44140625" style="1" customWidth="1"/>
    <col min="9481" max="9481" width="5.33203125" style="1" customWidth="1"/>
    <col min="9482" max="9482" width="5.44140625" style="1" customWidth="1"/>
    <col min="9483" max="9483" width="6.109375" style="1" customWidth="1"/>
    <col min="9484" max="9484" width="5.44140625" style="1" customWidth="1"/>
    <col min="9485" max="9486" width="5.5546875" style="1" customWidth="1"/>
    <col min="9487" max="9487" width="6" style="1" customWidth="1"/>
    <col min="9488" max="9488" width="4.88671875" style="1" customWidth="1"/>
    <col min="9489" max="9489" width="5" style="1" customWidth="1"/>
    <col min="9490" max="9490" width="6.6640625" style="1" customWidth="1"/>
    <col min="9491" max="9491" width="7.5546875" style="1" customWidth="1"/>
    <col min="9492" max="9492" width="5.88671875" style="1" customWidth="1"/>
    <col min="9493" max="9493" width="7" style="1" customWidth="1"/>
    <col min="9494" max="9494" width="9.109375" style="1"/>
    <col min="9495" max="9495" width="9.5546875" style="1" customWidth="1"/>
    <col min="9496" max="9496" width="9.109375" style="1"/>
    <col min="9497" max="9497" width="10.33203125" style="1" bestFit="1" customWidth="1"/>
    <col min="9498" max="9728" width="9.109375" style="1"/>
    <col min="9729" max="9729" width="3.88671875" style="1" customWidth="1"/>
    <col min="9730" max="9730" width="13.109375" style="1" customWidth="1"/>
    <col min="9731" max="9731" width="7" style="1" customWidth="1"/>
    <col min="9732" max="9732" width="6.33203125" style="1" customWidth="1"/>
    <col min="9733" max="9733" width="7.33203125" style="1" customWidth="1"/>
    <col min="9734" max="9734" width="6.5546875" style="1" customWidth="1"/>
    <col min="9735" max="9735" width="9.109375" style="1"/>
    <col min="9736" max="9736" width="4.44140625" style="1" customWidth="1"/>
    <col min="9737" max="9737" width="5.33203125" style="1" customWidth="1"/>
    <col min="9738" max="9738" width="5.44140625" style="1" customWidth="1"/>
    <col min="9739" max="9739" width="6.109375" style="1" customWidth="1"/>
    <col min="9740" max="9740" width="5.44140625" style="1" customWidth="1"/>
    <col min="9741" max="9742" width="5.5546875" style="1" customWidth="1"/>
    <col min="9743" max="9743" width="6" style="1" customWidth="1"/>
    <col min="9744" max="9744" width="4.88671875" style="1" customWidth="1"/>
    <col min="9745" max="9745" width="5" style="1" customWidth="1"/>
    <col min="9746" max="9746" width="6.6640625" style="1" customWidth="1"/>
    <col min="9747" max="9747" width="7.5546875" style="1" customWidth="1"/>
    <col min="9748" max="9748" width="5.88671875" style="1" customWidth="1"/>
    <col min="9749" max="9749" width="7" style="1" customWidth="1"/>
    <col min="9750" max="9750" width="9.109375" style="1"/>
    <col min="9751" max="9751" width="9.5546875" style="1" customWidth="1"/>
    <col min="9752" max="9752" width="9.109375" style="1"/>
    <col min="9753" max="9753" width="10.33203125" style="1" bestFit="1" customWidth="1"/>
    <col min="9754" max="9984" width="9.109375" style="1"/>
    <col min="9985" max="9985" width="3.88671875" style="1" customWidth="1"/>
    <col min="9986" max="9986" width="13.109375" style="1" customWidth="1"/>
    <col min="9987" max="9987" width="7" style="1" customWidth="1"/>
    <col min="9988" max="9988" width="6.33203125" style="1" customWidth="1"/>
    <col min="9989" max="9989" width="7.33203125" style="1" customWidth="1"/>
    <col min="9990" max="9990" width="6.5546875" style="1" customWidth="1"/>
    <col min="9991" max="9991" width="9.109375" style="1"/>
    <col min="9992" max="9992" width="4.44140625" style="1" customWidth="1"/>
    <col min="9993" max="9993" width="5.33203125" style="1" customWidth="1"/>
    <col min="9994" max="9994" width="5.44140625" style="1" customWidth="1"/>
    <col min="9995" max="9995" width="6.109375" style="1" customWidth="1"/>
    <col min="9996" max="9996" width="5.44140625" style="1" customWidth="1"/>
    <col min="9997" max="9998" width="5.5546875" style="1" customWidth="1"/>
    <col min="9999" max="9999" width="6" style="1" customWidth="1"/>
    <col min="10000" max="10000" width="4.88671875" style="1" customWidth="1"/>
    <col min="10001" max="10001" width="5" style="1" customWidth="1"/>
    <col min="10002" max="10002" width="6.6640625" style="1" customWidth="1"/>
    <col min="10003" max="10003" width="7.5546875" style="1" customWidth="1"/>
    <col min="10004" max="10004" width="5.88671875" style="1" customWidth="1"/>
    <col min="10005" max="10005" width="7" style="1" customWidth="1"/>
    <col min="10006" max="10006" width="9.109375" style="1"/>
    <col min="10007" max="10007" width="9.5546875" style="1" customWidth="1"/>
    <col min="10008" max="10008" width="9.109375" style="1"/>
    <col min="10009" max="10009" width="10.33203125" style="1" bestFit="1" customWidth="1"/>
    <col min="10010" max="10240" width="9.109375" style="1"/>
    <col min="10241" max="10241" width="3.88671875" style="1" customWidth="1"/>
    <col min="10242" max="10242" width="13.109375" style="1" customWidth="1"/>
    <col min="10243" max="10243" width="7" style="1" customWidth="1"/>
    <col min="10244" max="10244" width="6.33203125" style="1" customWidth="1"/>
    <col min="10245" max="10245" width="7.33203125" style="1" customWidth="1"/>
    <col min="10246" max="10246" width="6.5546875" style="1" customWidth="1"/>
    <col min="10247" max="10247" width="9.109375" style="1"/>
    <col min="10248" max="10248" width="4.44140625" style="1" customWidth="1"/>
    <col min="10249" max="10249" width="5.33203125" style="1" customWidth="1"/>
    <col min="10250" max="10250" width="5.44140625" style="1" customWidth="1"/>
    <col min="10251" max="10251" width="6.109375" style="1" customWidth="1"/>
    <col min="10252" max="10252" width="5.44140625" style="1" customWidth="1"/>
    <col min="10253" max="10254" width="5.5546875" style="1" customWidth="1"/>
    <col min="10255" max="10255" width="6" style="1" customWidth="1"/>
    <col min="10256" max="10256" width="4.88671875" style="1" customWidth="1"/>
    <col min="10257" max="10257" width="5" style="1" customWidth="1"/>
    <col min="10258" max="10258" width="6.6640625" style="1" customWidth="1"/>
    <col min="10259" max="10259" width="7.5546875" style="1" customWidth="1"/>
    <col min="10260" max="10260" width="5.88671875" style="1" customWidth="1"/>
    <col min="10261" max="10261" width="7" style="1" customWidth="1"/>
    <col min="10262" max="10262" width="9.109375" style="1"/>
    <col min="10263" max="10263" width="9.5546875" style="1" customWidth="1"/>
    <col min="10264" max="10264" width="9.109375" style="1"/>
    <col min="10265" max="10265" width="10.33203125" style="1" bestFit="1" customWidth="1"/>
    <col min="10266" max="10496" width="9.109375" style="1"/>
    <col min="10497" max="10497" width="3.88671875" style="1" customWidth="1"/>
    <col min="10498" max="10498" width="13.109375" style="1" customWidth="1"/>
    <col min="10499" max="10499" width="7" style="1" customWidth="1"/>
    <col min="10500" max="10500" width="6.33203125" style="1" customWidth="1"/>
    <col min="10501" max="10501" width="7.33203125" style="1" customWidth="1"/>
    <col min="10502" max="10502" width="6.5546875" style="1" customWidth="1"/>
    <col min="10503" max="10503" width="9.109375" style="1"/>
    <col min="10504" max="10504" width="4.44140625" style="1" customWidth="1"/>
    <col min="10505" max="10505" width="5.33203125" style="1" customWidth="1"/>
    <col min="10506" max="10506" width="5.44140625" style="1" customWidth="1"/>
    <col min="10507" max="10507" width="6.109375" style="1" customWidth="1"/>
    <col min="10508" max="10508" width="5.44140625" style="1" customWidth="1"/>
    <col min="10509" max="10510" width="5.5546875" style="1" customWidth="1"/>
    <col min="10511" max="10511" width="6" style="1" customWidth="1"/>
    <col min="10512" max="10512" width="4.88671875" style="1" customWidth="1"/>
    <col min="10513" max="10513" width="5" style="1" customWidth="1"/>
    <col min="10514" max="10514" width="6.6640625" style="1" customWidth="1"/>
    <col min="10515" max="10515" width="7.5546875" style="1" customWidth="1"/>
    <col min="10516" max="10516" width="5.88671875" style="1" customWidth="1"/>
    <col min="10517" max="10517" width="7" style="1" customWidth="1"/>
    <col min="10518" max="10518" width="9.109375" style="1"/>
    <col min="10519" max="10519" width="9.5546875" style="1" customWidth="1"/>
    <col min="10520" max="10520" width="9.109375" style="1"/>
    <col min="10521" max="10521" width="10.33203125" style="1" bestFit="1" customWidth="1"/>
    <col min="10522" max="10752" width="9.109375" style="1"/>
    <col min="10753" max="10753" width="3.88671875" style="1" customWidth="1"/>
    <col min="10754" max="10754" width="13.109375" style="1" customWidth="1"/>
    <col min="10755" max="10755" width="7" style="1" customWidth="1"/>
    <col min="10756" max="10756" width="6.33203125" style="1" customWidth="1"/>
    <col min="10757" max="10757" width="7.33203125" style="1" customWidth="1"/>
    <col min="10758" max="10758" width="6.5546875" style="1" customWidth="1"/>
    <col min="10759" max="10759" width="9.109375" style="1"/>
    <col min="10760" max="10760" width="4.44140625" style="1" customWidth="1"/>
    <col min="10761" max="10761" width="5.33203125" style="1" customWidth="1"/>
    <col min="10762" max="10762" width="5.44140625" style="1" customWidth="1"/>
    <col min="10763" max="10763" width="6.109375" style="1" customWidth="1"/>
    <col min="10764" max="10764" width="5.44140625" style="1" customWidth="1"/>
    <col min="10765" max="10766" width="5.5546875" style="1" customWidth="1"/>
    <col min="10767" max="10767" width="6" style="1" customWidth="1"/>
    <col min="10768" max="10768" width="4.88671875" style="1" customWidth="1"/>
    <col min="10769" max="10769" width="5" style="1" customWidth="1"/>
    <col min="10770" max="10770" width="6.6640625" style="1" customWidth="1"/>
    <col min="10771" max="10771" width="7.5546875" style="1" customWidth="1"/>
    <col min="10772" max="10772" width="5.88671875" style="1" customWidth="1"/>
    <col min="10773" max="10773" width="7" style="1" customWidth="1"/>
    <col min="10774" max="10774" width="9.109375" style="1"/>
    <col min="10775" max="10775" width="9.5546875" style="1" customWidth="1"/>
    <col min="10776" max="10776" width="9.109375" style="1"/>
    <col min="10777" max="10777" width="10.33203125" style="1" bestFit="1" customWidth="1"/>
    <col min="10778" max="11008" width="9.109375" style="1"/>
    <col min="11009" max="11009" width="3.88671875" style="1" customWidth="1"/>
    <col min="11010" max="11010" width="13.109375" style="1" customWidth="1"/>
    <col min="11011" max="11011" width="7" style="1" customWidth="1"/>
    <col min="11012" max="11012" width="6.33203125" style="1" customWidth="1"/>
    <col min="11013" max="11013" width="7.33203125" style="1" customWidth="1"/>
    <col min="11014" max="11014" width="6.5546875" style="1" customWidth="1"/>
    <col min="11015" max="11015" width="9.109375" style="1"/>
    <col min="11016" max="11016" width="4.44140625" style="1" customWidth="1"/>
    <col min="11017" max="11017" width="5.33203125" style="1" customWidth="1"/>
    <col min="11018" max="11018" width="5.44140625" style="1" customWidth="1"/>
    <col min="11019" max="11019" width="6.109375" style="1" customWidth="1"/>
    <col min="11020" max="11020" width="5.44140625" style="1" customWidth="1"/>
    <col min="11021" max="11022" width="5.5546875" style="1" customWidth="1"/>
    <col min="11023" max="11023" width="6" style="1" customWidth="1"/>
    <col min="11024" max="11024" width="4.88671875" style="1" customWidth="1"/>
    <col min="11025" max="11025" width="5" style="1" customWidth="1"/>
    <col min="11026" max="11026" width="6.6640625" style="1" customWidth="1"/>
    <col min="11027" max="11027" width="7.5546875" style="1" customWidth="1"/>
    <col min="11028" max="11028" width="5.88671875" style="1" customWidth="1"/>
    <col min="11029" max="11029" width="7" style="1" customWidth="1"/>
    <col min="11030" max="11030" width="9.109375" style="1"/>
    <col min="11031" max="11031" width="9.5546875" style="1" customWidth="1"/>
    <col min="11032" max="11032" width="9.109375" style="1"/>
    <col min="11033" max="11033" width="10.33203125" style="1" bestFit="1" customWidth="1"/>
    <col min="11034" max="11264" width="9.109375" style="1"/>
    <col min="11265" max="11265" width="3.88671875" style="1" customWidth="1"/>
    <col min="11266" max="11266" width="13.109375" style="1" customWidth="1"/>
    <col min="11267" max="11267" width="7" style="1" customWidth="1"/>
    <col min="11268" max="11268" width="6.33203125" style="1" customWidth="1"/>
    <col min="11269" max="11269" width="7.33203125" style="1" customWidth="1"/>
    <col min="11270" max="11270" width="6.5546875" style="1" customWidth="1"/>
    <col min="11271" max="11271" width="9.109375" style="1"/>
    <col min="11272" max="11272" width="4.44140625" style="1" customWidth="1"/>
    <col min="11273" max="11273" width="5.33203125" style="1" customWidth="1"/>
    <col min="11274" max="11274" width="5.44140625" style="1" customWidth="1"/>
    <col min="11275" max="11275" width="6.109375" style="1" customWidth="1"/>
    <col min="11276" max="11276" width="5.44140625" style="1" customWidth="1"/>
    <col min="11277" max="11278" width="5.5546875" style="1" customWidth="1"/>
    <col min="11279" max="11279" width="6" style="1" customWidth="1"/>
    <col min="11280" max="11280" width="4.88671875" style="1" customWidth="1"/>
    <col min="11281" max="11281" width="5" style="1" customWidth="1"/>
    <col min="11282" max="11282" width="6.6640625" style="1" customWidth="1"/>
    <col min="11283" max="11283" width="7.5546875" style="1" customWidth="1"/>
    <col min="11284" max="11284" width="5.88671875" style="1" customWidth="1"/>
    <col min="11285" max="11285" width="7" style="1" customWidth="1"/>
    <col min="11286" max="11286" width="9.109375" style="1"/>
    <col min="11287" max="11287" width="9.5546875" style="1" customWidth="1"/>
    <col min="11288" max="11288" width="9.109375" style="1"/>
    <col min="11289" max="11289" width="10.33203125" style="1" bestFit="1" customWidth="1"/>
    <col min="11290" max="11520" width="9.109375" style="1"/>
    <col min="11521" max="11521" width="3.88671875" style="1" customWidth="1"/>
    <col min="11522" max="11522" width="13.109375" style="1" customWidth="1"/>
    <col min="11523" max="11523" width="7" style="1" customWidth="1"/>
    <col min="11524" max="11524" width="6.33203125" style="1" customWidth="1"/>
    <col min="11525" max="11525" width="7.33203125" style="1" customWidth="1"/>
    <col min="11526" max="11526" width="6.5546875" style="1" customWidth="1"/>
    <col min="11527" max="11527" width="9.109375" style="1"/>
    <col min="11528" max="11528" width="4.44140625" style="1" customWidth="1"/>
    <col min="11529" max="11529" width="5.33203125" style="1" customWidth="1"/>
    <col min="11530" max="11530" width="5.44140625" style="1" customWidth="1"/>
    <col min="11531" max="11531" width="6.109375" style="1" customWidth="1"/>
    <col min="11532" max="11532" width="5.44140625" style="1" customWidth="1"/>
    <col min="11533" max="11534" width="5.5546875" style="1" customWidth="1"/>
    <col min="11535" max="11535" width="6" style="1" customWidth="1"/>
    <col min="11536" max="11536" width="4.88671875" style="1" customWidth="1"/>
    <col min="11537" max="11537" width="5" style="1" customWidth="1"/>
    <col min="11538" max="11538" width="6.6640625" style="1" customWidth="1"/>
    <col min="11539" max="11539" width="7.5546875" style="1" customWidth="1"/>
    <col min="11540" max="11540" width="5.88671875" style="1" customWidth="1"/>
    <col min="11541" max="11541" width="7" style="1" customWidth="1"/>
    <col min="11542" max="11542" width="9.109375" style="1"/>
    <col min="11543" max="11543" width="9.5546875" style="1" customWidth="1"/>
    <col min="11544" max="11544" width="9.109375" style="1"/>
    <col min="11545" max="11545" width="10.33203125" style="1" bestFit="1" customWidth="1"/>
    <col min="11546" max="11776" width="9.109375" style="1"/>
    <col min="11777" max="11777" width="3.88671875" style="1" customWidth="1"/>
    <col min="11778" max="11778" width="13.109375" style="1" customWidth="1"/>
    <col min="11779" max="11779" width="7" style="1" customWidth="1"/>
    <col min="11780" max="11780" width="6.33203125" style="1" customWidth="1"/>
    <col min="11781" max="11781" width="7.33203125" style="1" customWidth="1"/>
    <col min="11782" max="11782" width="6.5546875" style="1" customWidth="1"/>
    <col min="11783" max="11783" width="9.109375" style="1"/>
    <col min="11784" max="11784" width="4.44140625" style="1" customWidth="1"/>
    <col min="11785" max="11785" width="5.33203125" style="1" customWidth="1"/>
    <col min="11786" max="11786" width="5.44140625" style="1" customWidth="1"/>
    <col min="11787" max="11787" width="6.109375" style="1" customWidth="1"/>
    <col min="11788" max="11788" width="5.44140625" style="1" customWidth="1"/>
    <col min="11789" max="11790" width="5.5546875" style="1" customWidth="1"/>
    <col min="11791" max="11791" width="6" style="1" customWidth="1"/>
    <col min="11792" max="11792" width="4.88671875" style="1" customWidth="1"/>
    <col min="11793" max="11793" width="5" style="1" customWidth="1"/>
    <col min="11794" max="11794" width="6.6640625" style="1" customWidth="1"/>
    <col min="11795" max="11795" width="7.5546875" style="1" customWidth="1"/>
    <col min="11796" max="11796" width="5.88671875" style="1" customWidth="1"/>
    <col min="11797" max="11797" width="7" style="1" customWidth="1"/>
    <col min="11798" max="11798" width="9.109375" style="1"/>
    <col min="11799" max="11799" width="9.5546875" style="1" customWidth="1"/>
    <col min="11800" max="11800" width="9.109375" style="1"/>
    <col min="11801" max="11801" width="10.33203125" style="1" bestFit="1" customWidth="1"/>
    <col min="11802" max="12032" width="9.109375" style="1"/>
    <col min="12033" max="12033" width="3.88671875" style="1" customWidth="1"/>
    <col min="12034" max="12034" width="13.109375" style="1" customWidth="1"/>
    <col min="12035" max="12035" width="7" style="1" customWidth="1"/>
    <col min="12036" max="12036" width="6.33203125" style="1" customWidth="1"/>
    <col min="12037" max="12037" width="7.33203125" style="1" customWidth="1"/>
    <col min="12038" max="12038" width="6.5546875" style="1" customWidth="1"/>
    <col min="12039" max="12039" width="9.109375" style="1"/>
    <col min="12040" max="12040" width="4.44140625" style="1" customWidth="1"/>
    <col min="12041" max="12041" width="5.33203125" style="1" customWidth="1"/>
    <col min="12042" max="12042" width="5.44140625" style="1" customWidth="1"/>
    <col min="12043" max="12043" width="6.109375" style="1" customWidth="1"/>
    <col min="12044" max="12044" width="5.44140625" style="1" customWidth="1"/>
    <col min="12045" max="12046" width="5.5546875" style="1" customWidth="1"/>
    <col min="12047" max="12047" width="6" style="1" customWidth="1"/>
    <col min="12048" max="12048" width="4.88671875" style="1" customWidth="1"/>
    <col min="12049" max="12049" width="5" style="1" customWidth="1"/>
    <col min="12050" max="12050" width="6.6640625" style="1" customWidth="1"/>
    <col min="12051" max="12051" width="7.5546875" style="1" customWidth="1"/>
    <col min="12052" max="12052" width="5.88671875" style="1" customWidth="1"/>
    <col min="12053" max="12053" width="7" style="1" customWidth="1"/>
    <col min="12054" max="12054" width="9.109375" style="1"/>
    <col min="12055" max="12055" width="9.5546875" style="1" customWidth="1"/>
    <col min="12056" max="12056" width="9.109375" style="1"/>
    <col min="12057" max="12057" width="10.33203125" style="1" bestFit="1" customWidth="1"/>
    <col min="12058" max="12288" width="9.109375" style="1"/>
    <col min="12289" max="12289" width="3.88671875" style="1" customWidth="1"/>
    <col min="12290" max="12290" width="13.109375" style="1" customWidth="1"/>
    <col min="12291" max="12291" width="7" style="1" customWidth="1"/>
    <col min="12292" max="12292" width="6.33203125" style="1" customWidth="1"/>
    <col min="12293" max="12293" width="7.33203125" style="1" customWidth="1"/>
    <col min="12294" max="12294" width="6.5546875" style="1" customWidth="1"/>
    <col min="12295" max="12295" width="9.109375" style="1"/>
    <col min="12296" max="12296" width="4.44140625" style="1" customWidth="1"/>
    <col min="12297" max="12297" width="5.33203125" style="1" customWidth="1"/>
    <col min="12298" max="12298" width="5.44140625" style="1" customWidth="1"/>
    <col min="12299" max="12299" width="6.109375" style="1" customWidth="1"/>
    <col min="12300" max="12300" width="5.44140625" style="1" customWidth="1"/>
    <col min="12301" max="12302" width="5.5546875" style="1" customWidth="1"/>
    <col min="12303" max="12303" width="6" style="1" customWidth="1"/>
    <col min="12304" max="12304" width="4.88671875" style="1" customWidth="1"/>
    <col min="12305" max="12305" width="5" style="1" customWidth="1"/>
    <col min="12306" max="12306" width="6.6640625" style="1" customWidth="1"/>
    <col min="12307" max="12307" width="7.5546875" style="1" customWidth="1"/>
    <col min="12308" max="12308" width="5.88671875" style="1" customWidth="1"/>
    <col min="12309" max="12309" width="7" style="1" customWidth="1"/>
    <col min="12310" max="12310" width="9.109375" style="1"/>
    <col min="12311" max="12311" width="9.5546875" style="1" customWidth="1"/>
    <col min="12312" max="12312" width="9.109375" style="1"/>
    <col min="12313" max="12313" width="10.33203125" style="1" bestFit="1" customWidth="1"/>
    <col min="12314" max="12544" width="9.109375" style="1"/>
    <col min="12545" max="12545" width="3.88671875" style="1" customWidth="1"/>
    <col min="12546" max="12546" width="13.109375" style="1" customWidth="1"/>
    <col min="12547" max="12547" width="7" style="1" customWidth="1"/>
    <col min="12548" max="12548" width="6.33203125" style="1" customWidth="1"/>
    <col min="12549" max="12549" width="7.33203125" style="1" customWidth="1"/>
    <col min="12550" max="12550" width="6.5546875" style="1" customWidth="1"/>
    <col min="12551" max="12551" width="9.109375" style="1"/>
    <col min="12552" max="12552" width="4.44140625" style="1" customWidth="1"/>
    <col min="12553" max="12553" width="5.33203125" style="1" customWidth="1"/>
    <col min="12554" max="12554" width="5.44140625" style="1" customWidth="1"/>
    <col min="12555" max="12555" width="6.109375" style="1" customWidth="1"/>
    <col min="12556" max="12556" width="5.44140625" style="1" customWidth="1"/>
    <col min="12557" max="12558" width="5.5546875" style="1" customWidth="1"/>
    <col min="12559" max="12559" width="6" style="1" customWidth="1"/>
    <col min="12560" max="12560" width="4.88671875" style="1" customWidth="1"/>
    <col min="12561" max="12561" width="5" style="1" customWidth="1"/>
    <col min="12562" max="12562" width="6.6640625" style="1" customWidth="1"/>
    <col min="12563" max="12563" width="7.5546875" style="1" customWidth="1"/>
    <col min="12564" max="12564" width="5.88671875" style="1" customWidth="1"/>
    <col min="12565" max="12565" width="7" style="1" customWidth="1"/>
    <col min="12566" max="12566" width="9.109375" style="1"/>
    <col min="12567" max="12567" width="9.5546875" style="1" customWidth="1"/>
    <col min="12568" max="12568" width="9.109375" style="1"/>
    <col min="12569" max="12569" width="10.33203125" style="1" bestFit="1" customWidth="1"/>
    <col min="12570" max="12800" width="9.109375" style="1"/>
    <col min="12801" max="12801" width="3.88671875" style="1" customWidth="1"/>
    <col min="12802" max="12802" width="13.109375" style="1" customWidth="1"/>
    <col min="12803" max="12803" width="7" style="1" customWidth="1"/>
    <col min="12804" max="12804" width="6.33203125" style="1" customWidth="1"/>
    <col min="12805" max="12805" width="7.33203125" style="1" customWidth="1"/>
    <col min="12806" max="12806" width="6.5546875" style="1" customWidth="1"/>
    <col min="12807" max="12807" width="9.109375" style="1"/>
    <col min="12808" max="12808" width="4.44140625" style="1" customWidth="1"/>
    <col min="12809" max="12809" width="5.33203125" style="1" customWidth="1"/>
    <col min="12810" max="12810" width="5.44140625" style="1" customWidth="1"/>
    <col min="12811" max="12811" width="6.109375" style="1" customWidth="1"/>
    <col min="12812" max="12812" width="5.44140625" style="1" customWidth="1"/>
    <col min="12813" max="12814" width="5.5546875" style="1" customWidth="1"/>
    <col min="12815" max="12815" width="6" style="1" customWidth="1"/>
    <col min="12816" max="12816" width="4.88671875" style="1" customWidth="1"/>
    <col min="12817" max="12817" width="5" style="1" customWidth="1"/>
    <col min="12818" max="12818" width="6.6640625" style="1" customWidth="1"/>
    <col min="12819" max="12819" width="7.5546875" style="1" customWidth="1"/>
    <col min="12820" max="12820" width="5.88671875" style="1" customWidth="1"/>
    <col min="12821" max="12821" width="7" style="1" customWidth="1"/>
    <col min="12822" max="12822" width="9.109375" style="1"/>
    <col min="12823" max="12823" width="9.5546875" style="1" customWidth="1"/>
    <col min="12824" max="12824" width="9.109375" style="1"/>
    <col min="12825" max="12825" width="10.33203125" style="1" bestFit="1" customWidth="1"/>
    <col min="12826" max="13056" width="9.109375" style="1"/>
    <col min="13057" max="13057" width="3.88671875" style="1" customWidth="1"/>
    <col min="13058" max="13058" width="13.109375" style="1" customWidth="1"/>
    <col min="13059" max="13059" width="7" style="1" customWidth="1"/>
    <col min="13060" max="13060" width="6.33203125" style="1" customWidth="1"/>
    <col min="13061" max="13061" width="7.33203125" style="1" customWidth="1"/>
    <col min="13062" max="13062" width="6.5546875" style="1" customWidth="1"/>
    <col min="13063" max="13063" width="9.109375" style="1"/>
    <col min="13064" max="13064" width="4.44140625" style="1" customWidth="1"/>
    <col min="13065" max="13065" width="5.33203125" style="1" customWidth="1"/>
    <col min="13066" max="13066" width="5.44140625" style="1" customWidth="1"/>
    <col min="13067" max="13067" width="6.109375" style="1" customWidth="1"/>
    <col min="13068" max="13068" width="5.44140625" style="1" customWidth="1"/>
    <col min="13069" max="13070" width="5.5546875" style="1" customWidth="1"/>
    <col min="13071" max="13071" width="6" style="1" customWidth="1"/>
    <col min="13072" max="13072" width="4.88671875" style="1" customWidth="1"/>
    <col min="13073" max="13073" width="5" style="1" customWidth="1"/>
    <col min="13074" max="13074" width="6.6640625" style="1" customWidth="1"/>
    <col min="13075" max="13075" width="7.5546875" style="1" customWidth="1"/>
    <col min="13076" max="13076" width="5.88671875" style="1" customWidth="1"/>
    <col min="13077" max="13077" width="7" style="1" customWidth="1"/>
    <col min="13078" max="13078" width="9.109375" style="1"/>
    <col min="13079" max="13079" width="9.5546875" style="1" customWidth="1"/>
    <col min="13080" max="13080" width="9.109375" style="1"/>
    <col min="13081" max="13081" width="10.33203125" style="1" bestFit="1" customWidth="1"/>
    <col min="13082" max="13312" width="9.109375" style="1"/>
    <col min="13313" max="13313" width="3.88671875" style="1" customWidth="1"/>
    <col min="13314" max="13314" width="13.109375" style="1" customWidth="1"/>
    <col min="13315" max="13315" width="7" style="1" customWidth="1"/>
    <col min="13316" max="13316" width="6.33203125" style="1" customWidth="1"/>
    <col min="13317" max="13317" width="7.33203125" style="1" customWidth="1"/>
    <col min="13318" max="13318" width="6.5546875" style="1" customWidth="1"/>
    <col min="13319" max="13319" width="9.109375" style="1"/>
    <col min="13320" max="13320" width="4.44140625" style="1" customWidth="1"/>
    <col min="13321" max="13321" width="5.33203125" style="1" customWidth="1"/>
    <col min="13322" max="13322" width="5.44140625" style="1" customWidth="1"/>
    <col min="13323" max="13323" width="6.109375" style="1" customWidth="1"/>
    <col min="13324" max="13324" width="5.44140625" style="1" customWidth="1"/>
    <col min="13325" max="13326" width="5.5546875" style="1" customWidth="1"/>
    <col min="13327" max="13327" width="6" style="1" customWidth="1"/>
    <col min="13328" max="13328" width="4.88671875" style="1" customWidth="1"/>
    <col min="13329" max="13329" width="5" style="1" customWidth="1"/>
    <col min="13330" max="13330" width="6.6640625" style="1" customWidth="1"/>
    <col min="13331" max="13331" width="7.5546875" style="1" customWidth="1"/>
    <col min="13332" max="13332" width="5.88671875" style="1" customWidth="1"/>
    <col min="13333" max="13333" width="7" style="1" customWidth="1"/>
    <col min="13334" max="13334" width="9.109375" style="1"/>
    <col min="13335" max="13335" width="9.5546875" style="1" customWidth="1"/>
    <col min="13336" max="13336" width="9.109375" style="1"/>
    <col min="13337" max="13337" width="10.33203125" style="1" bestFit="1" customWidth="1"/>
    <col min="13338" max="13568" width="9.109375" style="1"/>
    <col min="13569" max="13569" width="3.88671875" style="1" customWidth="1"/>
    <col min="13570" max="13570" width="13.109375" style="1" customWidth="1"/>
    <col min="13571" max="13571" width="7" style="1" customWidth="1"/>
    <col min="13572" max="13572" width="6.33203125" style="1" customWidth="1"/>
    <col min="13573" max="13573" width="7.33203125" style="1" customWidth="1"/>
    <col min="13574" max="13574" width="6.5546875" style="1" customWidth="1"/>
    <col min="13575" max="13575" width="9.109375" style="1"/>
    <col min="13576" max="13576" width="4.44140625" style="1" customWidth="1"/>
    <col min="13577" max="13577" width="5.33203125" style="1" customWidth="1"/>
    <col min="13578" max="13578" width="5.44140625" style="1" customWidth="1"/>
    <col min="13579" max="13579" width="6.109375" style="1" customWidth="1"/>
    <col min="13580" max="13580" width="5.44140625" style="1" customWidth="1"/>
    <col min="13581" max="13582" width="5.5546875" style="1" customWidth="1"/>
    <col min="13583" max="13583" width="6" style="1" customWidth="1"/>
    <col min="13584" max="13584" width="4.88671875" style="1" customWidth="1"/>
    <col min="13585" max="13585" width="5" style="1" customWidth="1"/>
    <col min="13586" max="13586" width="6.6640625" style="1" customWidth="1"/>
    <col min="13587" max="13587" width="7.5546875" style="1" customWidth="1"/>
    <col min="13588" max="13588" width="5.88671875" style="1" customWidth="1"/>
    <col min="13589" max="13589" width="7" style="1" customWidth="1"/>
    <col min="13590" max="13590" width="9.109375" style="1"/>
    <col min="13591" max="13591" width="9.5546875" style="1" customWidth="1"/>
    <col min="13592" max="13592" width="9.109375" style="1"/>
    <col min="13593" max="13593" width="10.33203125" style="1" bestFit="1" customWidth="1"/>
    <col min="13594" max="13824" width="9.109375" style="1"/>
    <col min="13825" max="13825" width="3.88671875" style="1" customWidth="1"/>
    <col min="13826" max="13826" width="13.109375" style="1" customWidth="1"/>
    <col min="13827" max="13827" width="7" style="1" customWidth="1"/>
    <col min="13828" max="13828" width="6.33203125" style="1" customWidth="1"/>
    <col min="13829" max="13829" width="7.33203125" style="1" customWidth="1"/>
    <col min="13830" max="13830" width="6.5546875" style="1" customWidth="1"/>
    <col min="13831" max="13831" width="9.109375" style="1"/>
    <col min="13832" max="13832" width="4.44140625" style="1" customWidth="1"/>
    <col min="13833" max="13833" width="5.33203125" style="1" customWidth="1"/>
    <col min="13834" max="13834" width="5.44140625" style="1" customWidth="1"/>
    <col min="13835" max="13835" width="6.109375" style="1" customWidth="1"/>
    <col min="13836" max="13836" width="5.44140625" style="1" customWidth="1"/>
    <col min="13837" max="13838" width="5.5546875" style="1" customWidth="1"/>
    <col min="13839" max="13839" width="6" style="1" customWidth="1"/>
    <col min="13840" max="13840" width="4.88671875" style="1" customWidth="1"/>
    <col min="13841" max="13841" width="5" style="1" customWidth="1"/>
    <col min="13842" max="13842" width="6.6640625" style="1" customWidth="1"/>
    <col min="13843" max="13843" width="7.5546875" style="1" customWidth="1"/>
    <col min="13844" max="13844" width="5.88671875" style="1" customWidth="1"/>
    <col min="13845" max="13845" width="7" style="1" customWidth="1"/>
    <col min="13846" max="13846" width="9.109375" style="1"/>
    <col min="13847" max="13847" width="9.5546875" style="1" customWidth="1"/>
    <col min="13848" max="13848" width="9.109375" style="1"/>
    <col min="13849" max="13849" width="10.33203125" style="1" bestFit="1" customWidth="1"/>
    <col min="13850" max="14080" width="9.109375" style="1"/>
    <col min="14081" max="14081" width="3.88671875" style="1" customWidth="1"/>
    <col min="14082" max="14082" width="13.109375" style="1" customWidth="1"/>
    <col min="14083" max="14083" width="7" style="1" customWidth="1"/>
    <col min="14084" max="14084" width="6.33203125" style="1" customWidth="1"/>
    <col min="14085" max="14085" width="7.33203125" style="1" customWidth="1"/>
    <col min="14086" max="14086" width="6.5546875" style="1" customWidth="1"/>
    <col min="14087" max="14087" width="9.109375" style="1"/>
    <col min="14088" max="14088" width="4.44140625" style="1" customWidth="1"/>
    <col min="14089" max="14089" width="5.33203125" style="1" customWidth="1"/>
    <col min="14090" max="14090" width="5.44140625" style="1" customWidth="1"/>
    <col min="14091" max="14091" width="6.109375" style="1" customWidth="1"/>
    <col min="14092" max="14092" width="5.44140625" style="1" customWidth="1"/>
    <col min="14093" max="14094" width="5.5546875" style="1" customWidth="1"/>
    <col min="14095" max="14095" width="6" style="1" customWidth="1"/>
    <col min="14096" max="14096" width="4.88671875" style="1" customWidth="1"/>
    <col min="14097" max="14097" width="5" style="1" customWidth="1"/>
    <col min="14098" max="14098" width="6.6640625" style="1" customWidth="1"/>
    <col min="14099" max="14099" width="7.5546875" style="1" customWidth="1"/>
    <col min="14100" max="14100" width="5.88671875" style="1" customWidth="1"/>
    <col min="14101" max="14101" width="7" style="1" customWidth="1"/>
    <col min="14102" max="14102" width="9.109375" style="1"/>
    <col min="14103" max="14103" width="9.5546875" style="1" customWidth="1"/>
    <col min="14104" max="14104" width="9.109375" style="1"/>
    <col min="14105" max="14105" width="10.33203125" style="1" bestFit="1" customWidth="1"/>
    <col min="14106" max="14336" width="9.109375" style="1"/>
    <col min="14337" max="14337" width="3.88671875" style="1" customWidth="1"/>
    <col min="14338" max="14338" width="13.109375" style="1" customWidth="1"/>
    <col min="14339" max="14339" width="7" style="1" customWidth="1"/>
    <col min="14340" max="14340" width="6.33203125" style="1" customWidth="1"/>
    <col min="14341" max="14341" width="7.33203125" style="1" customWidth="1"/>
    <col min="14342" max="14342" width="6.5546875" style="1" customWidth="1"/>
    <col min="14343" max="14343" width="9.109375" style="1"/>
    <col min="14344" max="14344" width="4.44140625" style="1" customWidth="1"/>
    <col min="14345" max="14345" width="5.33203125" style="1" customWidth="1"/>
    <col min="14346" max="14346" width="5.44140625" style="1" customWidth="1"/>
    <col min="14347" max="14347" width="6.109375" style="1" customWidth="1"/>
    <col min="14348" max="14348" width="5.44140625" style="1" customWidth="1"/>
    <col min="14349" max="14350" width="5.5546875" style="1" customWidth="1"/>
    <col min="14351" max="14351" width="6" style="1" customWidth="1"/>
    <col min="14352" max="14352" width="4.88671875" style="1" customWidth="1"/>
    <col min="14353" max="14353" width="5" style="1" customWidth="1"/>
    <col min="14354" max="14354" width="6.6640625" style="1" customWidth="1"/>
    <col min="14355" max="14355" width="7.5546875" style="1" customWidth="1"/>
    <col min="14356" max="14356" width="5.88671875" style="1" customWidth="1"/>
    <col min="14357" max="14357" width="7" style="1" customWidth="1"/>
    <col min="14358" max="14358" width="9.109375" style="1"/>
    <col min="14359" max="14359" width="9.5546875" style="1" customWidth="1"/>
    <col min="14360" max="14360" width="9.109375" style="1"/>
    <col min="14361" max="14361" width="10.33203125" style="1" bestFit="1" customWidth="1"/>
    <col min="14362" max="14592" width="9.109375" style="1"/>
    <col min="14593" max="14593" width="3.88671875" style="1" customWidth="1"/>
    <col min="14594" max="14594" width="13.109375" style="1" customWidth="1"/>
    <col min="14595" max="14595" width="7" style="1" customWidth="1"/>
    <col min="14596" max="14596" width="6.33203125" style="1" customWidth="1"/>
    <col min="14597" max="14597" width="7.33203125" style="1" customWidth="1"/>
    <col min="14598" max="14598" width="6.5546875" style="1" customWidth="1"/>
    <col min="14599" max="14599" width="9.109375" style="1"/>
    <col min="14600" max="14600" width="4.44140625" style="1" customWidth="1"/>
    <col min="14601" max="14601" width="5.33203125" style="1" customWidth="1"/>
    <col min="14602" max="14602" width="5.44140625" style="1" customWidth="1"/>
    <col min="14603" max="14603" width="6.109375" style="1" customWidth="1"/>
    <col min="14604" max="14604" width="5.44140625" style="1" customWidth="1"/>
    <col min="14605" max="14606" width="5.5546875" style="1" customWidth="1"/>
    <col min="14607" max="14607" width="6" style="1" customWidth="1"/>
    <col min="14608" max="14608" width="4.88671875" style="1" customWidth="1"/>
    <col min="14609" max="14609" width="5" style="1" customWidth="1"/>
    <col min="14610" max="14610" width="6.6640625" style="1" customWidth="1"/>
    <col min="14611" max="14611" width="7.5546875" style="1" customWidth="1"/>
    <col min="14612" max="14612" width="5.88671875" style="1" customWidth="1"/>
    <col min="14613" max="14613" width="7" style="1" customWidth="1"/>
    <col min="14614" max="14614" width="9.109375" style="1"/>
    <col min="14615" max="14615" width="9.5546875" style="1" customWidth="1"/>
    <col min="14616" max="14616" width="9.109375" style="1"/>
    <col min="14617" max="14617" width="10.33203125" style="1" bestFit="1" customWidth="1"/>
    <col min="14618" max="14848" width="9.109375" style="1"/>
    <col min="14849" max="14849" width="3.88671875" style="1" customWidth="1"/>
    <col min="14850" max="14850" width="13.109375" style="1" customWidth="1"/>
    <col min="14851" max="14851" width="7" style="1" customWidth="1"/>
    <col min="14852" max="14852" width="6.33203125" style="1" customWidth="1"/>
    <col min="14853" max="14853" width="7.33203125" style="1" customWidth="1"/>
    <col min="14854" max="14854" width="6.5546875" style="1" customWidth="1"/>
    <col min="14855" max="14855" width="9.109375" style="1"/>
    <col min="14856" max="14856" width="4.44140625" style="1" customWidth="1"/>
    <col min="14857" max="14857" width="5.33203125" style="1" customWidth="1"/>
    <col min="14858" max="14858" width="5.44140625" style="1" customWidth="1"/>
    <col min="14859" max="14859" width="6.109375" style="1" customWidth="1"/>
    <col min="14860" max="14860" width="5.44140625" style="1" customWidth="1"/>
    <col min="14861" max="14862" width="5.5546875" style="1" customWidth="1"/>
    <col min="14863" max="14863" width="6" style="1" customWidth="1"/>
    <col min="14864" max="14864" width="4.88671875" style="1" customWidth="1"/>
    <col min="14865" max="14865" width="5" style="1" customWidth="1"/>
    <col min="14866" max="14866" width="6.6640625" style="1" customWidth="1"/>
    <col min="14867" max="14867" width="7.5546875" style="1" customWidth="1"/>
    <col min="14868" max="14868" width="5.88671875" style="1" customWidth="1"/>
    <col min="14869" max="14869" width="7" style="1" customWidth="1"/>
    <col min="14870" max="14870" width="9.109375" style="1"/>
    <col min="14871" max="14871" width="9.5546875" style="1" customWidth="1"/>
    <col min="14872" max="14872" width="9.109375" style="1"/>
    <col min="14873" max="14873" width="10.33203125" style="1" bestFit="1" customWidth="1"/>
    <col min="14874" max="15104" width="9.109375" style="1"/>
    <col min="15105" max="15105" width="3.88671875" style="1" customWidth="1"/>
    <col min="15106" max="15106" width="13.109375" style="1" customWidth="1"/>
    <col min="15107" max="15107" width="7" style="1" customWidth="1"/>
    <col min="15108" max="15108" width="6.33203125" style="1" customWidth="1"/>
    <col min="15109" max="15109" width="7.33203125" style="1" customWidth="1"/>
    <col min="15110" max="15110" width="6.5546875" style="1" customWidth="1"/>
    <col min="15111" max="15111" width="9.109375" style="1"/>
    <col min="15112" max="15112" width="4.44140625" style="1" customWidth="1"/>
    <col min="15113" max="15113" width="5.33203125" style="1" customWidth="1"/>
    <col min="15114" max="15114" width="5.44140625" style="1" customWidth="1"/>
    <col min="15115" max="15115" width="6.109375" style="1" customWidth="1"/>
    <col min="15116" max="15116" width="5.44140625" style="1" customWidth="1"/>
    <col min="15117" max="15118" width="5.5546875" style="1" customWidth="1"/>
    <col min="15119" max="15119" width="6" style="1" customWidth="1"/>
    <col min="15120" max="15120" width="4.88671875" style="1" customWidth="1"/>
    <col min="15121" max="15121" width="5" style="1" customWidth="1"/>
    <col min="15122" max="15122" width="6.6640625" style="1" customWidth="1"/>
    <col min="15123" max="15123" width="7.5546875" style="1" customWidth="1"/>
    <col min="15124" max="15124" width="5.88671875" style="1" customWidth="1"/>
    <col min="15125" max="15125" width="7" style="1" customWidth="1"/>
    <col min="15126" max="15126" width="9.109375" style="1"/>
    <col min="15127" max="15127" width="9.5546875" style="1" customWidth="1"/>
    <col min="15128" max="15128" width="9.109375" style="1"/>
    <col min="15129" max="15129" width="10.33203125" style="1" bestFit="1" customWidth="1"/>
    <col min="15130" max="15360" width="9.109375" style="1"/>
    <col min="15361" max="15361" width="3.88671875" style="1" customWidth="1"/>
    <col min="15362" max="15362" width="13.109375" style="1" customWidth="1"/>
    <col min="15363" max="15363" width="7" style="1" customWidth="1"/>
    <col min="15364" max="15364" width="6.33203125" style="1" customWidth="1"/>
    <col min="15365" max="15365" width="7.33203125" style="1" customWidth="1"/>
    <col min="15366" max="15366" width="6.5546875" style="1" customWidth="1"/>
    <col min="15367" max="15367" width="9.109375" style="1"/>
    <col min="15368" max="15368" width="4.44140625" style="1" customWidth="1"/>
    <col min="15369" max="15369" width="5.33203125" style="1" customWidth="1"/>
    <col min="15370" max="15370" width="5.44140625" style="1" customWidth="1"/>
    <col min="15371" max="15371" width="6.109375" style="1" customWidth="1"/>
    <col min="15372" max="15372" width="5.44140625" style="1" customWidth="1"/>
    <col min="15373" max="15374" width="5.5546875" style="1" customWidth="1"/>
    <col min="15375" max="15375" width="6" style="1" customWidth="1"/>
    <col min="15376" max="15376" width="4.88671875" style="1" customWidth="1"/>
    <col min="15377" max="15377" width="5" style="1" customWidth="1"/>
    <col min="15378" max="15378" width="6.6640625" style="1" customWidth="1"/>
    <col min="15379" max="15379" width="7.5546875" style="1" customWidth="1"/>
    <col min="15380" max="15380" width="5.88671875" style="1" customWidth="1"/>
    <col min="15381" max="15381" width="7" style="1" customWidth="1"/>
    <col min="15382" max="15382" width="9.109375" style="1"/>
    <col min="15383" max="15383" width="9.5546875" style="1" customWidth="1"/>
    <col min="15384" max="15384" width="9.109375" style="1"/>
    <col min="15385" max="15385" width="10.33203125" style="1" bestFit="1" customWidth="1"/>
    <col min="15386" max="15616" width="9.109375" style="1"/>
    <col min="15617" max="15617" width="3.88671875" style="1" customWidth="1"/>
    <col min="15618" max="15618" width="13.109375" style="1" customWidth="1"/>
    <col min="15619" max="15619" width="7" style="1" customWidth="1"/>
    <col min="15620" max="15620" width="6.33203125" style="1" customWidth="1"/>
    <col min="15621" max="15621" width="7.33203125" style="1" customWidth="1"/>
    <col min="15622" max="15622" width="6.5546875" style="1" customWidth="1"/>
    <col min="15623" max="15623" width="9.109375" style="1"/>
    <col min="15624" max="15624" width="4.44140625" style="1" customWidth="1"/>
    <col min="15625" max="15625" width="5.33203125" style="1" customWidth="1"/>
    <col min="15626" max="15626" width="5.44140625" style="1" customWidth="1"/>
    <col min="15627" max="15627" width="6.109375" style="1" customWidth="1"/>
    <col min="15628" max="15628" width="5.44140625" style="1" customWidth="1"/>
    <col min="15629" max="15630" width="5.5546875" style="1" customWidth="1"/>
    <col min="15631" max="15631" width="6" style="1" customWidth="1"/>
    <col min="15632" max="15632" width="4.88671875" style="1" customWidth="1"/>
    <col min="15633" max="15633" width="5" style="1" customWidth="1"/>
    <col min="15634" max="15634" width="6.6640625" style="1" customWidth="1"/>
    <col min="15635" max="15635" width="7.5546875" style="1" customWidth="1"/>
    <col min="15636" max="15636" width="5.88671875" style="1" customWidth="1"/>
    <col min="15637" max="15637" width="7" style="1" customWidth="1"/>
    <col min="15638" max="15638" width="9.109375" style="1"/>
    <col min="15639" max="15639" width="9.5546875" style="1" customWidth="1"/>
    <col min="15640" max="15640" width="9.109375" style="1"/>
    <col min="15641" max="15641" width="10.33203125" style="1" bestFit="1" customWidth="1"/>
    <col min="15642" max="15872" width="9.109375" style="1"/>
    <col min="15873" max="15873" width="3.88671875" style="1" customWidth="1"/>
    <col min="15874" max="15874" width="13.109375" style="1" customWidth="1"/>
    <col min="15875" max="15875" width="7" style="1" customWidth="1"/>
    <col min="15876" max="15876" width="6.33203125" style="1" customWidth="1"/>
    <col min="15877" max="15877" width="7.33203125" style="1" customWidth="1"/>
    <col min="15878" max="15878" width="6.5546875" style="1" customWidth="1"/>
    <col min="15879" max="15879" width="9.109375" style="1"/>
    <col min="15880" max="15880" width="4.44140625" style="1" customWidth="1"/>
    <col min="15881" max="15881" width="5.33203125" style="1" customWidth="1"/>
    <col min="15882" max="15882" width="5.44140625" style="1" customWidth="1"/>
    <col min="15883" max="15883" width="6.109375" style="1" customWidth="1"/>
    <col min="15884" max="15884" width="5.44140625" style="1" customWidth="1"/>
    <col min="15885" max="15886" width="5.5546875" style="1" customWidth="1"/>
    <col min="15887" max="15887" width="6" style="1" customWidth="1"/>
    <col min="15888" max="15888" width="4.88671875" style="1" customWidth="1"/>
    <col min="15889" max="15889" width="5" style="1" customWidth="1"/>
    <col min="15890" max="15890" width="6.6640625" style="1" customWidth="1"/>
    <col min="15891" max="15891" width="7.5546875" style="1" customWidth="1"/>
    <col min="15892" max="15892" width="5.88671875" style="1" customWidth="1"/>
    <col min="15893" max="15893" width="7" style="1" customWidth="1"/>
    <col min="15894" max="15894" width="9.109375" style="1"/>
    <col min="15895" max="15895" width="9.5546875" style="1" customWidth="1"/>
    <col min="15896" max="15896" width="9.109375" style="1"/>
    <col min="15897" max="15897" width="10.33203125" style="1" bestFit="1" customWidth="1"/>
    <col min="15898" max="16128" width="9.109375" style="1"/>
    <col min="16129" max="16129" width="3.88671875" style="1" customWidth="1"/>
    <col min="16130" max="16130" width="13.109375" style="1" customWidth="1"/>
    <col min="16131" max="16131" width="7" style="1" customWidth="1"/>
    <col min="16132" max="16132" width="6.33203125" style="1" customWidth="1"/>
    <col min="16133" max="16133" width="7.33203125" style="1" customWidth="1"/>
    <col min="16134" max="16134" width="6.5546875" style="1" customWidth="1"/>
    <col min="16135" max="16135" width="9.109375" style="1"/>
    <col min="16136" max="16136" width="4.44140625" style="1" customWidth="1"/>
    <col min="16137" max="16137" width="5.33203125" style="1" customWidth="1"/>
    <col min="16138" max="16138" width="5.44140625" style="1" customWidth="1"/>
    <col min="16139" max="16139" width="6.109375" style="1" customWidth="1"/>
    <col min="16140" max="16140" width="5.44140625" style="1" customWidth="1"/>
    <col min="16141" max="16142" width="5.5546875" style="1" customWidth="1"/>
    <col min="16143" max="16143" width="6" style="1" customWidth="1"/>
    <col min="16144" max="16144" width="4.88671875" style="1" customWidth="1"/>
    <col min="16145" max="16145" width="5" style="1" customWidth="1"/>
    <col min="16146" max="16146" width="6.6640625" style="1" customWidth="1"/>
    <col min="16147" max="16147" width="7.5546875" style="1" customWidth="1"/>
    <col min="16148" max="16148" width="5.88671875" style="1" customWidth="1"/>
    <col min="16149" max="16149" width="7" style="1" customWidth="1"/>
    <col min="16150" max="16150" width="9.109375" style="1"/>
    <col min="16151" max="16151" width="9.5546875" style="1" customWidth="1"/>
    <col min="16152" max="16152" width="9.109375" style="1"/>
    <col min="16153" max="16153" width="10.33203125" style="1" bestFit="1" customWidth="1"/>
    <col min="16154" max="16384" width="9.109375" style="1"/>
  </cols>
  <sheetData>
    <row r="1" spans="1:20" ht="12" x14ac:dyDescent="0.25">
      <c r="B1" s="2" t="s">
        <v>71</v>
      </c>
      <c r="I1" s="28" t="s">
        <v>70</v>
      </c>
      <c r="J1" s="28">
        <v>75</v>
      </c>
    </row>
    <row r="2" spans="1:20" ht="12" x14ac:dyDescent="0.25"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P2" s="4"/>
      <c r="T2" s="5"/>
    </row>
    <row r="3" spans="1:20" ht="12" x14ac:dyDescent="0.25">
      <c r="C3" s="3">
        <v>600</v>
      </c>
      <c r="D3" s="3">
        <v>600</v>
      </c>
      <c r="E3" s="3">
        <v>1700</v>
      </c>
      <c r="F3" s="3">
        <v>100</v>
      </c>
      <c r="G3" s="3">
        <v>1</v>
      </c>
      <c r="M3" s="4"/>
      <c r="N3" s="4"/>
      <c r="O3" s="4"/>
      <c r="P3" s="4"/>
    </row>
    <row r="4" spans="1:20" x14ac:dyDescent="0.2">
      <c r="K4" s="1">
        <f>J1</f>
        <v>75</v>
      </c>
      <c r="L4" s="5">
        <v>0.1</v>
      </c>
      <c r="M4" s="1">
        <v>20</v>
      </c>
      <c r="P4" s="1">
        <v>13</v>
      </c>
      <c r="S4" s="1">
        <v>0.75</v>
      </c>
    </row>
    <row r="5" spans="1:20" x14ac:dyDescent="0.2">
      <c r="A5" s="6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6" t="s">
        <v>10</v>
      </c>
      <c r="G5" s="6" t="s">
        <v>11</v>
      </c>
      <c r="H5" s="6" t="s">
        <v>12</v>
      </c>
      <c r="I5" s="6" t="s">
        <v>13</v>
      </c>
      <c r="J5" s="6" t="s">
        <v>14</v>
      </c>
      <c r="K5" s="6" t="s">
        <v>15</v>
      </c>
      <c r="L5" s="6" t="s">
        <v>16</v>
      </c>
      <c r="M5" s="6" t="s">
        <v>17</v>
      </c>
      <c r="N5" s="6" t="s">
        <v>18</v>
      </c>
      <c r="O5" s="6" t="s">
        <v>19</v>
      </c>
      <c r="P5" s="6" t="s">
        <v>20</v>
      </c>
      <c r="Q5" s="6" t="s">
        <v>21</v>
      </c>
      <c r="R5" s="6" t="s">
        <v>22</v>
      </c>
      <c r="S5" s="6" t="s">
        <v>23</v>
      </c>
      <c r="T5" s="6"/>
    </row>
    <row r="6" spans="1:20" x14ac:dyDescent="0.2">
      <c r="A6" s="7">
        <v>1</v>
      </c>
      <c r="B6" s="8" t="s">
        <v>24</v>
      </c>
      <c r="C6" s="9">
        <f>44*2+20-1.75*4</f>
        <v>101</v>
      </c>
      <c r="D6" s="9">
        <f>E3-85</f>
        <v>1615</v>
      </c>
      <c r="E6" s="1">
        <v>3</v>
      </c>
      <c r="F6" s="9">
        <f>G$3*4</f>
        <v>4</v>
      </c>
      <c r="G6" s="9">
        <v>1</v>
      </c>
      <c r="H6" s="9">
        <v>2</v>
      </c>
      <c r="I6" s="9">
        <f>C6/1000*D6/1000*E6*F6*8</f>
        <v>15.659040000000001</v>
      </c>
      <c r="J6" s="9">
        <f t="shared" ref="J6:J55" si="0">C6/1000*D6/1000*2*10.76*F6</f>
        <v>14.0409392</v>
      </c>
      <c r="K6" s="10">
        <f>I6*K$4</f>
        <v>1174.4280000000001</v>
      </c>
      <c r="L6" s="10">
        <f>K6*L$4</f>
        <v>117.44280000000002</v>
      </c>
      <c r="M6" s="10">
        <f>I6*M$4</f>
        <v>313.18080000000003</v>
      </c>
      <c r="N6" s="10">
        <f>550*G3</f>
        <v>550</v>
      </c>
      <c r="O6" s="10">
        <v>0</v>
      </c>
      <c r="P6" s="10">
        <f>J6*P$4</f>
        <v>182.53220960000002</v>
      </c>
      <c r="Q6" s="10">
        <v>0</v>
      </c>
      <c r="R6" s="10">
        <f t="shared" ref="R6:R62" si="1">K6+L6+M6+N6+O6+P6+Q6</f>
        <v>2337.5838096000002</v>
      </c>
      <c r="S6" s="10">
        <f t="shared" ref="S6:S62" si="2">R6/S$4</f>
        <v>3116.7784128000003</v>
      </c>
    </row>
    <row r="7" spans="1:20" x14ac:dyDescent="0.2">
      <c r="A7" s="11">
        <f t="shared" ref="A7:A62" si="3">A6+1</f>
        <v>2</v>
      </c>
      <c r="B7" s="12" t="s">
        <v>25</v>
      </c>
      <c r="C7" s="1">
        <f>44*2+20-1.75*4</f>
        <v>101</v>
      </c>
      <c r="D7" s="1">
        <f>C3-89</f>
        <v>511</v>
      </c>
      <c r="E7" s="1">
        <v>3</v>
      </c>
      <c r="F7" s="1">
        <f>G$3*4</f>
        <v>4</v>
      </c>
      <c r="G7" s="1">
        <v>1</v>
      </c>
      <c r="H7" s="1">
        <v>2</v>
      </c>
      <c r="I7" s="1">
        <f t="shared" ref="I7:I55" si="4">C7/1000*D7/1000*E7*F7*8</f>
        <v>4.9546559999999999</v>
      </c>
      <c r="J7" s="1">
        <f t="shared" si="0"/>
        <v>4.4426748800000002</v>
      </c>
      <c r="K7" s="4">
        <f t="shared" ref="K7:K55" si="5">I7*K$4</f>
        <v>371.5992</v>
      </c>
      <c r="L7" s="4">
        <f t="shared" ref="L7:L55" si="6">K7*L$4</f>
        <v>37.15992</v>
      </c>
      <c r="M7" s="4">
        <f>I7*M$4</f>
        <v>99.093119999999999</v>
      </c>
      <c r="N7" s="4">
        <v>0</v>
      </c>
      <c r="O7" s="4">
        <v>0</v>
      </c>
      <c r="P7" s="4">
        <f t="shared" ref="P7:P55" si="7">J7*P$4</f>
        <v>57.754773440000001</v>
      </c>
      <c r="Q7" s="4">
        <v>0</v>
      </c>
      <c r="R7" s="4">
        <f t="shared" si="1"/>
        <v>565.60701343999995</v>
      </c>
      <c r="S7" s="4">
        <f t="shared" si="2"/>
        <v>754.14268458666663</v>
      </c>
    </row>
    <row r="8" spans="1:20" x14ac:dyDescent="0.2">
      <c r="A8" s="11">
        <f t="shared" si="3"/>
        <v>3</v>
      </c>
      <c r="B8" s="12" t="s">
        <v>26</v>
      </c>
      <c r="C8" s="1">
        <f>44*2+20-1.75*4</f>
        <v>101</v>
      </c>
      <c r="D8" s="1">
        <f>D3-98</f>
        <v>502</v>
      </c>
      <c r="E8" s="1">
        <v>3</v>
      </c>
      <c r="F8" s="1">
        <f>G$3*4</f>
        <v>4</v>
      </c>
      <c r="G8" s="1">
        <v>1</v>
      </c>
      <c r="H8" s="1">
        <v>2</v>
      </c>
      <c r="I8" s="1">
        <f t="shared" si="4"/>
        <v>4.8673920000000006</v>
      </c>
      <c r="J8" s="1">
        <f t="shared" si="0"/>
        <v>4.3644281600000001</v>
      </c>
      <c r="K8" s="4">
        <f t="shared" si="5"/>
        <v>365.05440000000004</v>
      </c>
      <c r="L8" s="4">
        <f t="shared" si="6"/>
        <v>36.505440000000007</v>
      </c>
      <c r="M8" s="4">
        <f t="shared" ref="M8:M62" si="8">I8*M$4</f>
        <v>97.347840000000019</v>
      </c>
      <c r="N8" s="4">
        <v>0</v>
      </c>
      <c r="O8" s="4">
        <v>0</v>
      </c>
      <c r="P8" s="4">
        <f t="shared" si="7"/>
        <v>56.737566080000001</v>
      </c>
      <c r="Q8" s="4">
        <v>0</v>
      </c>
      <c r="R8" s="4">
        <f t="shared" si="1"/>
        <v>555.64524608000011</v>
      </c>
      <c r="S8" s="4">
        <f t="shared" si="2"/>
        <v>740.86032810666677</v>
      </c>
    </row>
    <row r="9" spans="1:20" x14ac:dyDescent="0.2">
      <c r="A9" s="11">
        <f t="shared" si="3"/>
        <v>4</v>
      </c>
      <c r="B9" s="1" t="s">
        <v>27</v>
      </c>
      <c r="C9" s="1">
        <f>30+30</f>
        <v>60</v>
      </c>
      <c r="D9" s="1">
        <f>D6</f>
        <v>1615</v>
      </c>
      <c r="E9" s="1">
        <v>3</v>
      </c>
      <c r="F9" s="1">
        <f>G$3*4</f>
        <v>4</v>
      </c>
      <c r="G9" s="1">
        <v>1</v>
      </c>
      <c r="H9" s="1">
        <v>1</v>
      </c>
      <c r="I9" s="1">
        <f t="shared" si="4"/>
        <v>9.3023999999999987</v>
      </c>
      <c r="J9" s="1">
        <f t="shared" si="0"/>
        <v>8.3411519999999992</v>
      </c>
      <c r="K9" s="4">
        <f t="shared" si="5"/>
        <v>697.68</v>
      </c>
      <c r="L9" s="4">
        <f t="shared" si="6"/>
        <v>69.768000000000001</v>
      </c>
      <c r="M9" s="4">
        <f t="shared" si="8"/>
        <v>186.04799999999997</v>
      </c>
      <c r="N9" s="4">
        <v>0</v>
      </c>
      <c r="O9" s="4">
        <f>D9/25*F9*0.15</f>
        <v>38.76</v>
      </c>
      <c r="P9" s="4">
        <f t="shared" si="7"/>
        <v>108.43497599999999</v>
      </c>
      <c r="Q9" s="4">
        <v>0</v>
      </c>
      <c r="R9" s="4">
        <f t="shared" si="1"/>
        <v>1100.6909759999999</v>
      </c>
      <c r="S9" s="4">
        <f t="shared" si="2"/>
        <v>1467.5879679999998</v>
      </c>
    </row>
    <row r="10" spans="1:20" x14ac:dyDescent="0.2">
      <c r="A10" s="11">
        <f t="shared" si="3"/>
        <v>5</v>
      </c>
      <c r="B10" s="1" t="s">
        <v>28</v>
      </c>
      <c r="C10" s="1">
        <f>44+25-1.75*2</f>
        <v>65.5</v>
      </c>
      <c r="D10" s="1">
        <f>D8</f>
        <v>502</v>
      </c>
      <c r="E10" s="1">
        <v>3</v>
      </c>
      <c r="F10" s="1">
        <f>G$3*4</f>
        <v>4</v>
      </c>
      <c r="G10" s="1">
        <v>1</v>
      </c>
      <c r="H10" s="1">
        <v>1</v>
      </c>
      <c r="I10" s="1">
        <f t="shared" si="4"/>
        <v>3.1565760000000003</v>
      </c>
      <c r="J10" s="1">
        <f t="shared" si="0"/>
        <v>2.8303964800000001</v>
      </c>
      <c r="K10" s="4">
        <f t="shared" si="5"/>
        <v>236.74320000000003</v>
      </c>
      <c r="L10" s="4">
        <f t="shared" si="6"/>
        <v>23.674320000000005</v>
      </c>
      <c r="M10" s="4">
        <f t="shared" si="8"/>
        <v>63.131520000000009</v>
      </c>
      <c r="N10" s="4">
        <v>0</v>
      </c>
      <c r="O10" s="4">
        <f>D10/25*F10*0.15</f>
        <v>12.047999999999998</v>
      </c>
      <c r="P10" s="4">
        <f t="shared" si="7"/>
        <v>36.795154240000002</v>
      </c>
      <c r="Q10" s="4">
        <v>0</v>
      </c>
      <c r="R10" s="4">
        <f t="shared" si="1"/>
        <v>372.39219424000004</v>
      </c>
      <c r="S10" s="4">
        <f t="shared" si="2"/>
        <v>496.5229256533334</v>
      </c>
    </row>
    <row r="11" spans="1:20" x14ac:dyDescent="0.2">
      <c r="A11" s="11">
        <f t="shared" si="3"/>
        <v>6</v>
      </c>
      <c r="B11" s="1" t="s">
        <v>29</v>
      </c>
      <c r="C11" s="1">
        <f>15+38+15</f>
        <v>68</v>
      </c>
      <c r="D11" s="1">
        <f>D8</f>
        <v>502</v>
      </c>
      <c r="E11" s="1">
        <v>1.6</v>
      </c>
      <c r="F11" s="1">
        <v>2</v>
      </c>
      <c r="G11" s="1">
        <v>1</v>
      </c>
      <c r="H11" s="1">
        <v>1</v>
      </c>
      <c r="I11" s="1">
        <f t="shared" si="4"/>
        <v>0.87388160000000004</v>
      </c>
      <c r="J11" s="1">
        <f t="shared" si="0"/>
        <v>1.4692134399999999</v>
      </c>
      <c r="K11" s="4">
        <f t="shared" si="5"/>
        <v>65.541120000000006</v>
      </c>
      <c r="L11" s="4">
        <f t="shared" si="6"/>
        <v>6.5541120000000008</v>
      </c>
      <c r="M11" s="4">
        <f t="shared" si="8"/>
        <v>17.477632</v>
      </c>
      <c r="N11" s="4">
        <v>0</v>
      </c>
      <c r="O11" s="4">
        <v>0</v>
      </c>
      <c r="P11" s="4">
        <f t="shared" si="7"/>
        <v>19.099774719999999</v>
      </c>
      <c r="Q11" s="4">
        <v>0</v>
      </c>
      <c r="R11" s="4">
        <f t="shared" si="1"/>
        <v>108.67263872000001</v>
      </c>
      <c r="S11" s="4">
        <f t="shared" si="2"/>
        <v>144.89685162666669</v>
      </c>
    </row>
    <row r="12" spans="1:20" x14ac:dyDescent="0.2">
      <c r="A12" s="11">
        <f t="shared" si="3"/>
        <v>7</v>
      </c>
      <c r="B12" s="1" t="s">
        <v>30</v>
      </c>
      <c r="C12" s="1">
        <v>0</v>
      </c>
      <c r="F12" s="1">
        <f>G$3*8</f>
        <v>8</v>
      </c>
      <c r="I12" s="1">
        <f t="shared" si="4"/>
        <v>0</v>
      </c>
      <c r="J12" s="1">
        <f t="shared" si="0"/>
        <v>0</v>
      </c>
      <c r="K12" s="4">
        <f t="shared" si="5"/>
        <v>0</v>
      </c>
      <c r="L12" s="4">
        <f t="shared" si="6"/>
        <v>0</v>
      </c>
      <c r="M12" s="4">
        <f t="shared" si="8"/>
        <v>0</v>
      </c>
      <c r="N12" s="4">
        <v>0</v>
      </c>
      <c r="O12" s="4">
        <v>0</v>
      </c>
      <c r="P12" s="4">
        <f t="shared" si="7"/>
        <v>0</v>
      </c>
      <c r="Q12" s="4">
        <f>35*F12</f>
        <v>280</v>
      </c>
      <c r="R12" s="4">
        <f t="shared" si="1"/>
        <v>280</v>
      </c>
      <c r="S12" s="4">
        <f t="shared" si="2"/>
        <v>373.33333333333331</v>
      </c>
      <c r="T12" s="4"/>
    </row>
    <row r="13" spans="1:20" x14ac:dyDescent="0.2">
      <c r="A13" s="11">
        <f t="shared" si="3"/>
        <v>8</v>
      </c>
      <c r="B13" s="13" t="s">
        <v>31</v>
      </c>
      <c r="C13" s="13">
        <v>0</v>
      </c>
      <c r="D13" s="13"/>
      <c r="E13" s="13"/>
      <c r="F13" s="13">
        <f>G$3*8</f>
        <v>8</v>
      </c>
      <c r="G13" s="13"/>
      <c r="H13" s="13"/>
      <c r="I13" s="13">
        <f t="shared" si="4"/>
        <v>0</v>
      </c>
      <c r="J13" s="13">
        <f t="shared" si="0"/>
        <v>0</v>
      </c>
      <c r="K13" s="14">
        <f t="shared" si="5"/>
        <v>0</v>
      </c>
      <c r="L13" s="14">
        <f t="shared" si="6"/>
        <v>0</v>
      </c>
      <c r="M13" s="14">
        <f t="shared" si="8"/>
        <v>0</v>
      </c>
      <c r="N13" s="14">
        <v>0</v>
      </c>
      <c r="O13" s="14">
        <v>0</v>
      </c>
      <c r="P13" s="4">
        <f t="shared" si="7"/>
        <v>0</v>
      </c>
      <c r="Q13" s="4">
        <f>F13*1.6</f>
        <v>12.8</v>
      </c>
      <c r="R13" s="14">
        <f t="shared" si="1"/>
        <v>12.8</v>
      </c>
      <c r="S13" s="14">
        <f t="shared" si="2"/>
        <v>17.066666666666666</v>
      </c>
      <c r="T13" s="14">
        <f>SUM(S6:S13)</f>
        <v>7111.189170773333</v>
      </c>
    </row>
    <row r="14" spans="1:20" x14ac:dyDescent="0.2">
      <c r="A14" s="11">
        <f t="shared" si="3"/>
        <v>9</v>
      </c>
      <c r="B14" s="9" t="s">
        <v>32</v>
      </c>
      <c r="C14" s="9">
        <f>C3-6+40-1.75*4+45</f>
        <v>672</v>
      </c>
      <c r="D14" s="9">
        <f>E3+23</f>
        <v>1723</v>
      </c>
      <c r="E14" s="9">
        <v>2</v>
      </c>
      <c r="F14" s="9">
        <v>1.25</v>
      </c>
      <c r="G14" s="9">
        <v>2</v>
      </c>
      <c r="H14" s="9">
        <v>4</v>
      </c>
      <c r="I14" s="9">
        <f t="shared" si="4"/>
        <v>23.157119999999999</v>
      </c>
      <c r="J14" s="9">
        <f t="shared" si="0"/>
        <v>31.1463264</v>
      </c>
      <c r="K14" s="10">
        <f t="shared" si="5"/>
        <v>1736.7839999999999</v>
      </c>
      <c r="L14" s="10">
        <f t="shared" si="6"/>
        <v>173.67840000000001</v>
      </c>
      <c r="M14" s="4">
        <f t="shared" si="8"/>
        <v>463.14239999999995</v>
      </c>
      <c r="N14" s="10">
        <f>F14*200</f>
        <v>250</v>
      </c>
      <c r="O14" s="10">
        <v>0</v>
      </c>
      <c r="P14" s="10">
        <f>J14*P$4</f>
        <v>404.90224319999999</v>
      </c>
      <c r="Q14" s="10">
        <v>0</v>
      </c>
      <c r="R14" s="10">
        <f t="shared" si="1"/>
        <v>3028.5070432000002</v>
      </c>
      <c r="S14" s="10">
        <f t="shared" si="2"/>
        <v>4038.0093909333336</v>
      </c>
      <c r="T14" s="9"/>
    </row>
    <row r="15" spans="1:20" x14ac:dyDescent="0.2">
      <c r="A15" s="11">
        <f t="shared" si="3"/>
        <v>10</v>
      </c>
      <c r="B15" s="12" t="s">
        <v>33</v>
      </c>
      <c r="C15" s="1">
        <v>69</v>
      </c>
      <c r="D15" s="1">
        <f>E3-140</f>
        <v>1560</v>
      </c>
      <c r="E15" s="1">
        <v>1.6</v>
      </c>
      <c r="F15" s="1">
        <f>2*F14</f>
        <v>2.5</v>
      </c>
      <c r="G15" s="1">
        <v>1</v>
      </c>
      <c r="H15" s="1">
        <v>2</v>
      </c>
      <c r="I15" s="1">
        <f t="shared" si="4"/>
        <v>3.4444800000000009</v>
      </c>
      <c r="J15" s="1">
        <f t="shared" si="0"/>
        <v>5.7910320000000004</v>
      </c>
      <c r="K15" s="4">
        <f t="shared" si="5"/>
        <v>258.33600000000007</v>
      </c>
      <c r="L15" s="4">
        <f t="shared" si="6"/>
        <v>25.833600000000008</v>
      </c>
      <c r="M15" s="4">
        <f t="shared" si="8"/>
        <v>68.889600000000016</v>
      </c>
      <c r="N15" s="4">
        <v>0</v>
      </c>
      <c r="O15" s="4">
        <v>0</v>
      </c>
      <c r="P15" s="4">
        <f t="shared" si="7"/>
        <v>75.283416000000003</v>
      </c>
      <c r="Q15" s="4">
        <v>0</v>
      </c>
      <c r="R15" s="4">
        <f t="shared" si="1"/>
        <v>428.34261600000008</v>
      </c>
      <c r="S15" s="4">
        <f t="shared" si="2"/>
        <v>571.12348800000007</v>
      </c>
    </row>
    <row r="16" spans="1:20" x14ac:dyDescent="0.2">
      <c r="A16" s="11">
        <f t="shared" si="3"/>
        <v>11</v>
      </c>
      <c r="B16" s="12" t="s">
        <v>34</v>
      </c>
      <c r="C16" s="1">
        <v>69</v>
      </c>
      <c r="D16" s="1">
        <f>C3-160</f>
        <v>440</v>
      </c>
      <c r="E16" s="1">
        <v>1.6</v>
      </c>
      <c r="F16" s="1">
        <f>F15*2</f>
        <v>5</v>
      </c>
      <c r="G16" s="1">
        <v>1</v>
      </c>
      <c r="H16" s="1">
        <v>2</v>
      </c>
      <c r="I16" s="1">
        <f t="shared" si="4"/>
        <v>1.9430400000000003</v>
      </c>
      <c r="J16" s="1">
        <f t="shared" si="0"/>
        <v>3.2667359999999999</v>
      </c>
      <c r="K16" s="4">
        <f t="shared" si="5"/>
        <v>145.72800000000004</v>
      </c>
      <c r="L16" s="4">
        <f t="shared" si="6"/>
        <v>14.572800000000004</v>
      </c>
      <c r="M16" s="4">
        <f t="shared" si="8"/>
        <v>38.860800000000005</v>
      </c>
      <c r="N16" s="4">
        <v>0</v>
      </c>
      <c r="O16" s="4">
        <v>0</v>
      </c>
      <c r="P16" s="4">
        <f t="shared" si="7"/>
        <v>42.467568</v>
      </c>
      <c r="Q16" s="4">
        <v>0</v>
      </c>
      <c r="R16" s="4">
        <f t="shared" si="1"/>
        <v>241.62916800000005</v>
      </c>
      <c r="S16" s="4">
        <f t="shared" si="2"/>
        <v>322.17222400000009</v>
      </c>
    </row>
    <row r="17" spans="1:25" x14ac:dyDescent="0.2">
      <c r="A17" s="11">
        <f t="shared" si="3"/>
        <v>12</v>
      </c>
      <c r="B17" s="1" t="s">
        <v>35</v>
      </c>
      <c r="F17" s="1">
        <f>((C14/1000*2)+(D14/1000*2))*F14</f>
        <v>5.9874999999999998</v>
      </c>
      <c r="I17" s="1">
        <f t="shared" si="4"/>
        <v>0</v>
      </c>
      <c r="J17" s="1">
        <f t="shared" si="0"/>
        <v>0</v>
      </c>
      <c r="K17" s="4">
        <f t="shared" si="5"/>
        <v>0</v>
      </c>
      <c r="L17" s="4">
        <f t="shared" si="6"/>
        <v>0</v>
      </c>
      <c r="M17" s="4">
        <f t="shared" si="8"/>
        <v>0</v>
      </c>
      <c r="N17" s="4">
        <v>0</v>
      </c>
      <c r="O17" s="4">
        <v>0</v>
      </c>
      <c r="P17" s="4">
        <f t="shared" si="7"/>
        <v>0</v>
      </c>
      <c r="Q17" s="4">
        <f>F17*35</f>
        <v>209.5625</v>
      </c>
      <c r="R17" s="4">
        <f t="shared" si="1"/>
        <v>209.5625</v>
      </c>
      <c r="S17" s="4">
        <f t="shared" si="2"/>
        <v>279.41666666666669</v>
      </c>
    </row>
    <row r="18" spans="1:25" x14ac:dyDescent="0.2">
      <c r="A18" s="11">
        <f t="shared" si="3"/>
        <v>13</v>
      </c>
      <c r="B18" s="1" t="s">
        <v>36</v>
      </c>
      <c r="F18" s="1">
        <f>G3*2</f>
        <v>2</v>
      </c>
      <c r="I18" s="1">
        <f t="shared" si="4"/>
        <v>0</v>
      </c>
      <c r="J18" s="1">
        <f t="shared" si="0"/>
        <v>0</v>
      </c>
      <c r="K18" s="4">
        <f t="shared" si="5"/>
        <v>0</v>
      </c>
      <c r="L18" s="4">
        <f t="shared" si="6"/>
        <v>0</v>
      </c>
      <c r="M18" s="4">
        <f t="shared" si="8"/>
        <v>0</v>
      </c>
      <c r="N18" s="4">
        <v>0</v>
      </c>
      <c r="O18" s="4">
        <v>0</v>
      </c>
      <c r="P18" s="4">
        <f t="shared" si="7"/>
        <v>0</v>
      </c>
      <c r="Q18" s="4">
        <f>650*F18</f>
        <v>1300</v>
      </c>
      <c r="R18" s="4">
        <f t="shared" si="1"/>
        <v>1300</v>
      </c>
      <c r="S18" s="4">
        <f t="shared" si="2"/>
        <v>1733.3333333333333</v>
      </c>
    </row>
    <row r="19" spans="1:25" x14ac:dyDescent="0.2">
      <c r="A19" s="11">
        <f t="shared" si="3"/>
        <v>14</v>
      </c>
      <c r="B19" s="1" t="s">
        <v>37</v>
      </c>
      <c r="F19" s="1">
        <f>F14*4+2</f>
        <v>7</v>
      </c>
      <c r="I19" s="1">
        <f t="shared" si="4"/>
        <v>0</v>
      </c>
      <c r="J19" s="1">
        <f t="shared" si="0"/>
        <v>0</v>
      </c>
      <c r="K19" s="4">
        <f t="shared" si="5"/>
        <v>0</v>
      </c>
      <c r="L19" s="4">
        <f t="shared" si="6"/>
        <v>0</v>
      </c>
      <c r="M19" s="4">
        <f t="shared" si="8"/>
        <v>0</v>
      </c>
      <c r="N19" s="4">
        <v>0</v>
      </c>
      <c r="O19" s="4">
        <v>0</v>
      </c>
      <c r="P19" s="4">
        <f t="shared" si="7"/>
        <v>0</v>
      </c>
      <c r="Q19" s="4">
        <f>F19*60</f>
        <v>420</v>
      </c>
      <c r="R19" s="4">
        <f t="shared" si="1"/>
        <v>420</v>
      </c>
      <c r="S19" s="4">
        <f t="shared" si="2"/>
        <v>560</v>
      </c>
      <c r="T19" s="4"/>
    </row>
    <row r="20" spans="1:25" x14ac:dyDescent="0.2">
      <c r="A20" s="11">
        <f t="shared" si="3"/>
        <v>15</v>
      </c>
      <c r="B20" s="13" t="s">
        <v>38</v>
      </c>
      <c r="C20" s="13"/>
      <c r="D20" s="13"/>
      <c r="E20" s="13"/>
      <c r="F20" s="13"/>
      <c r="G20" s="13"/>
      <c r="H20" s="13"/>
      <c r="I20" s="13">
        <f t="shared" si="4"/>
        <v>0</v>
      </c>
      <c r="J20" s="13">
        <f t="shared" si="0"/>
        <v>0</v>
      </c>
      <c r="K20" s="14">
        <f t="shared" si="5"/>
        <v>0</v>
      </c>
      <c r="L20" s="14">
        <f t="shared" si="6"/>
        <v>0</v>
      </c>
      <c r="M20" s="14">
        <f t="shared" si="8"/>
        <v>0</v>
      </c>
      <c r="N20" s="14">
        <v>0</v>
      </c>
      <c r="O20" s="14">
        <v>0</v>
      </c>
      <c r="P20" s="4">
        <f t="shared" si="7"/>
        <v>0</v>
      </c>
      <c r="Q20" s="14">
        <v>0</v>
      </c>
      <c r="R20" s="14">
        <f t="shared" si="1"/>
        <v>0</v>
      </c>
      <c r="S20" s="14">
        <f t="shared" si="2"/>
        <v>0</v>
      </c>
      <c r="T20" s="4">
        <f>SUM(S14:S20)</f>
        <v>7504.0551029333337</v>
      </c>
      <c r="Y20" s="4"/>
    </row>
    <row r="21" spans="1:25" x14ac:dyDescent="0.2">
      <c r="A21" s="11">
        <f t="shared" si="3"/>
        <v>16</v>
      </c>
      <c r="B21" s="15" t="s">
        <v>39</v>
      </c>
      <c r="C21" s="16">
        <f>F3+79.4</f>
        <v>179.4</v>
      </c>
      <c r="D21" s="15">
        <f>D3+189.4</f>
        <v>789.4</v>
      </c>
      <c r="E21" s="15">
        <v>2</v>
      </c>
      <c r="F21" s="15">
        <f>2*G3*0</f>
        <v>0</v>
      </c>
      <c r="G21" s="9">
        <v>1</v>
      </c>
      <c r="H21" s="9">
        <v>4</v>
      </c>
      <c r="I21" s="9">
        <f t="shared" si="4"/>
        <v>0</v>
      </c>
      <c r="J21" s="9">
        <f t="shared" si="0"/>
        <v>0</v>
      </c>
      <c r="K21" s="10">
        <f t="shared" si="5"/>
        <v>0</v>
      </c>
      <c r="L21" s="10">
        <f t="shared" si="6"/>
        <v>0</v>
      </c>
      <c r="M21" s="4">
        <f t="shared" si="8"/>
        <v>0</v>
      </c>
      <c r="N21" s="10">
        <f>50*F21</f>
        <v>0</v>
      </c>
      <c r="O21" s="10">
        <v>0</v>
      </c>
      <c r="P21" s="10">
        <f t="shared" si="7"/>
        <v>0</v>
      </c>
      <c r="Q21" s="10">
        <v>0</v>
      </c>
      <c r="R21" s="10">
        <f t="shared" si="1"/>
        <v>0</v>
      </c>
      <c r="S21" s="10">
        <f t="shared" si="2"/>
        <v>0</v>
      </c>
      <c r="T21" s="9"/>
      <c r="Y21" s="4"/>
    </row>
    <row r="22" spans="1:25" x14ac:dyDescent="0.2">
      <c r="A22" s="11">
        <f t="shared" si="3"/>
        <v>17</v>
      </c>
      <c r="B22" s="15" t="s">
        <v>40</v>
      </c>
      <c r="C22" s="16">
        <v>85</v>
      </c>
      <c r="D22" s="15">
        <f>F3-15</f>
        <v>85</v>
      </c>
      <c r="E22" s="15">
        <v>3</v>
      </c>
      <c r="F22" s="15">
        <f>4*G3*F21</f>
        <v>0</v>
      </c>
      <c r="G22" s="1">
        <v>1</v>
      </c>
      <c r="H22" s="1">
        <v>2</v>
      </c>
      <c r="I22" s="1">
        <f t="shared" si="4"/>
        <v>0</v>
      </c>
      <c r="J22" s="1">
        <f t="shared" si="0"/>
        <v>0</v>
      </c>
      <c r="K22" s="4">
        <f t="shared" si="5"/>
        <v>0</v>
      </c>
      <c r="L22" s="4">
        <f t="shared" si="6"/>
        <v>0</v>
      </c>
      <c r="M22" s="4">
        <f t="shared" si="8"/>
        <v>0</v>
      </c>
      <c r="N22" s="4">
        <v>0</v>
      </c>
      <c r="O22" s="4">
        <v>0</v>
      </c>
      <c r="P22" s="4">
        <f t="shared" si="7"/>
        <v>0</v>
      </c>
      <c r="Q22" s="4">
        <v>0</v>
      </c>
      <c r="R22" s="4">
        <f t="shared" si="1"/>
        <v>0</v>
      </c>
      <c r="S22" s="4">
        <f t="shared" si="2"/>
        <v>0</v>
      </c>
    </row>
    <row r="23" spans="1:25" x14ac:dyDescent="0.2">
      <c r="A23" s="11">
        <f t="shared" si="3"/>
        <v>18</v>
      </c>
      <c r="B23" s="15" t="s">
        <v>41</v>
      </c>
      <c r="C23" s="16">
        <f>F3+44</f>
        <v>144</v>
      </c>
      <c r="D23" s="16">
        <f>C3-120*2</f>
        <v>360</v>
      </c>
      <c r="E23" s="15">
        <v>2</v>
      </c>
      <c r="F23" s="15">
        <f>F21</f>
        <v>0</v>
      </c>
      <c r="G23" s="1">
        <v>1</v>
      </c>
      <c r="H23" s="1">
        <v>0</v>
      </c>
      <c r="I23" s="1">
        <f t="shared" si="4"/>
        <v>0</v>
      </c>
      <c r="J23" s="1">
        <f t="shared" si="0"/>
        <v>0</v>
      </c>
      <c r="K23" s="4">
        <f t="shared" si="5"/>
        <v>0</v>
      </c>
      <c r="L23" s="4">
        <f t="shared" si="6"/>
        <v>0</v>
      </c>
      <c r="M23" s="4">
        <f t="shared" si="8"/>
        <v>0</v>
      </c>
      <c r="N23" s="4">
        <v>0</v>
      </c>
      <c r="O23" s="4">
        <v>0</v>
      </c>
      <c r="P23" s="4">
        <f t="shared" si="7"/>
        <v>0</v>
      </c>
      <c r="Q23" s="4">
        <v>0</v>
      </c>
      <c r="R23" s="4">
        <f t="shared" si="1"/>
        <v>0</v>
      </c>
      <c r="S23" s="4">
        <f t="shared" si="2"/>
        <v>0</v>
      </c>
    </row>
    <row r="24" spans="1:25" x14ac:dyDescent="0.2">
      <c r="A24" s="11">
        <f t="shared" si="3"/>
        <v>19</v>
      </c>
      <c r="B24" s="17" t="s">
        <v>42</v>
      </c>
      <c r="C24" s="18">
        <f>F3+3</f>
        <v>103</v>
      </c>
      <c r="D24" s="18">
        <f>C3-209</f>
        <v>391</v>
      </c>
      <c r="E24" s="17">
        <v>1.6</v>
      </c>
      <c r="F24" s="17">
        <v>0</v>
      </c>
      <c r="G24" s="13"/>
      <c r="H24" s="13"/>
      <c r="I24" s="13">
        <f t="shared" si="4"/>
        <v>0</v>
      </c>
      <c r="J24" s="13">
        <f t="shared" si="0"/>
        <v>0</v>
      </c>
      <c r="K24" s="14">
        <f t="shared" si="5"/>
        <v>0</v>
      </c>
      <c r="L24" s="14">
        <f t="shared" si="6"/>
        <v>0</v>
      </c>
      <c r="M24" s="14">
        <f t="shared" si="8"/>
        <v>0</v>
      </c>
      <c r="N24" s="14">
        <v>0</v>
      </c>
      <c r="O24" s="14">
        <v>0</v>
      </c>
      <c r="P24" s="4">
        <f t="shared" si="7"/>
        <v>0</v>
      </c>
      <c r="Q24" s="14">
        <v>0</v>
      </c>
      <c r="R24" s="14">
        <f t="shared" si="1"/>
        <v>0</v>
      </c>
      <c r="S24" s="14">
        <f t="shared" si="2"/>
        <v>0</v>
      </c>
      <c r="T24" s="14">
        <f>SUM(S21:S24)</f>
        <v>0</v>
      </c>
      <c r="U24" s="4">
        <f>SUM(S21:S24)</f>
        <v>0</v>
      </c>
    </row>
    <row r="25" spans="1:25" x14ac:dyDescent="0.2">
      <c r="A25" s="11">
        <f t="shared" si="3"/>
        <v>20</v>
      </c>
      <c r="B25" s="9" t="s">
        <v>43</v>
      </c>
      <c r="C25" s="9">
        <f>C3+33</f>
        <v>633</v>
      </c>
      <c r="D25" s="9">
        <f>D3-16</f>
        <v>584</v>
      </c>
      <c r="E25" s="9">
        <v>1.6</v>
      </c>
      <c r="F25" s="9">
        <f>G$3*1</f>
        <v>1</v>
      </c>
      <c r="G25" s="9">
        <v>1</v>
      </c>
      <c r="H25" s="9">
        <v>4</v>
      </c>
      <c r="I25" s="9">
        <f t="shared" si="4"/>
        <v>4.7318015999999998</v>
      </c>
      <c r="J25" s="9">
        <f t="shared" si="0"/>
        <v>7.9553414399999998</v>
      </c>
      <c r="K25" s="10">
        <f t="shared" si="5"/>
        <v>354.88511999999997</v>
      </c>
      <c r="L25" s="10">
        <f t="shared" si="6"/>
        <v>35.488512</v>
      </c>
      <c r="M25" s="4">
        <f t="shared" si="8"/>
        <v>94.636032</v>
      </c>
      <c r="N25" s="10">
        <v>20</v>
      </c>
      <c r="O25" s="10">
        <v>0</v>
      </c>
      <c r="P25" s="10">
        <f t="shared" si="7"/>
        <v>103.41943872</v>
      </c>
      <c r="Q25" s="10">
        <v>0</v>
      </c>
      <c r="R25" s="10">
        <f t="shared" si="1"/>
        <v>608.42910271999995</v>
      </c>
      <c r="S25" s="10">
        <f t="shared" si="2"/>
        <v>811.23880362666659</v>
      </c>
      <c r="T25" s="9"/>
    </row>
    <row r="26" spans="1:25" x14ac:dyDescent="0.2">
      <c r="A26" s="11">
        <f t="shared" si="3"/>
        <v>21</v>
      </c>
      <c r="B26" s="1" t="s">
        <v>35</v>
      </c>
      <c r="F26" s="1">
        <f>((C3/1000*2)+(D3/1000*2))*F25</f>
        <v>2.4</v>
      </c>
      <c r="I26" s="1">
        <f t="shared" si="4"/>
        <v>0</v>
      </c>
      <c r="J26" s="1">
        <f t="shared" si="0"/>
        <v>0</v>
      </c>
      <c r="K26" s="4">
        <f t="shared" si="5"/>
        <v>0</v>
      </c>
      <c r="L26" s="4">
        <f t="shared" si="6"/>
        <v>0</v>
      </c>
      <c r="M26" s="4">
        <f t="shared" si="8"/>
        <v>0</v>
      </c>
      <c r="N26" s="4">
        <v>0</v>
      </c>
      <c r="O26" s="4">
        <v>0</v>
      </c>
      <c r="P26" s="4">
        <f t="shared" si="7"/>
        <v>0</v>
      </c>
      <c r="Q26" s="4">
        <f>12*F26</f>
        <v>28.799999999999997</v>
      </c>
      <c r="R26" s="4">
        <f t="shared" si="1"/>
        <v>28.799999999999997</v>
      </c>
      <c r="S26" s="4">
        <f t="shared" si="2"/>
        <v>38.4</v>
      </c>
    </row>
    <row r="27" spans="1:25" x14ac:dyDescent="0.2">
      <c r="A27" s="11">
        <f t="shared" si="3"/>
        <v>22</v>
      </c>
      <c r="B27" s="1" t="s">
        <v>44</v>
      </c>
      <c r="F27" s="1">
        <f>G$3*4</f>
        <v>4</v>
      </c>
      <c r="I27" s="1">
        <f t="shared" si="4"/>
        <v>0</v>
      </c>
      <c r="J27" s="1">
        <f t="shared" si="0"/>
        <v>0</v>
      </c>
      <c r="K27" s="4">
        <f t="shared" si="5"/>
        <v>0</v>
      </c>
      <c r="L27" s="4">
        <f t="shared" si="6"/>
        <v>0</v>
      </c>
      <c r="M27" s="4">
        <f t="shared" si="8"/>
        <v>0</v>
      </c>
      <c r="N27" s="4">
        <v>0</v>
      </c>
      <c r="O27" s="4">
        <v>0</v>
      </c>
      <c r="P27" s="4">
        <f t="shared" si="7"/>
        <v>0</v>
      </c>
      <c r="Q27" s="4">
        <f>30*F27</f>
        <v>120</v>
      </c>
      <c r="R27" s="4">
        <f t="shared" si="1"/>
        <v>120</v>
      </c>
      <c r="S27" s="4">
        <f t="shared" si="2"/>
        <v>160</v>
      </c>
    </row>
    <row r="28" spans="1:25" x14ac:dyDescent="0.2">
      <c r="A28" s="11">
        <f t="shared" si="3"/>
        <v>23</v>
      </c>
      <c r="B28" s="13" t="s">
        <v>38</v>
      </c>
      <c r="C28" s="13"/>
      <c r="D28" s="13"/>
      <c r="E28" s="13"/>
      <c r="F28" s="13"/>
      <c r="G28" s="13"/>
      <c r="H28" s="13"/>
      <c r="I28" s="13">
        <f t="shared" si="4"/>
        <v>0</v>
      </c>
      <c r="J28" s="13">
        <f t="shared" si="0"/>
        <v>0</v>
      </c>
      <c r="K28" s="14">
        <f t="shared" si="5"/>
        <v>0</v>
      </c>
      <c r="L28" s="14">
        <f t="shared" si="6"/>
        <v>0</v>
      </c>
      <c r="M28" s="14">
        <f t="shared" si="8"/>
        <v>0</v>
      </c>
      <c r="N28" s="14">
        <v>0</v>
      </c>
      <c r="O28" s="14">
        <v>0</v>
      </c>
      <c r="P28" s="4">
        <f t="shared" si="7"/>
        <v>0</v>
      </c>
      <c r="Q28" s="14">
        <v>0</v>
      </c>
      <c r="R28" s="14">
        <f t="shared" si="1"/>
        <v>0</v>
      </c>
      <c r="S28" s="14">
        <f t="shared" si="2"/>
        <v>0</v>
      </c>
      <c r="T28" s="14">
        <f>SUM(S25:S28)</f>
        <v>1009.6388036266666</v>
      </c>
    </row>
    <row r="29" spans="1:25" x14ac:dyDescent="0.2">
      <c r="A29" s="11">
        <f t="shared" si="3"/>
        <v>24</v>
      </c>
      <c r="B29" s="9" t="s">
        <v>45</v>
      </c>
      <c r="C29" s="9">
        <v>132</v>
      </c>
      <c r="D29" s="9">
        <f>C3</f>
        <v>600</v>
      </c>
      <c r="E29" s="9">
        <v>2</v>
      </c>
      <c r="F29" s="9">
        <v>0</v>
      </c>
      <c r="G29" s="9">
        <v>1</v>
      </c>
      <c r="H29" s="9">
        <v>4</v>
      </c>
      <c r="I29" s="9">
        <f t="shared" si="4"/>
        <v>0</v>
      </c>
      <c r="J29" s="9">
        <f t="shared" si="0"/>
        <v>0</v>
      </c>
      <c r="K29" s="10">
        <f t="shared" si="5"/>
        <v>0</v>
      </c>
      <c r="L29" s="10">
        <f t="shared" si="6"/>
        <v>0</v>
      </c>
      <c r="M29" s="4">
        <f t="shared" si="8"/>
        <v>0</v>
      </c>
      <c r="N29" s="10">
        <v>0</v>
      </c>
      <c r="O29" s="10">
        <v>0</v>
      </c>
      <c r="P29" s="10">
        <f t="shared" si="7"/>
        <v>0</v>
      </c>
      <c r="Q29" s="10">
        <v>0</v>
      </c>
      <c r="R29" s="10">
        <f t="shared" si="1"/>
        <v>0</v>
      </c>
      <c r="S29" s="10">
        <f t="shared" si="2"/>
        <v>0</v>
      </c>
      <c r="T29" s="9"/>
    </row>
    <row r="30" spans="1:25" x14ac:dyDescent="0.2">
      <c r="A30" s="11">
        <f t="shared" si="3"/>
        <v>25</v>
      </c>
      <c r="B30" s="1" t="s">
        <v>46</v>
      </c>
      <c r="C30" s="1">
        <f>(D8)/2+30</f>
        <v>281</v>
      </c>
      <c r="D30" s="1">
        <f>C3-177</f>
        <v>423</v>
      </c>
      <c r="E30" s="1">
        <v>2</v>
      </c>
      <c r="F30" s="4">
        <f>2*G3</f>
        <v>2</v>
      </c>
      <c r="G30" s="1">
        <v>1</v>
      </c>
      <c r="H30" s="1">
        <v>5</v>
      </c>
      <c r="I30" s="1">
        <f t="shared" si="4"/>
        <v>3.8036160000000003</v>
      </c>
      <c r="J30" s="1">
        <f t="shared" si="0"/>
        <v>5.1158635200000004</v>
      </c>
      <c r="K30" s="4">
        <f t="shared" si="5"/>
        <v>285.27120000000002</v>
      </c>
      <c r="L30" s="4">
        <f t="shared" si="6"/>
        <v>28.527120000000004</v>
      </c>
      <c r="M30" s="4">
        <f t="shared" si="8"/>
        <v>76.072320000000005</v>
      </c>
      <c r="N30" s="4">
        <v>0</v>
      </c>
      <c r="O30" s="4">
        <v>0</v>
      </c>
      <c r="P30" s="4">
        <f>J30*P$4</f>
        <v>66.506225760000007</v>
      </c>
      <c r="Q30" s="4">
        <v>0</v>
      </c>
      <c r="R30" s="4">
        <f t="shared" si="1"/>
        <v>456.37686576000004</v>
      </c>
      <c r="S30" s="4">
        <f t="shared" si="2"/>
        <v>608.50248768000006</v>
      </c>
      <c r="T30" s="4"/>
    </row>
    <row r="31" spans="1:25" x14ac:dyDescent="0.2">
      <c r="A31" s="11">
        <f t="shared" si="3"/>
        <v>26</v>
      </c>
      <c r="B31" s="1" t="s">
        <v>47</v>
      </c>
      <c r="C31" s="1">
        <v>25</v>
      </c>
      <c r="D31" s="1">
        <v>60</v>
      </c>
      <c r="E31" s="1">
        <v>3</v>
      </c>
      <c r="F31" s="1">
        <f>(F30+F29)*2</f>
        <v>4</v>
      </c>
      <c r="G31" s="1">
        <v>1</v>
      </c>
      <c r="H31" s="1">
        <v>2</v>
      </c>
      <c r="I31" s="1">
        <f t="shared" si="4"/>
        <v>0.14400000000000002</v>
      </c>
      <c r="J31" s="1">
        <f t="shared" si="0"/>
        <v>0.12912000000000001</v>
      </c>
      <c r="K31" s="4">
        <f t="shared" si="5"/>
        <v>10.8</v>
      </c>
      <c r="L31" s="4">
        <f t="shared" si="6"/>
        <v>1.08</v>
      </c>
      <c r="M31" s="4">
        <f t="shared" si="8"/>
        <v>2.8800000000000003</v>
      </c>
      <c r="N31" s="4">
        <v>0</v>
      </c>
      <c r="O31" s="4">
        <v>0</v>
      </c>
      <c r="P31" s="4">
        <f t="shared" si="7"/>
        <v>1.6785600000000001</v>
      </c>
      <c r="Q31" s="4">
        <v>0</v>
      </c>
      <c r="R31" s="4">
        <f t="shared" si="1"/>
        <v>16.438560000000003</v>
      </c>
      <c r="S31" s="4">
        <f t="shared" si="2"/>
        <v>21.918080000000003</v>
      </c>
    </row>
    <row r="32" spans="1:25" x14ac:dyDescent="0.2">
      <c r="A32" s="11">
        <f t="shared" si="3"/>
        <v>27</v>
      </c>
      <c r="B32" s="1" t="s">
        <v>38</v>
      </c>
      <c r="I32" s="1">
        <f t="shared" si="4"/>
        <v>0</v>
      </c>
      <c r="J32" s="1">
        <f t="shared" si="0"/>
        <v>0</v>
      </c>
      <c r="K32" s="4">
        <f t="shared" si="5"/>
        <v>0</v>
      </c>
      <c r="L32" s="4">
        <f t="shared" si="6"/>
        <v>0</v>
      </c>
      <c r="M32" s="4">
        <f t="shared" si="8"/>
        <v>0</v>
      </c>
      <c r="N32" s="4">
        <v>0</v>
      </c>
      <c r="O32" s="4">
        <v>0</v>
      </c>
      <c r="P32" s="4">
        <f t="shared" si="7"/>
        <v>0</v>
      </c>
      <c r="Q32" s="4">
        <v>0</v>
      </c>
      <c r="R32" s="4">
        <f t="shared" si="1"/>
        <v>0</v>
      </c>
      <c r="S32" s="4">
        <f t="shared" si="2"/>
        <v>0</v>
      </c>
    </row>
    <row r="33" spans="1:23" x14ac:dyDescent="0.2">
      <c r="A33" s="11">
        <f t="shared" si="3"/>
        <v>28</v>
      </c>
      <c r="B33" s="13" t="s">
        <v>35</v>
      </c>
      <c r="C33" s="13"/>
      <c r="D33" s="13"/>
      <c r="E33" s="13"/>
      <c r="F33" s="13">
        <f>((C3/1000*2)+(D3/1000*2))*G3</f>
        <v>2.4</v>
      </c>
      <c r="G33" s="13"/>
      <c r="H33" s="13"/>
      <c r="I33" s="13">
        <f t="shared" si="4"/>
        <v>0</v>
      </c>
      <c r="J33" s="13">
        <f t="shared" si="0"/>
        <v>0</v>
      </c>
      <c r="K33" s="14">
        <f t="shared" si="5"/>
        <v>0</v>
      </c>
      <c r="L33" s="14">
        <f t="shared" si="6"/>
        <v>0</v>
      </c>
      <c r="M33" s="14">
        <f t="shared" si="8"/>
        <v>0</v>
      </c>
      <c r="N33" s="14">
        <v>0</v>
      </c>
      <c r="O33" s="14">
        <v>0</v>
      </c>
      <c r="P33" s="4">
        <f t="shared" si="7"/>
        <v>0</v>
      </c>
      <c r="Q33" s="14">
        <f>12*F33</f>
        <v>28.799999999999997</v>
      </c>
      <c r="R33" s="14">
        <f t="shared" si="1"/>
        <v>28.799999999999997</v>
      </c>
      <c r="S33" s="14">
        <f t="shared" si="2"/>
        <v>38.4</v>
      </c>
      <c r="T33" s="14">
        <f>SUM(S29:S33)</f>
        <v>668.82056768000007</v>
      </c>
    </row>
    <row r="34" spans="1:23" x14ac:dyDescent="0.2">
      <c r="A34" s="11">
        <f t="shared" si="3"/>
        <v>29</v>
      </c>
      <c r="B34" s="9" t="s">
        <v>48</v>
      </c>
      <c r="C34" s="9">
        <f>C3+28</f>
        <v>628</v>
      </c>
      <c r="D34" s="9">
        <f>E3+25</f>
        <v>1725</v>
      </c>
      <c r="E34" s="9">
        <v>1.6</v>
      </c>
      <c r="F34" s="9">
        <v>1</v>
      </c>
      <c r="G34" s="9">
        <v>2</v>
      </c>
      <c r="H34" s="9">
        <v>4</v>
      </c>
      <c r="I34" s="9">
        <f t="shared" si="4"/>
        <v>13.866239999999999</v>
      </c>
      <c r="J34" s="9">
        <f t="shared" si="0"/>
        <v>23.312615999999998</v>
      </c>
      <c r="K34" s="10">
        <f t="shared" si="5"/>
        <v>1039.9679999999998</v>
      </c>
      <c r="L34" s="10">
        <f t="shared" si="6"/>
        <v>103.99679999999999</v>
      </c>
      <c r="M34" s="4">
        <f t="shared" si="8"/>
        <v>277.32479999999998</v>
      </c>
      <c r="N34" s="10">
        <f>20*F34</f>
        <v>20</v>
      </c>
      <c r="O34" s="10">
        <v>0</v>
      </c>
      <c r="P34" s="10">
        <f t="shared" si="7"/>
        <v>303.064008</v>
      </c>
      <c r="Q34" s="10">
        <v>0</v>
      </c>
      <c r="R34" s="10">
        <f t="shared" si="1"/>
        <v>1744.3536079999997</v>
      </c>
      <c r="S34" s="10">
        <f t="shared" si="2"/>
        <v>2325.8048106666661</v>
      </c>
      <c r="T34" s="9"/>
    </row>
    <row r="35" spans="1:23" x14ac:dyDescent="0.2">
      <c r="A35" s="11">
        <f t="shared" si="3"/>
        <v>30</v>
      </c>
      <c r="B35" s="1" t="s">
        <v>29</v>
      </c>
      <c r="C35" s="1">
        <v>100</v>
      </c>
      <c r="D35" s="1">
        <v>100</v>
      </c>
      <c r="E35" s="1">
        <v>3</v>
      </c>
      <c r="F35" s="1">
        <f>F34*8</f>
        <v>8</v>
      </c>
      <c r="G35" s="1">
        <v>1</v>
      </c>
      <c r="H35" s="1">
        <v>2</v>
      </c>
      <c r="I35" s="1">
        <f t="shared" si="4"/>
        <v>1.92</v>
      </c>
      <c r="J35" s="1">
        <f t="shared" si="0"/>
        <v>1.7216</v>
      </c>
      <c r="K35" s="4">
        <f t="shared" si="5"/>
        <v>144</v>
      </c>
      <c r="L35" s="4">
        <f t="shared" si="6"/>
        <v>14.4</v>
      </c>
      <c r="M35" s="4">
        <f t="shared" si="8"/>
        <v>38.4</v>
      </c>
      <c r="N35" s="4">
        <v>0</v>
      </c>
      <c r="O35" s="4">
        <v>0</v>
      </c>
      <c r="P35" s="4">
        <f t="shared" si="7"/>
        <v>22.380800000000001</v>
      </c>
      <c r="Q35" s="4">
        <v>0</v>
      </c>
      <c r="R35" s="4">
        <f t="shared" si="1"/>
        <v>219.1808</v>
      </c>
      <c r="S35" s="4">
        <f t="shared" si="2"/>
        <v>292.24106666666665</v>
      </c>
    </row>
    <row r="36" spans="1:23" x14ac:dyDescent="0.2">
      <c r="A36" s="11">
        <f t="shared" si="3"/>
        <v>31</v>
      </c>
      <c r="B36" s="1" t="s">
        <v>35</v>
      </c>
      <c r="F36" s="1">
        <f>((C3*2/1000)+(E3*2/1000))*F34</f>
        <v>4.5999999999999996</v>
      </c>
      <c r="I36" s="1">
        <f t="shared" si="4"/>
        <v>0</v>
      </c>
      <c r="J36" s="1">
        <f t="shared" si="0"/>
        <v>0</v>
      </c>
      <c r="K36" s="4">
        <f t="shared" si="5"/>
        <v>0</v>
      </c>
      <c r="L36" s="4">
        <f t="shared" si="6"/>
        <v>0</v>
      </c>
      <c r="M36" s="4">
        <f t="shared" si="8"/>
        <v>0</v>
      </c>
      <c r="N36" s="4">
        <v>0</v>
      </c>
      <c r="O36" s="4">
        <v>0</v>
      </c>
      <c r="P36" s="4">
        <f t="shared" si="7"/>
        <v>0</v>
      </c>
      <c r="Q36" s="4">
        <f>35*F36</f>
        <v>161</v>
      </c>
      <c r="R36" s="4">
        <f t="shared" si="1"/>
        <v>161</v>
      </c>
      <c r="S36" s="4">
        <f t="shared" si="2"/>
        <v>214.66666666666666</v>
      </c>
    </row>
    <row r="37" spans="1:23" x14ac:dyDescent="0.2">
      <c r="A37" s="11">
        <f t="shared" si="3"/>
        <v>32</v>
      </c>
      <c r="B37" s="1" t="s">
        <v>38</v>
      </c>
      <c r="I37" s="1">
        <f t="shared" si="4"/>
        <v>0</v>
      </c>
      <c r="J37" s="1">
        <f t="shared" si="0"/>
        <v>0</v>
      </c>
      <c r="K37" s="4">
        <f t="shared" si="5"/>
        <v>0</v>
      </c>
      <c r="L37" s="4">
        <f t="shared" si="6"/>
        <v>0</v>
      </c>
      <c r="M37" s="4">
        <f t="shared" si="8"/>
        <v>0</v>
      </c>
      <c r="N37" s="4">
        <v>0</v>
      </c>
      <c r="O37" s="4">
        <v>0</v>
      </c>
      <c r="P37" s="4">
        <f t="shared" si="7"/>
        <v>0</v>
      </c>
      <c r="Q37" s="4">
        <v>0</v>
      </c>
      <c r="R37" s="4">
        <f t="shared" si="1"/>
        <v>0</v>
      </c>
      <c r="S37" s="4">
        <f t="shared" si="2"/>
        <v>0</v>
      </c>
    </row>
    <row r="38" spans="1:23" x14ac:dyDescent="0.2">
      <c r="A38" s="11">
        <f t="shared" si="3"/>
        <v>33</v>
      </c>
      <c r="B38" s="13" t="s">
        <v>49</v>
      </c>
      <c r="C38" s="13">
        <v>57</v>
      </c>
      <c r="D38" s="13">
        <v>57</v>
      </c>
      <c r="E38" s="13">
        <v>1.6</v>
      </c>
      <c r="F38" s="13">
        <f>F34*2</f>
        <v>2</v>
      </c>
      <c r="G38" s="13">
        <v>1</v>
      </c>
      <c r="H38" s="13">
        <v>2</v>
      </c>
      <c r="I38" s="13">
        <f t="shared" si="4"/>
        <v>8.3174400000000009E-2</v>
      </c>
      <c r="J38" s="13">
        <f t="shared" si="0"/>
        <v>0.13983696000000001</v>
      </c>
      <c r="K38" s="14">
        <f t="shared" si="5"/>
        <v>6.238080000000001</v>
      </c>
      <c r="L38" s="14">
        <f t="shared" si="6"/>
        <v>0.62380800000000014</v>
      </c>
      <c r="M38" s="14">
        <f t="shared" si="8"/>
        <v>1.6634880000000001</v>
      </c>
      <c r="N38" s="14">
        <v>0</v>
      </c>
      <c r="O38" s="14">
        <v>0</v>
      </c>
      <c r="P38" s="4">
        <f t="shared" si="7"/>
        <v>1.8178804800000001</v>
      </c>
      <c r="Q38" s="14">
        <v>0</v>
      </c>
      <c r="R38" s="14">
        <f t="shared" si="1"/>
        <v>10.343256480000001</v>
      </c>
      <c r="S38" s="14">
        <f t="shared" si="2"/>
        <v>13.791008640000001</v>
      </c>
      <c r="T38" s="14">
        <f>SUM(S34:S38)</f>
        <v>2846.5035526399993</v>
      </c>
    </row>
    <row r="39" spans="1:23" x14ac:dyDescent="0.2">
      <c r="A39" s="11">
        <f t="shared" si="3"/>
        <v>34</v>
      </c>
      <c r="B39" s="9" t="s">
        <v>50</v>
      </c>
      <c r="C39" s="9">
        <f>D3-16</f>
        <v>584</v>
      </c>
      <c r="D39" s="9">
        <f>E3+5.5</f>
        <v>1705.5</v>
      </c>
      <c r="E39" s="9">
        <v>1.6</v>
      </c>
      <c r="F39" s="9">
        <v>2</v>
      </c>
      <c r="G39" s="9">
        <v>2</v>
      </c>
      <c r="H39" s="9">
        <v>4</v>
      </c>
      <c r="I39" s="9">
        <f>C39/1000*D39/1000*E39*F39*8</f>
        <v>25.4979072</v>
      </c>
      <c r="J39" s="9">
        <f t="shared" si="0"/>
        <v>42.868356479999996</v>
      </c>
      <c r="K39" s="10">
        <f t="shared" si="5"/>
        <v>1912.34304</v>
      </c>
      <c r="L39" s="10">
        <f t="shared" si="6"/>
        <v>191.23430400000001</v>
      </c>
      <c r="M39" s="4">
        <f t="shared" si="8"/>
        <v>509.958144</v>
      </c>
      <c r="N39" s="10">
        <f>10*F39</f>
        <v>20</v>
      </c>
      <c r="O39" s="10">
        <v>0</v>
      </c>
      <c r="P39" s="10">
        <f t="shared" si="7"/>
        <v>557.28863423999996</v>
      </c>
      <c r="Q39" s="10">
        <v>0</v>
      </c>
      <c r="R39" s="10">
        <f t="shared" si="1"/>
        <v>3190.8241222400002</v>
      </c>
      <c r="S39" s="10">
        <f t="shared" si="2"/>
        <v>4254.4321629866672</v>
      </c>
      <c r="T39" s="10"/>
    </row>
    <row r="40" spans="1:23" x14ac:dyDescent="0.2">
      <c r="A40" s="11">
        <f t="shared" si="3"/>
        <v>35</v>
      </c>
      <c r="B40" s="1" t="s">
        <v>51</v>
      </c>
      <c r="C40" s="1">
        <v>75</v>
      </c>
      <c r="D40" s="1">
        <v>40</v>
      </c>
      <c r="E40" s="1">
        <v>2</v>
      </c>
      <c r="F40" s="1">
        <f>8*F39</f>
        <v>16</v>
      </c>
      <c r="G40" s="1">
        <v>0.5</v>
      </c>
      <c r="H40" s="1">
        <v>1</v>
      </c>
      <c r="I40" s="1">
        <f t="shared" si="4"/>
        <v>0.76800000000000002</v>
      </c>
      <c r="J40" s="1">
        <f t="shared" si="0"/>
        <v>1.0329600000000001</v>
      </c>
      <c r="K40" s="4">
        <f t="shared" si="5"/>
        <v>57.6</v>
      </c>
      <c r="L40" s="4">
        <f t="shared" si="6"/>
        <v>5.7600000000000007</v>
      </c>
      <c r="M40" s="4">
        <f t="shared" si="8"/>
        <v>15.36</v>
      </c>
      <c r="N40" s="4">
        <v>0</v>
      </c>
      <c r="O40" s="4">
        <v>0</v>
      </c>
      <c r="P40" s="4">
        <f t="shared" si="7"/>
        <v>13.42848</v>
      </c>
      <c r="Q40" s="4">
        <v>0</v>
      </c>
      <c r="R40" s="4">
        <f t="shared" si="1"/>
        <v>92.148480000000006</v>
      </c>
      <c r="S40" s="4">
        <f t="shared" si="2"/>
        <v>122.86464000000001</v>
      </c>
    </row>
    <row r="41" spans="1:23" x14ac:dyDescent="0.2">
      <c r="A41" s="11">
        <f t="shared" si="3"/>
        <v>36</v>
      </c>
      <c r="B41" s="1" t="s">
        <v>35</v>
      </c>
      <c r="F41" s="1">
        <f>((D3*2/1000)+(E3*2/1000))*F39</f>
        <v>9.1999999999999993</v>
      </c>
      <c r="I41" s="1">
        <f t="shared" si="4"/>
        <v>0</v>
      </c>
      <c r="J41" s="1">
        <f t="shared" si="0"/>
        <v>0</v>
      </c>
      <c r="K41" s="4">
        <f t="shared" si="5"/>
        <v>0</v>
      </c>
      <c r="L41" s="4">
        <f t="shared" si="6"/>
        <v>0</v>
      </c>
      <c r="M41" s="4">
        <f t="shared" si="8"/>
        <v>0</v>
      </c>
      <c r="N41" s="4">
        <v>0</v>
      </c>
      <c r="O41" s="4">
        <v>0</v>
      </c>
      <c r="P41" s="4">
        <f t="shared" si="7"/>
        <v>0</v>
      </c>
      <c r="Q41" s="4">
        <f>12*F41</f>
        <v>110.39999999999999</v>
      </c>
      <c r="R41" s="4">
        <f t="shared" si="1"/>
        <v>110.39999999999999</v>
      </c>
      <c r="S41" s="4">
        <f t="shared" si="2"/>
        <v>147.19999999999999</v>
      </c>
    </row>
    <row r="42" spans="1:23" x14ac:dyDescent="0.2">
      <c r="A42" s="11">
        <f t="shared" si="3"/>
        <v>37</v>
      </c>
      <c r="B42" s="13" t="s">
        <v>38</v>
      </c>
      <c r="C42" s="13"/>
      <c r="D42" s="13"/>
      <c r="E42" s="13"/>
      <c r="F42" s="13"/>
      <c r="G42" s="13"/>
      <c r="H42" s="13"/>
      <c r="I42" s="13">
        <f t="shared" si="4"/>
        <v>0</v>
      </c>
      <c r="J42" s="13">
        <f t="shared" si="0"/>
        <v>0</v>
      </c>
      <c r="K42" s="14">
        <f t="shared" si="5"/>
        <v>0</v>
      </c>
      <c r="L42" s="14">
        <f t="shared" si="6"/>
        <v>0</v>
      </c>
      <c r="M42" s="14">
        <f t="shared" si="8"/>
        <v>0</v>
      </c>
      <c r="N42" s="14">
        <v>0</v>
      </c>
      <c r="O42" s="14">
        <v>0</v>
      </c>
      <c r="P42" s="4">
        <f t="shared" si="7"/>
        <v>0</v>
      </c>
      <c r="Q42" s="14">
        <v>0</v>
      </c>
      <c r="R42" s="14">
        <f t="shared" si="1"/>
        <v>0</v>
      </c>
      <c r="S42" s="14">
        <f t="shared" si="2"/>
        <v>0</v>
      </c>
      <c r="T42" s="14">
        <f>SUM(S39:S42)</f>
        <v>4524.4968029866668</v>
      </c>
    </row>
    <row r="43" spans="1:23" x14ac:dyDescent="0.2">
      <c r="A43" s="11">
        <f t="shared" si="3"/>
        <v>38</v>
      </c>
      <c r="B43" s="9" t="s">
        <v>52</v>
      </c>
      <c r="C43" s="9">
        <f>C3</f>
        <v>600</v>
      </c>
      <c r="D43" s="9">
        <v>600</v>
      </c>
      <c r="E43" s="9">
        <v>2</v>
      </c>
      <c r="F43" s="9">
        <v>2</v>
      </c>
      <c r="G43" s="9">
        <v>2</v>
      </c>
      <c r="H43" s="9">
        <v>6</v>
      </c>
      <c r="I43" s="9">
        <f t="shared" si="4"/>
        <v>11.52</v>
      </c>
      <c r="J43" s="9">
        <f t="shared" si="0"/>
        <v>15.494399999999999</v>
      </c>
      <c r="K43" s="10">
        <f t="shared" si="5"/>
        <v>864</v>
      </c>
      <c r="L43" s="10">
        <f t="shared" si="6"/>
        <v>86.4</v>
      </c>
      <c r="M43" s="4">
        <f t="shared" si="8"/>
        <v>230.39999999999998</v>
      </c>
      <c r="N43" s="10">
        <v>0</v>
      </c>
      <c r="O43" s="10">
        <v>0</v>
      </c>
      <c r="P43" s="10">
        <f t="shared" si="7"/>
        <v>201.42719999999997</v>
      </c>
      <c r="Q43" s="10">
        <v>0</v>
      </c>
      <c r="R43" s="10">
        <f t="shared" si="1"/>
        <v>1382.2271999999998</v>
      </c>
      <c r="S43" s="10">
        <f t="shared" si="2"/>
        <v>1842.9695999999997</v>
      </c>
      <c r="T43" s="9"/>
    </row>
    <row r="44" spans="1:23" x14ac:dyDescent="0.2">
      <c r="A44" s="11">
        <f t="shared" si="3"/>
        <v>39</v>
      </c>
      <c r="B44" s="1" t="s">
        <v>53</v>
      </c>
      <c r="C44" s="1">
        <v>37</v>
      </c>
      <c r="D44" s="1">
        <f>D3-103</f>
        <v>497</v>
      </c>
      <c r="E44" s="1">
        <v>2</v>
      </c>
      <c r="F44" s="1">
        <f>6*G3</f>
        <v>6</v>
      </c>
      <c r="G44" s="1">
        <v>2</v>
      </c>
      <c r="H44" s="1">
        <v>2</v>
      </c>
      <c r="I44" s="1">
        <f t="shared" si="4"/>
        <v>1.7653439999999998</v>
      </c>
      <c r="J44" s="1">
        <f t="shared" si="0"/>
        <v>2.3743876799999999</v>
      </c>
      <c r="K44" s="4">
        <f t="shared" si="5"/>
        <v>132.40079999999998</v>
      </c>
      <c r="L44" s="4">
        <f t="shared" si="6"/>
        <v>13.240079999999999</v>
      </c>
      <c r="M44" s="4">
        <f t="shared" si="8"/>
        <v>35.306879999999992</v>
      </c>
      <c r="N44" s="4">
        <v>0</v>
      </c>
      <c r="O44" s="4">
        <f>D44/25*F44*0.2</f>
        <v>23.856000000000002</v>
      </c>
      <c r="P44" s="4">
        <f t="shared" si="7"/>
        <v>30.867039839999997</v>
      </c>
      <c r="Q44" s="4">
        <v>0</v>
      </c>
      <c r="R44" s="4">
        <f t="shared" si="1"/>
        <v>235.67079983999994</v>
      </c>
      <c r="S44" s="4">
        <f t="shared" si="2"/>
        <v>314.22773311999993</v>
      </c>
    </row>
    <row r="45" spans="1:23" x14ac:dyDescent="0.2">
      <c r="A45" s="11">
        <f t="shared" si="3"/>
        <v>40</v>
      </c>
      <c r="B45" s="1" t="s">
        <v>54</v>
      </c>
      <c r="C45" s="1">
        <v>100</v>
      </c>
      <c r="D45" s="1">
        <v>100</v>
      </c>
      <c r="E45" s="1">
        <v>3</v>
      </c>
      <c r="F45" s="1">
        <f>F43*4</f>
        <v>8</v>
      </c>
      <c r="G45" s="1">
        <v>1</v>
      </c>
      <c r="H45" s="1">
        <v>1</v>
      </c>
      <c r="I45" s="1">
        <f t="shared" si="4"/>
        <v>1.92</v>
      </c>
      <c r="J45" s="1">
        <f t="shared" si="0"/>
        <v>1.7216</v>
      </c>
      <c r="K45" s="4">
        <f t="shared" si="5"/>
        <v>144</v>
      </c>
      <c r="L45" s="4">
        <f t="shared" si="6"/>
        <v>14.4</v>
      </c>
      <c r="M45" s="4">
        <f t="shared" si="8"/>
        <v>38.4</v>
      </c>
      <c r="N45" s="4">
        <v>0</v>
      </c>
      <c r="O45" s="4">
        <v>0</v>
      </c>
      <c r="P45" s="4">
        <f t="shared" si="7"/>
        <v>22.380800000000001</v>
      </c>
      <c r="Q45" s="4">
        <v>0</v>
      </c>
      <c r="R45" s="4">
        <f t="shared" si="1"/>
        <v>219.1808</v>
      </c>
      <c r="S45" s="4">
        <f t="shared" si="2"/>
        <v>292.24106666666665</v>
      </c>
    </row>
    <row r="46" spans="1:23" x14ac:dyDescent="0.2">
      <c r="A46" s="11">
        <f t="shared" si="3"/>
        <v>41</v>
      </c>
      <c r="B46" s="13" t="s">
        <v>38</v>
      </c>
      <c r="C46" s="13"/>
      <c r="D46" s="13"/>
      <c r="E46" s="13"/>
      <c r="F46" s="13"/>
      <c r="G46" s="13"/>
      <c r="H46" s="13"/>
      <c r="I46" s="13">
        <f t="shared" si="4"/>
        <v>0</v>
      </c>
      <c r="J46" s="13">
        <f t="shared" si="0"/>
        <v>0</v>
      </c>
      <c r="K46" s="14">
        <f t="shared" si="5"/>
        <v>0</v>
      </c>
      <c r="L46" s="14">
        <f t="shared" si="6"/>
        <v>0</v>
      </c>
      <c r="M46" s="14">
        <f t="shared" si="8"/>
        <v>0</v>
      </c>
      <c r="N46" s="14">
        <v>0</v>
      </c>
      <c r="O46" s="14">
        <v>0</v>
      </c>
      <c r="P46" s="4">
        <f t="shared" si="7"/>
        <v>0</v>
      </c>
      <c r="Q46" s="14">
        <v>0</v>
      </c>
      <c r="R46" s="14">
        <f t="shared" si="1"/>
        <v>0</v>
      </c>
      <c r="S46" s="14">
        <f t="shared" si="2"/>
        <v>0</v>
      </c>
      <c r="T46" s="14">
        <f>SUM(S43:S46)</f>
        <v>2449.4383997866662</v>
      </c>
      <c r="W46" s="5"/>
    </row>
    <row r="47" spans="1:23" x14ac:dyDescent="0.2">
      <c r="A47" s="11">
        <f t="shared" si="3"/>
        <v>42</v>
      </c>
      <c r="B47" s="1" t="s">
        <v>55</v>
      </c>
      <c r="C47" s="1">
        <f>C3</f>
        <v>600</v>
      </c>
      <c r="D47" s="1">
        <f>D3-150</f>
        <v>450</v>
      </c>
      <c r="E47" s="1">
        <v>1.2</v>
      </c>
      <c r="F47" s="1">
        <v>0</v>
      </c>
      <c r="G47" s="1">
        <v>4</v>
      </c>
      <c r="H47" s="1">
        <v>4</v>
      </c>
      <c r="I47" s="9">
        <f t="shared" si="4"/>
        <v>0</v>
      </c>
      <c r="J47" s="9">
        <f t="shared" si="0"/>
        <v>0</v>
      </c>
      <c r="K47" s="10">
        <f t="shared" si="5"/>
        <v>0</v>
      </c>
      <c r="L47" s="10">
        <f t="shared" si="6"/>
        <v>0</v>
      </c>
      <c r="M47" s="4">
        <f t="shared" si="8"/>
        <v>0</v>
      </c>
      <c r="N47" s="10">
        <f>100*F47</f>
        <v>0</v>
      </c>
      <c r="O47" s="10">
        <v>0</v>
      </c>
      <c r="P47" s="10">
        <f t="shared" si="7"/>
        <v>0</v>
      </c>
      <c r="Q47" s="10">
        <v>0</v>
      </c>
      <c r="R47" s="10">
        <f t="shared" si="1"/>
        <v>0</v>
      </c>
      <c r="S47" s="10">
        <f t="shared" si="2"/>
        <v>0</v>
      </c>
      <c r="T47" s="9"/>
    </row>
    <row r="48" spans="1:23" x14ac:dyDescent="0.2">
      <c r="A48" s="11">
        <f t="shared" si="3"/>
        <v>43</v>
      </c>
      <c r="B48" s="13" t="s">
        <v>56</v>
      </c>
      <c r="C48" s="13">
        <f>30+30+100</f>
        <v>160</v>
      </c>
      <c r="D48" s="13">
        <f>(C3+(D3-150))/2</f>
        <v>525</v>
      </c>
      <c r="E48" s="13">
        <v>1.6</v>
      </c>
      <c r="F48" s="13">
        <v>0</v>
      </c>
      <c r="G48" s="13">
        <v>2</v>
      </c>
      <c r="H48" s="13">
        <v>2</v>
      </c>
      <c r="I48" s="13">
        <f t="shared" si="4"/>
        <v>0</v>
      </c>
      <c r="J48" s="13">
        <f t="shared" si="0"/>
        <v>0</v>
      </c>
      <c r="K48" s="14">
        <f t="shared" si="5"/>
        <v>0</v>
      </c>
      <c r="L48" s="14">
        <f t="shared" si="6"/>
        <v>0</v>
      </c>
      <c r="M48" s="14">
        <f t="shared" si="8"/>
        <v>0</v>
      </c>
      <c r="N48" s="14">
        <v>0</v>
      </c>
      <c r="O48" s="14">
        <v>0</v>
      </c>
      <c r="P48" s="14">
        <f t="shared" si="7"/>
        <v>0</v>
      </c>
      <c r="Q48" s="14">
        <v>0</v>
      </c>
      <c r="R48" s="14">
        <f t="shared" si="1"/>
        <v>0</v>
      </c>
      <c r="S48" s="14">
        <f t="shared" si="2"/>
        <v>0</v>
      </c>
      <c r="T48" s="14">
        <f>SUM(S47:S48)</f>
        <v>0</v>
      </c>
    </row>
    <row r="49" spans="1:22" x14ac:dyDescent="0.2">
      <c r="A49" s="11">
        <f t="shared" si="3"/>
        <v>44</v>
      </c>
      <c r="B49" s="1" t="s">
        <v>57</v>
      </c>
      <c r="C49" s="1">
        <v>700</v>
      </c>
      <c r="D49" s="1">
        <v>800</v>
      </c>
      <c r="E49" s="1">
        <v>2</v>
      </c>
      <c r="F49" s="1">
        <v>0</v>
      </c>
      <c r="G49" s="1">
        <v>4</v>
      </c>
      <c r="H49" s="1">
        <v>2</v>
      </c>
      <c r="I49" s="1">
        <f t="shared" si="4"/>
        <v>0</v>
      </c>
      <c r="J49" s="1">
        <f t="shared" si="0"/>
        <v>0</v>
      </c>
      <c r="K49" s="4">
        <f t="shared" si="5"/>
        <v>0</v>
      </c>
      <c r="L49" s="4">
        <f t="shared" si="6"/>
        <v>0</v>
      </c>
      <c r="M49" s="4">
        <f t="shared" si="8"/>
        <v>0</v>
      </c>
      <c r="N49" s="4">
        <v>0</v>
      </c>
      <c r="O49" s="4">
        <v>0</v>
      </c>
      <c r="P49" s="4">
        <f t="shared" si="7"/>
        <v>0</v>
      </c>
      <c r="Q49" s="4">
        <v>0</v>
      </c>
      <c r="R49" s="4">
        <f t="shared" si="1"/>
        <v>0</v>
      </c>
      <c r="S49" s="4">
        <f t="shared" si="2"/>
        <v>0</v>
      </c>
    </row>
    <row r="50" spans="1:22" x14ac:dyDescent="0.2">
      <c r="A50" s="11">
        <f t="shared" si="3"/>
        <v>45</v>
      </c>
      <c r="B50" s="1" t="s">
        <v>58</v>
      </c>
      <c r="C50" s="1">
        <f>C3</f>
        <v>600</v>
      </c>
      <c r="D50" s="1">
        <v>600</v>
      </c>
      <c r="E50" s="1">
        <v>2</v>
      </c>
      <c r="F50" s="1">
        <v>1</v>
      </c>
      <c r="I50" s="1">
        <f t="shared" si="4"/>
        <v>5.76</v>
      </c>
      <c r="J50" s="1">
        <f t="shared" si="0"/>
        <v>7.7471999999999994</v>
      </c>
      <c r="K50" s="4">
        <f t="shared" si="5"/>
        <v>432</v>
      </c>
      <c r="L50" s="4">
        <f t="shared" si="6"/>
        <v>43.2</v>
      </c>
      <c r="M50" s="4">
        <f t="shared" si="8"/>
        <v>115.19999999999999</v>
      </c>
      <c r="N50" s="4">
        <v>0</v>
      </c>
      <c r="O50" s="4">
        <v>0</v>
      </c>
      <c r="P50" s="4">
        <f t="shared" si="7"/>
        <v>100.71359999999999</v>
      </c>
      <c r="Q50" s="4">
        <v>0</v>
      </c>
      <c r="R50" s="4">
        <f t="shared" si="1"/>
        <v>691.11359999999991</v>
      </c>
      <c r="S50" s="4">
        <f t="shared" si="2"/>
        <v>921.48479999999984</v>
      </c>
    </row>
    <row r="51" spans="1:22" x14ac:dyDescent="0.2">
      <c r="A51" s="11">
        <f t="shared" si="3"/>
        <v>46</v>
      </c>
      <c r="B51" s="1" t="s">
        <v>59</v>
      </c>
      <c r="F51" s="1">
        <v>1</v>
      </c>
      <c r="I51" s="1">
        <f t="shared" si="4"/>
        <v>0</v>
      </c>
      <c r="J51" s="1">
        <f t="shared" si="0"/>
        <v>0</v>
      </c>
      <c r="K51" s="4">
        <f t="shared" si="5"/>
        <v>0</v>
      </c>
      <c r="L51" s="4">
        <f t="shared" si="6"/>
        <v>0</v>
      </c>
      <c r="M51" s="4">
        <f t="shared" si="8"/>
        <v>0</v>
      </c>
      <c r="N51" s="4">
        <v>0</v>
      </c>
      <c r="O51" s="4">
        <v>0</v>
      </c>
      <c r="P51" s="4">
        <f t="shared" si="7"/>
        <v>0</v>
      </c>
      <c r="Q51" s="4">
        <f>F51*350</f>
        <v>350</v>
      </c>
      <c r="R51" s="4">
        <f t="shared" si="1"/>
        <v>350</v>
      </c>
      <c r="S51" s="4">
        <f t="shared" si="2"/>
        <v>466.66666666666669</v>
      </c>
    </row>
    <row r="52" spans="1:22" x14ac:dyDescent="0.2">
      <c r="A52" s="11">
        <f t="shared" si="3"/>
        <v>47</v>
      </c>
      <c r="B52" s="1" t="s">
        <v>60</v>
      </c>
      <c r="F52" s="1">
        <v>2</v>
      </c>
      <c r="I52" s="1">
        <f t="shared" si="4"/>
        <v>0</v>
      </c>
      <c r="J52" s="1">
        <f t="shared" si="0"/>
        <v>0</v>
      </c>
      <c r="K52" s="4">
        <f t="shared" si="5"/>
        <v>0</v>
      </c>
      <c r="L52" s="4">
        <f t="shared" si="6"/>
        <v>0</v>
      </c>
      <c r="M52" s="4">
        <f t="shared" si="8"/>
        <v>0</v>
      </c>
      <c r="N52" s="4">
        <v>0</v>
      </c>
      <c r="O52" s="4">
        <v>0</v>
      </c>
      <c r="P52" s="4">
        <f t="shared" si="7"/>
        <v>0</v>
      </c>
      <c r="Q52" s="4">
        <f>F52*150</f>
        <v>300</v>
      </c>
      <c r="R52" s="4">
        <f t="shared" si="1"/>
        <v>300</v>
      </c>
      <c r="S52" s="4">
        <f t="shared" si="2"/>
        <v>400</v>
      </c>
    </row>
    <row r="53" spans="1:22" x14ac:dyDescent="0.2">
      <c r="A53" s="11">
        <f t="shared" si="3"/>
        <v>48</v>
      </c>
      <c r="B53" s="1" t="s">
        <v>61</v>
      </c>
      <c r="F53" s="1">
        <f>G3*2</f>
        <v>2</v>
      </c>
      <c r="I53" s="1">
        <f t="shared" si="4"/>
        <v>0</v>
      </c>
      <c r="J53" s="1">
        <f t="shared" si="0"/>
        <v>0</v>
      </c>
      <c r="K53" s="4">
        <f t="shared" si="5"/>
        <v>0</v>
      </c>
      <c r="L53" s="4">
        <f t="shared" si="6"/>
        <v>0</v>
      </c>
      <c r="M53" s="4">
        <f t="shared" si="8"/>
        <v>0</v>
      </c>
      <c r="N53" s="4">
        <v>0</v>
      </c>
      <c r="O53" s="4">
        <f>F53*2*25</f>
        <v>100</v>
      </c>
      <c r="P53" s="4">
        <f t="shared" si="7"/>
        <v>0</v>
      </c>
      <c r="Q53" s="4">
        <f>F53*550</f>
        <v>1100</v>
      </c>
      <c r="R53" s="4">
        <f t="shared" si="1"/>
        <v>1200</v>
      </c>
      <c r="S53" s="4">
        <f t="shared" si="2"/>
        <v>1600</v>
      </c>
    </row>
    <row r="54" spans="1:22" x14ac:dyDescent="0.2">
      <c r="A54" s="11">
        <f t="shared" si="3"/>
        <v>49</v>
      </c>
      <c r="B54" s="1" t="s">
        <v>62</v>
      </c>
      <c r="F54" s="1">
        <f>G3*2</f>
        <v>2</v>
      </c>
      <c r="I54" s="1">
        <f t="shared" si="4"/>
        <v>0</v>
      </c>
      <c r="J54" s="1">
        <f t="shared" si="0"/>
        <v>0</v>
      </c>
      <c r="K54" s="4">
        <f t="shared" si="5"/>
        <v>0</v>
      </c>
      <c r="L54" s="4">
        <f t="shared" si="6"/>
        <v>0</v>
      </c>
      <c r="M54" s="4">
        <f t="shared" si="8"/>
        <v>0</v>
      </c>
      <c r="N54" s="4">
        <v>0</v>
      </c>
      <c r="O54" s="4">
        <v>0</v>
      </c>
      <c r="P54" s="4">
        <f t="shared" si="7"/>
        <v>0</v>
      </c>
      <c r="Q54" s="4">
        <f>F54*250</f>
        <v>500</v>
      </c>
      <c r="R54" s="4">
        <f t="shared" si="1"/>
        <v>500</v>
      </c>
      <c r="S54" s="4">
        <f t="shared" si="2"/>
        <v>666.66666666666663</v>
      </c>
    </row>
    <row r="55" spans="1:22" x14ac:dyDescent="0.2">
      <c r="A55" s="11">
        <f t="shared" si="3"/>
        <v>50</v>
      </c>
      <c r="B55" s="1" t="s">
        <v>63</v>
      </c>
      <c r="F55" s="1">
        <f>G3*4</f>
        <v>4</v>
      </c>
      <c r="I55" s="1">
        <f t="shared" si="4"/>
        <v>0</v>
      </c>
      <c r="J55" s="1">
        <f t="shared" si="0"/>
        <v>0</v>
      </c>
      <c r="K55" s="4">
        <f t="shared" si="5"/>
        <v>0</v>
      </c>
      <c r="L55" s="4">
        <f t="shared" si="6"/>
        <v>0</v>
      </c>
      <c r="M55" s="4">
        <f t="shared" si="8"/>
        <v>0</v>
      </c>
      <c r="N55" s="4"/>
      <c r="O55" s="4"/>
      <c r="P55" s="4">
        <f t="shared" si="7"/>
        <v>0</v>
      </c>
      <c r="Q55" s="4">
        <f>F55*400</f>
        <v>1600</v>
      </c>
      <c r="R55" s="4">
        <f t="shared" si="1"/>
        <v>1600</v>
      </c>
      <c r="S55" s="4">
        <f t="shared" si="2"/>
        <v>2133.3333333333335</v>
      </c>
    </row>
    <row r="56" spans="1:22" x14ac:dyDescent="0.2">
      <c r="A56" s="11">
        <f t="shared" si="3"/>
        <v>51</v>
      </c>
      <c r="B56" s="1" t="s">
        <v>64</v>
      </c>
      <c r="F56" s="1">
        <v>2</v>
      </c>
      <c r="K56" s="4"/>
      <c r="L56" s="4"/>
      <c r="M56" s="4">
        <f t="shared" si="8"/>
        <v>0</v>
      </c>
      <c r="N56" s="4"/>
      <c r="O56" s="4"/>
      <c r="P56" s="4"/>
      <c r="Q56" s="4">
        <f>F56*120</f>
        <v>240</v>
      </c>
      <c r="R56" s="4">
        <f t="shared" si="1"/>
        <v>240</v>
      </c>
      <c r="S56" s="4">
        <f t="shared" si="2"/>
        <v>320</v>
      </c>
    </row>
    <row r="57" spans="1:22" x14ac:dyDescent="0.2">
      <c r="A57" s="11">
        <f t="shared" si="3"/>
        <v>52</v>
      </c>
      <c r="B57" s="1" t="s">
        <v>65</v>
      </c>
      <c r="C57" s="1">
        <v>2</v>
      </c>
      <c r="D57" s="1">
        <v>1.5</v>
      </c>
      <c r="F57" s="1">
        <v>1</v>
      </c>
      <c r="I57" s="1">
        <f t="shared" ref="I57:I62" si="9">C57/1000*D57/1000*E57*F57*8</f>
        <v>0</v>
      </c>
      <c r="J57" s="1">
        <f>C57*D57*F57</f>
        <v>3</v>
      </c>
      <c r="K57" s="4">
        <f>J57*110</f>
        <v>330</v>
      </c>
      <c r="L57" s="4">
        <f>J57*15</f>
        <v>45</v>
      </c>
      <c r="M57" s="4">
        <f t="shared" si="8"/>
        <v>0</v>
      </c>
      <c r="N57" s="4">
        <v>0</v>
      </c>
      <c r="O57" s="4">
        <v>0</v>
      </c>
      <c r="P57" s="4">
        <v>0</v>
      </c>
      <c r="Q57" s="4">
        <v>0</v>
      </c>
      <c r="R57" s="4">
        <f t="shared" si="1"/>
        <v>375</v>
      </c>
      <c r="S57" s="4">
        <f t="shared" si="2"/>
        <v>500</v>
      </c>
    </row>
    <row r="58" spans="1:22" x14ac:dyDescent="0.2">
      <c r="A58" s="11">
        <f t="shared" si="3"/>
        <v>53</v>
      </c>
      <c r="B58" s="1" t="s">
        <v>66</v>
      </c>
      <c r="F58" s="1">
        <v>0</v>
      </c>
      <c r="G58" s="1">
        <v>2</v>
      </c>
      <c r="H58" s="1">
        <v>4</v>
      </c>
      <c r="I58" s="1">
        <f t="shared" si="9"/>
        <v>0</v>
      </c>
      <c r="J58" s="1">
        <f>C58/1000*D58/1000*2*10.76*F58</f>
        <v>0</v>
      </c>
      <c r="K58" s="4">
        <f>I58*K$4</f>
        <v>0</v>
      </c>
      <c r="L58" s="4">
        <f>K58*L$4</f>
        <v>0</v>
      </c>
      <c r="M58" s="4">
        <f t="shared" si="8"/>
        <v>0</v>
      </c>
      <c r="N58" s="4">
        <v>0</v>
      </c>
      <c r="O58" s="4">
        <v>0</v>
      </c>
      <c r="P58" s="4">
        <f>J58*P$4</f>
        <v>0</v>
      </c>
      <c r="Q58" s="4">
        <v>0</v>
      </c>
      <c r="R58" s="4">
        <f t="shared" si="1"/>
        <v>0</v>
      </c>
      <c r="S58" s="4">
        <f t="shared" si="2"/>
        <v>0</v>
      </c>
    </row>
    <row r="59" spans="1:22" x14ac:dyDescent="0.2">
      <c r="A59" s="11">
        <f t="shared" si="3"/>
        <v>54</v>
      </c>
      <c r="B59" s="1" t="s">
        <v>38</v>
      </c>
      <c r="F59" s="1">
        <f>G$3</f>
        <v>1</v>
      </c>
      <c r="G59" s="1">
        <v>2</v>
      </c>
      <c r="H59" s="1">
        <v>4</v>
      </c>
      <c r="I59" s="1">
        <f t="shared" si="9"/>
        <v>0</v>
      </c>
      <c r="J59" s="1">
        <f>C59/1000*D59/1000*2*10.76*F59</f>
        <v>0</v>
      </c>
      <c r="K59" s="4">
        <f>I59*K$4</f>
        <v>0</v>
      </c>
      <c r="L59" s="4">
        <f>K59*L$4</f>
        <v>0</v>
      </c>
      <c r="M59" s="4">
        <f t="shared" si="8"/>
        <v>0</v>
      </c>
      <c r="N59" s="4">
        <v>0</v>
      </c>
      <c r="O59" s="4">
        <v>0</v>
      </c>
      <c r="P59" s="4">
        <f>J59*P$4</f>
        <v>0</v>
      </c>
      <c r="Q59" s="4">
        <f>200*F59</f>
        <v>200</v>
      </c>
      <c r="R59" s="4">
        <f t="shared" si="1"/>
        <v>200</v>
      </c>
      <c r="S59" s="4">
        <f t="shared" si="2"/>
        <v>266.66666666666669</v>
      </c>
      <c r="V59" s="5"/>
    </row>
    <row r="60" spans="1:22" x14ac:dyDescent="0.2">
      <c r="A60" s="11">
        <f t="shared" si="3"/>
        <v>55</v>
      </c>
      <c r="B60" s="1" t="s">
        <v>67</v>
      </c>
      <c r="F60" s="1">
        <f>G$3</f>
        <v>1</v>
      </c>
      <c r="G60" s="1">
        <f>G$3*1</f>
        <v>1</v>
      </c>
      <c r="H60" s="1">
        <v>2</v>
      </c>
      <c r="I60" s="1">
        <f t="shared" si="9"/>
        <v>0</v>
      </c>
      <c r="J60" s="1">
        <f>C60/1000*D60/1000*2*10.76*F60</f>
        <v>0</v>
      </c>
      <c r="K60" s="4">
        <f>I60*K$4</f>
        <v>0</v>
      </c>
      <c r="L60" s="4">
        <f>K60*L$4</f>
        <v>0</v>
      </c>
      <c r="M60" s="4">
        <f t="shared" si="8"/>
        <v>0</v>
      </c>
      <c r="N60" s="4">
        <v>0</v>
      </c>
      <c r="O60" s="4">
        <v>0</v>
      </c>
      <c r="P60" s="4">
        <f>J60*P$4</f>
        <v>0</v>
      </c>
      <c r="Q60" s="4">
        <f>350*F60</f>
        <v>350</v>
      </c>
      <c r="R60" s="4">
        <f t="shared" si="1"/>
        <v>350</v>
      </c>
      <c r="S60" s="4">
        <f t="shared" si="2"/>
        <v>466.66666666666669</v>
      </c>
    </row>
    <row r="61" spans="1:22" x14ac:dyDescent="0.2">
      <c r="A61" s="11">
        <f t="shared" si="3"/>
        <v>56</v>
      </c>
      <c r="B61" s="1" t="s">
        <v>68</v>
      </c>
      <c r="F61" s="1">
        <f>G$3</f>
        <v>1</v>
      </c>
      <c r="I61" s="1">
        <f t="shared" si="9"/>
        <v>0</v>
      </c>
      <c r="J61" s="1">
        <f>C61/1000*D61/1000*2*10.76*F61</f>
        <v>0</v>
      </c>
      <c r="K61" s="4">
        <f>I61*K$4</f>
        <v>0</v>
      </c>
      <c r="L61" s="4">
        <f>K61*L$4</f>
        <v>0</v>
      </c>
      <c r="M61" s="4">
        <f t="shared" si="8"/>
        <v>0</v>
      </c>
      <c r="N61" s="4">
        <v>0</v>
      </c>
      <c r="O61" s="4">
        <v>0</v>
      </c>
      <c r="P61" s="4">
        <f>J61*P$4</f>
        <v>0</v>
      </c>
      <c r="Q61" s="4">
        <v>200</v>
      </c>
      <c r="R61" s="4">
        <f t="shared" si="1"/>
        <v>200</v>
      </c>
      <c r="S61" s="4">
        <f t="shared" si="2"/>
        <v>266.66666666666669</v>
      </c>
    </row>
    <row r="62" spans="1:22" x14ac:dyDescent="0.2">
      <c r="A62" s="11">
        <f t="shared" si="3"/>
        <v>57</v>
      </c>
      <c r="B62" s="1" t="s">
        <v>69</v>
      </c>
      <c r="F62" s="1">
        <f>G$3</f>
        <v>1</v>
      </c>
      <c r="I62" s="1">
        <f t="shared" si="9"/>
        <v>0</v>
      </c>
      <c r="J62" s="1">
        <f>C62/1000*D62/1000*2*10.76*F62</f>
        <v>0</v>
      </c>
      <c r="K62" s="4">
        <f>I62*K$4</f>
        <v>0</v>
      </c>
      <c r="L62" s="4">
        <f>K62*L$4</f>
        <v>0</v>
      </c>
      <c r="M62" s="4">
        <f t="shared" si="8"/>
        <v>0</v>
      </c>
      <c r="N62" s="4">
        <v>0</v>
      </c>
      <c r="O62" s="4">
        <v>0</v>
      </c>
      <c r="P62" s="4">
        <f>J62*P$4</f>
        <v>0</v>
      </c>
      <c r="Q62" s="4">
        <f>250*F62</f>
        <v>250</v>
      </c>
      <c r="R62" s="4">
        <f t="shared" si="1"/>
        <v>250</v>
      </c>
      <c r="S62" s="4">
        <f t="shared" si="2"/>
        <v>333.33333333333331</v>
      </c>
      <c r="T62" s="4">
        <f>SUM(S49:S62)</f>
        <v>8341.4848000000002</v>
      </c>
    </row>
    <row r="63" spans="1:22" ht="12" x14ac:dyDescent="0.25">
      <c r="F63" s="1">
        <f t="shared" ref="F63:T63" si="10">SUM(F6:F62)</f>
        <v>155.33750000000001</v>
      </c>
      <c r="G63" s="1">
        <f t="shared" si="10"/>
        <v>43.5</v>
      </c>
      <c r="H63" s="1">
        <f t="shared" si="10"/>
        <v>78</v>
      </c>
      <c r="I63" s="1">
        <f t="shared" si="10"/>
        <v>139.1386688</v>
      </c>
      <c r="J63" s="1">
        <f t="shared" si="10"/>
        <v>188.30618063999995</v>
      </c>
      <c r="K63" s="4">
        <f t="shared" si="10"/>
        <v>10765.400159999999</v>
      </c>
      <c r="L63" s="1">
        <f t="shared" si="10"/>
        <v>1088.5400160000002</v>
      </c>
      <c r="M63" s="1">
        <f t="shared" si="10"/>
        <v>2782.7733760000001</v>
      </c>
      <c r="N63" s="1">
        <f t="shared" si="10"/>
        <v>860</v>
      </c>
      <c r="O63" s="1">
        <f t="shared" si="10"/>
        <v>174.66399999999999</v>
      </c>
      <c r="P63" s="1">
        <f t="shared" si="10"/>
        <v>2408.9803483199998</v>
      </c>
      <c r="Q63" s="1">
        <f t="shared" si="10"/>
        <v>7761.3625000000011</v>
      </c>
      <c r="R63" s="1">
        <f t="shared" si="10"/>
        <v>25841.720400320002</v>
      </c>
      <c r="S63" s="19">
        <f t="shared" si="10"/>
        <v>34455.627200426665</v>
      </c>
      <c r="T63" s="4">
        <f t="shared" si="10"/>
        <v>34455.627200426665</v>
      </c>
    </row>
    <row r="64" spans="1:22" x14ac:dyDescent="0.2">
      <c r="R64" s="5"/>
      <c r="S64" s="4"/>
      <c r="T64" s="4"/>
    </row>
    <row r="65" spans="2:21" ht="12" x14ac:dyDescent="0.25">
      <c r="Q65" s="2"/>
      <c r="R65" s="20">
        <v>0.15</v>
      </c>
      <c r="S65" s="19">
        <f>+S63-S63*R65</f>
        <v>29287.283120362667</v>
      </c>
    </row>
    <row r="66" spans="2:21" ht="12" x14ac:dyDescent="0.25">
      <c r="G66" s="21"/>
      <c r="Q66" s="2"/>
      <c r="R66" s="2"/>
      <c r="S66" s="19"/>
    </row>
    <row r="67" spans="2:21" ht="12" x14ac:dyDescent="0.25">
      <c r="S67" s="4"/>
      <c r="U67" s="2"/>
    </row>
    <row r="68" spans="2:21" ht="13.2" x14ac:dyDescent="0.25">
      <c r="F68" s="22"/>
      <c r="G68"/>
      <c r="M68" s="4"/>
      <c r="N68" s="4"/>
      <c r="S68" s="4"/>
    </row>
    <row r="69" spans="2:21" ht="13.2" x14ac:dyDescent="0.25">
      <c r="G69"/>
    </row>
    <row r="72" spans="2:21" x14ac:dyDescent="0.2">
      <c r="B72" s="15"/>
      <c r="C72" s="15"/>
      <c r="D72" s="15"/>
      <c r="E72" s="15"/>
      <c r="F72" s="23"/>
    </row>
    <row r="73" spans="2:21" x14ac:dyDescent="0.2">
      <c r="B73" s="15"/>
      <c r="C73" s="23"/>
      <c r="D73" s="23"/>
      <c r="E73" s="23"/>
      <c r="F73" s="23"/>
      <c r="J73" s="5"/>
    </row>
    <row r="74" spans="2:21" x14ac:dyDescent="0.2">
      <c r="B74" s="15"/>
      <c r="C74" s="15"/>
      <c r="D74" s="15"/>
      <c r="E74" s="15"/>
      <c r="F74" s="15"/>
    </row>
    <row r="75" spans="2:21" x14ac:dyDescent="0.2">
      <c r="B75" s="15"/>
      <c r="C75" s="15"/>
      <c r="D75" s="15"/>
      <c r="E75" s="15"/>
      <c r="F75" s="15"/>
    </row>
    <row r="76" spans="2:21" x14ac:dyDescent="0.2">
      <c r="B76" s="15"/>
      <c r="C76" s="15"/>
      <c r="D76" s="15"/>
      <c r="E76" s="15"/>
      <c r="F76" s="15"/>
    </row>
    <row r="77" spans="2:21" x14ac:dyDescent="0.2">
      <c r="B77" s="15"/>
      <c r="C77" s="15"/>
      <c r="D77" s="15"/>
      <c r="E77" s="15"/>
      <c r="F77" s="15"/>
    </row>
    <row r="78" spans="2:21" x14ac:dyDescent="0.2">
      <c r="B78" s="15"/>
      <c r="C78" s="15"/>
      <c r="D78" s="15"/>
      <c r="E78" s="15"/>
      <c r="F78" s="15"/>
    </row>
    <row r="79" spans="2:21" x14ac:dyDescent="0.2">
      <c r="B79" s="15"/>
      <c r="C79" s="15"/>
      <c r="D79" s="15"/>
      <c r="E79" s="15"/>
      <c r="F79" s="15"/>
    </row>
    <row r="80" spans="2:21" x14ac:dyDescent="0.2">
      <c r="B80" s="15"/>
      <c r="C80" s="15"/>
      <c r="D80" s="15"/>
      <c r="E80" s="15"/>
      <c r="F80" s="15"/>
    </row>
    <row r="81" spans="2:9" x14ac:dyDescent="0.2">
      <c r="B81" s="15"/>
      <c r="C81" s="15"/>
      <c r="D81" s="15"/>
      <c r="E81" s="15"/>
      <c r="F81" s="15"/>
    </row>
    <row r="82" spans="2:9" x14ac:dyDescent="0.2">
      <c r="B82" s="15"/>
      <c r="C82" s="15"/>
      <c r="D82" s="15"/>
      <c r="E82" s="15"/>
      <c r="F82" s="15"/>
    </row>
    <row r="83" spans="2:9" x14ac:dyDescent="0.2">
      <c r="B83" s="15"/>
      <c r="C83" s="15"/>
      <c r="D83" s="15"/>
      <c r="E83" s="15"/>
      <c r="F83" s="15"/>
    </row>
    <row r="84" spans="2:9" x14ac:dyDescent="0.2">
      <c r="B84" s="15"/>
      <c r="C84" s="15"/>
      <c r="D84" s="15"/>
      <c r="E84" s="15"/>
      <c r="F84" s="15"/>
    </row>
    <row r="85" spans="2:9" x14ac:dyDescent="0.2">
      <c r="B85" s="15"/>
      <c r="C85" s="15"/>
      <c r="D85" s="15"/>
      <c r="E85" s="15"/>
      <c r="F85" s="15"/>
    </row>
    <row r="86" spans="2:9" x14ac:dyDescent="0.2">
      <c r="B86" s="24"/>
      <c r="C86" s="24"/>
      <c r="D86" s="24"/>
      <c r="E86" s="24"/>
      <c r="F86" s="15"/>
    </row>
    <row r="87" spans="2:9" x14ac:dyDescent="0.2">
      <c r="B87" s="24"/>
      <c r="C87" s="24"/>
      <c r="D87" s="24"/>
      <c r="E87" s="24"/>
      <c r="F87" s="15"/>
    </row>
    <row r="88" spans="2:9" x14ac:dyDescent="0.2">
      <c r="B88" s="24"/>
      <c r="C88" s="24"/>
      <c r="D88" s="24"/>
      <c r="E88" s="24"/>
      <c r="F88" s="15"/>
    </row>
    <row r="89" spans="2:9" x14ac:dyDescent="0.2">
      <c r="B89" s="15"/>
      <c r="C89" s="15"/>
      <c r="D89" s="15"/>
      <c r="E89" s="15"/>
      <c r="F89" s="15"/>
    </row>
    <row r="90" spans="2:9" x14ac:dyDescent="0.2">
      <c r="B90" s="15"/>
      <c r="C90" s="15"/>
      <c r="D90" s="15"/>
      <c r="E90" s="15"/>
      <c r="F90" s="15"/>
    </row>
    <row r="91" spans="2:9" x14ac:dyDescent="0.2">
      <c r="B91" s="15"/>
      <c r="C91" s="15"/>
      <c r="D91" s="15"/>
      <c r="E91" s="15"/>
      <c r="F91" s="15"/>
    </row>
    <row r="92" spans="2:9" x14ac:dyDescent="0.2">
      <c r="B92" s="15"/>
      <c r="C92" s="16"/>
      <c r="D92" s="25"/>
      <c r="E92" s="15"/>
      <c r="F92" s="15"/>
    </row>
    <row r="93" spans="2:9" x14ac:dyDescent="0.2">
      <c r="B93" s="15"/>
      <c r="C93" s="15"/>
      <c r="D93" s="15"/>
      <c r="E93" s="15"/>
      <c r="F93" s="15"/>
      <c r="I93" s="4"/>
    </row>
    <row r="94" spans="2:9" x14ac:dyDescent="0.2">
      <c r="B94" s="15"/>
      <c r="C94" s="15"/>
      <c r="D94" s="15"/>
      <c r="E94" s="15"/>
      <c r="F94" s="15"/>
    </row>
    <row r="95" spans="2:9" x14ac:dyDescent="0.2">
      <c r="B95" s="15"/>
      <c r="C95" s="15"/>
      <c r="D95" s="25"/>
      <c r="E95" s="15"/>
      <c r="F95" s="15"/>
    </row>
    <row r="96" spans="2:9" x14ac:dyDescent="0.2">
      <c r="B96" s="15"/>
      <c r="C96" s="15"/>
      <c r="D96" s="15"/>
      <c r="E96" s="15"/>
      <c r="F96" s="15"/>
    </row>
    <row r="97" spans="1:19" x14ac:dyDescent="0.2">
      <c r="B97" s="15"/>
      <c r="C97" s="15"/>
      <c r="D97" s="15"/>
      <c r="E97" s="15"/>
      <c r="F97" s="15"/>
    </row>
    <row r="98" spans="1:19" x14ac:dyDescent="0.2">
      <c r="B98" s="15"/>
      <c r="C98" s="15"/>
      <c r="D98" s="15"/>
      <c r="E98" s="15"/>
      <c r="F98" s="15"/>
    </row>
    <row r="99" spans="1:19" x14ac:dyDescent="0.2">
      <c r="B99" s="15"/>
      <c r="C99" s="15"/>
      <c r="D99" s="15"/>
      <c r="E99" s="15"/>
      <c r="F99" s="15"/>
    </row>
    <row r="100" spans="1:19" x14ac:dyDescent="0.2">
      <c r="B100" s="15"/>
      <c r="C100" s="25"/>
      <c r="D100" s="15"/>
      <c r="E100" s="15"/>
      <c r="F100" s="15"/>
    </row>
    <row r="101" spans="1:19" x14ac:dyDescent="0.2">
      <c r="B101" s="15"/>
      <c r="C101" s="15"/>
      <c r="D101" s="15"/>
      <c r="E101" s="15"/>
      <c r="F101" s="15"/>
    </row>
    <row r="102" spans="1:19" x14ac:dyDescent="0.2">
      <c r="B102" s="15"/>
      <c r="C102" s="15"/>
      <c r="D102" s="15"/>
      <c r="E102" s="26"/>
      <c r="F102" s="15"/>
    </row>
    <row r="108" spans="1:19" ht="12" x14ac:dyDescent="0.25">
      <c r="B108" s="2"/>
      <c r="C108" s="2"/>
      <c r="D108" s="2"/>
      <c r="E108" s="2"/>
    </row>
    <row r="111" spans="1:19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</row>
    <row r="112" spans="1:19" x14ac:dyDescent="0.2">
      <c r="B112" s="12"/>
    </row>
    <row r="113" spans="2:2" x14ac:dyDescent="0.2">
      <c r="B113" s="12"/>
    </row>
    <row r="114" spans="2:2" x14ac:dyDescent="0.2">
      <c r="B114" s="12"/>
    </row>
    <row r="115" spans="2:2" x14ac:dyDescent="0.2">
      <c r="B115" s="12"/>
    </row>
    <row r="116" spans="2:2" x14ac:dyDescent="0.2">
      <c r="B116" s="12"/>
    </row>
    <row r="117" spans="2:2" x14ac:dyDescent="0.2">
      <c r="B117" s="12"/>
    </row>
    <row r="122" spans="2:2" x14ac:dyDescent="0.2">
      <c r="B122" s="12"/>
    </row>
    <row r="123" spans="2:2" x14ac:dyDescent="0.2">
      <c r="B123" s="12"/>
    </row>
    <row r="207" spans="2:5" ht="12" x14ac:dyDescent="0.25">
      <c r="B207" s="2"/>
      <c r="C207" s="2"/>
      <c r="D207" s="2"/>
      <c r="E207" s="2"/>
    </row>
    <row r="210" spans="1:19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</row>
    <row r="211" spans="1:19" x14ac:dyDescent="0.2">
      <c r="B211" s="12"/>
    </row>
    <row r="212" spans="1:19" x14ac:dyDescent="0.2">
      <c r="B212" s="12"/>
    </row>
    <row r="213" spans="1:19" x14ac:dyDescent="0.2">
      <c r="B213" s="12"/>
    </row>
    <row r="214" spans="1:19" x14ac:dyDescent="0.2">
      <c r="B214" s="12"/>
    </row>
    <row r="215" spans="1:19" x14ac:dyDescent="0.2">
      <c r="B215" s="12"/>
    </row>
    <row r="216" spans="1:19" x14ac:dyDescent="0.2">
      <c r="B216" s="12"/>
    </row>
    <row r="221" spans="1:19" x14ac:dyDescent="0.2">
      <c r="B221" s="12"/>
    </row>
    <row r="222" spans="1:19" x14ac:dyDescent="0.2">
      <c r="B222" s="12"/>
    </row>
    <row r="307" spans="1:23" ht="12" x14ac:dyDescent="0.25">
      <c r="B307" s="2"/>
      <c r="C307" s="2"/>
      <c r="D307" s="2"/>
      <c r="E307" s="2"/>
    </row>
    <row r="308" spans="1:23" x14ac:dyDescent="0.2">
      <c r="T308" s="27"/>
      <c r="U308" s="27"/>
      <c r="V308" s="27"/>
      <c r="W308" s="27"/>
    </row>
    <row r="310" spans="1:23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</row>
    <row r="312" spans="1:23" x14ac:dyDescent="0.2">
      <c r="B312" s="12"/>
    </row>
    <row r="314" spans="1:23" x14ac:dyDescent="0.2">
      <c r="B314" s="12"/>
    </row>
    <row r="315" spans="1:23" x14ac:dyDescent="0.2">
      <c r="B315" s="12"/>
    </row>
    <row r="316" spans="1:23" x14ac:dyDescent="0.2">
      <c r="B316" s="12"/>
    </row>
    <row r="407" spans="1:19" ht="12" x14ac:dyDescent="0.25">
      <c r="B407" s="2"/>
      <c r="C407" s="2"/>
      <c r="D407" s="2"/>
      <c r="E407" s="2"/>
    </row>
    <row r="410" spans="1:19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</row>
    <row r="412" spans="1:19" x14ac:dyDescent="0.2">
      <c r="B412" s="12"/>
    </row>
    <row r="414" spans="1:19" x14ac:dyDescent="0.2">
      <c r="B414" s="12"/>
    </row>
    <row r="415" spans="1:19" x14ac:dyDescent="0.2">
      <c r="B415" s="12"/>
    </row>
    <row r="416" spans="1:19" x14ac:dyDescent="0.2">
      <c r="B416" s="12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 Enclosure Shop Floor FDRC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2021-01-21T05:26:22Z</dcterms:created>
  <dcterms:modified xsi:type="dcterms:W3CDTF">2021-01-21T05:59:53Z</dcterms:modified>
</cp:coreProperties>
</file>