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EEB3B7A1-48F2-43B3-A4E2-9E8D96FBD527}" xr6:coauthVersionLast="46" xr6:coauthVersionMax="46" xr10:uidLastSave="{00000000-0000-0000-0000-000000000000}"/>
  <bookViews>
    <workbookView xWindow="-108" yWindow="-108" windowWidth="23256" windowHeight="12576" xr2:uid="{58AB45B3-5CAF-45FA-8F52-0F79043F4D40}"/>
  </bookViews>
  <sheets>
    <sheet name="DCS DESK 800x600-1000x725+7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1" i="1" l="1"/>
  <c r="C21" i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K5" i="1"/>
  <c r="K19" i="1" s="1"/>
  <c r="E39" i="1"/>
  <c r="E38" i="1"/>
  <c r="E37" i="1"/>
  <c r="E29" i="1"/>
  <c r="E28" i="1"/>
  <c r="E27" i="1"/>
  <c r="E26" i="1"/>
  <c r="E23" i="1"/>
  <c r="E10" i="1"/>
  <c r="E9" i="1"/>
  <c r="E8" i="1"/>
  <c r="E7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106" i="1" s="1"/>
  <c r="AC77" i="1"/>
  <c r="AC76" i="1"/>
  <c r="AC75" i="1"/>
  <c r="H67" i="1"/>
  <c r="G67" i="1"/>
  <c r="M66" i="1"/>
  <c r="I66" i="1"/>
  <c r="K66" i="1" s="1"/>
  <c r="F66" i="1"/>
  <c r="Q66" i="1" s="1"/>
  <c r="J65" i="1"/>
  <c r="P65" i="1" s="1"/>
  <c r="I65" i="1"/>
  <c r="M65" i="1" s="1"/>
  <c r="F65" i="1"/>
  <c r="Q65" i="1" s="1"/>
  <c r="M64" i="1"/>
  <c r="I64" i="1"/>
  <c r="K64" i="1" s="1"/>
  <c r="F64" i="1"/>
  <c r="Q64" i="1" s="1"/>
  <c r="J63" i="1"/>
  <c r="P63" i="1" s="1"/>
  <c r="I63" i="1"/>
  <c r="M63" i="1" s="1"/>
  <c r="F63" i="1"/>
  <c r="Q63" i="1" s="1"/>
  <c r="Q62" i="1"/>
  <c r="M62" i="1"/>
  <c r="R62" i="1" s="1"/>
  <c r="S62" i="1" s="1"/>
  <c r="J62" i="1"/>
  <c r="Q61" i="1"/>
  <c r="M61" i="1"/>
  <c r="J61" i="1"/>
  <c r="P61" i="1" s="1"/>
  <c r="I61" i="1"/>
  <c r="P60" i="1"/>
  <c r="J60" i="1"/>
  <c r="I60" i="1"/>
  <c r="M60" i="1" s="1"/>
  <c r="Q59" i="1"/>
  <c r="J59" i="1"/>
  <c r="P59" i="1" s="1"/>
  <c r="I59" i="1"/>
  <c r="M59" i="1" s="1"/>
  <c r="P58" i="1"/>
  <c r="J58" i="1"/>
  <c r="I58" i="1"/>
  <c r="M58" i="1" s="1"/>
  <c r="F58" i="1"/>
  <c r="Q58" i="1" s="1"/>
  <c r="AB56" i="1"/>
  <c r="AB55" i="1"/>
  <c r="Q55" i="1"/>
  <c r="P55" i="1"/>
  <c r="J55" i="1"/>
  <c r="I55" i="1"/>
  <c r="AB54" i="1"/>
  <c r="P54" i="1"/>
  <c r="M54" i="1"/>
  <c r="J54" i="1"/>
  <c r="I54" i="1"/>
  <c r="AB53" i="1"/>
  <c r="D53" i="1"/>
  <c r="J53" i="1" s="1"/>
  <c r="P53" i="1" s="1"/>
  <c r="AB52" i="1"/>
  <c r="O52" i="1"/>
  <c r="J52" i="1"/>
  <c r="P52" i="1" s="1"/>
  <c r="I52" i="1"/>
  <c r="M52" i="1" s="1"/>
  <c r="D52" i="1"/>
  <c r="AB51" i="1"/>
  <c r="AB57" i="1" s="1"/>
  <c r="D51" i="1"/>
  <c r="J51" i="1" s="1"/>
  <c r="P51" i="1" s="1"/>
  <c r="C51" i="1"/>
  <c r="AB50" i="1"/>
  <c r="C50" i="1"/>
  <c r="J50" i="1" s="1"/>
  <c r="P50" i="1" s="1"/>
  <c r="AB49" i="1"/>
  <c r="F49" i="1"/>
  <c r="C49" i="1"/>
  <c r="J49" i="1" s="1"/>
  <c r="P49" i="1" s="1"/>
  <c r="AB48" i="1"/>
  <c r="W48" i="1"/>
  <c r="W49" i="1" s="1"/>
  <c r="W50" i="1" s="1"/>
  <c r="W51" i="1" s="1"/>
  <c r="W52" i="1" s="1"/>
  <c r="W53" i="1" s="1"/>
  <c r="W54" i="1" s="1"/>
  <c r="W55" i="1" s="1"/>
  <c r="W56" i="1" s="1"/>
  <c r="F48" i="1"/>
  <c r="J48" i="1" s="1"/>
  <c r="P48" i="1" s="1"/>
  <c r="AB47" i="1"/>
  <c r="W47" i="1"/>
  <c r="J47" i="1"/>
  <c r="P47" i="1" s="1"/>
  <c r="I47" i="1"/>
  <c r="AB46" i="1"/>
  <c r="W46" i="1"/>
  <c r="P46" i="1"/>
  <c r="M46" i="1"/>
  <c r="J46" i="1"/>
  <c r="I46" i="1"/>
  <c r="AB45" i="1"/>
  <c r="O45" i="1"/>
  <c r="C45" i="1"/>
  <c r="J45" i="1" s="1"/>
  <c r="P45" i="1" s="1"/>
  <c r="O44" i="1"/>
  <c r="C44" i="1"/>
  <c r="J44" i="1" s="1"/>
  <c r="P44" i="1" s="1"/>
  <c r="M43" i="1"/>
  <c r="D43" i="1"/>
  <c r="Q43" i="1" s="1"/>
  <c r="P42" i="1"/>
  <c r="J42" i="1"/>
  <c r="I42" i="1"/>
  <c r="K42" i="1" s="1"/>
  <c r="M41" i="1"/>
  <c r="J41" i="1"/>
  <c r="P41" i="1" s="1"/>
  <c r="I41" i="1"/>
  <c r="O40" i="1"/>
  <c r="M40" i="1"/>
  <c r="J40" i="1"/>
  <c r="P40" i="1" s="1"/>
  <c r="I40" i="1"/>
  <c r="D39" i="1"/>
  <c r="J39" i="1" s="1"/>
  <c r="P39" i="1" s="1"/>
  <c r="J38" i="1"/>
  <c r="P38" i="1" s="1"/>
  <c r="I38" i="1"/>
  <c r="M38" i="1" s="1"/>
  <c r="F38" i="1"/>
  <c r="F39" i="1" s="1"/>
  <c r="D38" i="1"/>
  <c r="D37" i="1"/>
  <c r="C37" i="1"/>
  <c r="F56" i="1" s="1"/>
  <c r="J36" i="1"/>
  <c r="P36" i="1" s="1"/>
  <c r="I36" i="1"/>
  <c r="M36" i="1" s="1"/>
  <c r="J35" i="1"/>
  <c r="J34" i="1"/>
  <c r="C33" i="1"/>
  <c r="J33" i="1" s="1"/>
  <c r="P33" i="1" s="1"/>
  <c r="K32" i="1"/>
  <c r="L32" i="1" s="1"/>
  <c r="J32" i="1"/>
  <c r="P32" i="1" s="1"/>
  <c r="I32" i="1"/>
  <c r="M32" i="1" s="1"/>
  <c r="C32" i="1"/>
  <c r="M31" i="1"/>
  <c r="J31" i="1"/>
  <c r="P31" i="1" s="1"/>
  <c r="I31" i="1"/>
  <c r="K31" i="1" s="1"/>
  <c r="D31" i="1"/>
  <c r="C31" i="1"/>
  <c r="J30" i="1"/>
  <c r="C29" i="1"/>
  <c r="J29" i="1" s="1"/>
  <c r="P29" i="1" s="1"/>
  <c r="J28" i="1"/>
  <c r="P28" i="1" s="1"/>
  <c r="F28" i="1"/>
  <c r="C28" i="1"/>
  <c r="I28" i="1" s="1"/>
  <c r="F27" i="1"/>
  <c r="D27" i="1"/>
  <c r="C27" i="1"/>
  <c r="D26" i="1"/>
  <c r="C26" i="1"/>
  <c r="J26" i="1" s="1"/>
  <c r="P26" i="1" s="1"/>
  <c r="F25" i="1"/>
  <c r="D25" i="1"/>
  <c r="C25" i="1"/>
  <c r="J25" i="1" s="1"/>
  <c r="P25" i="1" s="1"/>
  <c r="F24" i="1"/>
  <c r="C24" i="1"/>
  <c r="J24" i="1" s="1"/>
  <c r="P24" i="1" s="1"/>
  <c r="D23" i="1"/>
  <c r="C23" i="1"/>
  <c r="J23" i="1" s="1"/>
  <c r="P23" i="1" s="1"/>
  <c r="J22" i="1"/>
  <c r="P22" i="1" s="1"/>
  <c r="F22" i="1"/>
  <c r="D22" i="1"/>
  <c r="I22" i="1"/>
  <c r="N22" i="1" s="1"/>
  <c r="F21" i="1"/>
  <c r="J21" i="1"/>
  <c r="P21" i="1" s="1"/>
  <c r="P20" i="1"/>
  <c r="J20" i="1"/>
  <c r="I20" i="1"/>
  <c r="M20" i="1" s="1"/>
  <c r="Q19" i="1"/>
  <c r="P19" i="1"/>
  <c r="J19" i="1"/>
  <c r="I19" i="1"/>
  <c r="M19" i="1" s="1"/>
  <c r="Q18" i="1"/>
  <c r="J18" i="1"/>
  <c r="I18" i="1"/>
  <c r="D17" i="1"/>
  <c r="J17" i="1" s="1"/>
  <c r="P17" i="1" s="1"/>
  <c r="C17" i="1"/>
  <c r="I17" i="1" s="1"/>
  <c r="D16" i="1"/>
  <c r="C16" i="1"/>
  <c r="J15" i="1"/>
  <c r="P15" i="1" s="1"/>
  <c r="F15" i="1"/>
  <c r="D15" i="1"/>
  <c r="I15" i="1" s="1"/>
  <c r="M15" i="1" s="1"/>
  <c r="C15" i="1"/>
  <c r="O14" i="1"/>
  <c r="F14" i="1"/>
  <c r="D14" i="1"/>
  <c r="C14" i="1"/>
  <c r="J13" i="1"/>
  <c r="P13" i="1" s="1"/>
  <c r="I13" i="1"/>
  <c r="M13" i="1" s="1"/>
  <c r="F12" i="1"/>
  <c r="I12" i="1" s="1"/>
  <c r="D12" i="1"/>
  <c r="C12" i="1"/>
  <c r="J12" i="1" s="1"/>
  <c r="P12" i="1" s="1"/>
  <c r="D11" i="1"/>
  <c r="J11" i="1" s="1"/>
  <c r="P11" i="1" s="1"/>
  <c r="J10" i="1"/>
  <c r="P10" i="1" s="1"/>
  <c r="D10" i="1"/>
  <c r="C10" i="1"/>
  <c r="F9" i="1"/>
  <c r="D9" i="1"/>
  <c r="C9" i="1"/>
  <c r="A9" i="1"/>
  <c r="A10" i="1" s="1"/>
  <c r="A11" i="1" s="1"/>
  <c r="A12" i="1" s="1"/>
  <c r="F8" i="1"/>
  <c r="D8" i="1"/>
  <c r="A8" i="1"/>
  <c r="F7" i="1"/>
  <c r="D7" i="1"/>
  <c r="C7" i="1"/>
  <c r="J7" i="1" s="1"/>
  <c r="S4" i="1"/>
  <c r="S1" i="1"/>
  <c r="K18" i="1" l="1"/>
  <c r="K47" i="1"/>
  <c r="K55" i="1"/>
  <c r="K54" i="1"/>
  <c r="L54" i="1" s="1"/>
  <c r="K13" i="1"/>
  <c r="K20" i="1"/>
  <c r="L20" i="1" s="1"/>
  <c r="K41" i="1"/>
  <c r="L41" i="1" s="1"/>
  <c r="K59" i="1"/>
  <c r="L59" i="1" s="1"/>
  <c r="R59" i="1" s="1"/>
  <c r="S59" i="1" s="1"/>
  <c r="K40" i="1"/>
  <c r="I26" i="1"/>
  <c r="K26" i="1" s="1"/>
  <c r="I10" i="1"/>
  <c r="K10" i="1" s="1"/>
  <c r="C8" i="1"/>
  <c r="I9" i="1"/>
  <c r="K9" i="1" s="1"/>
  <c r="J16" i="1"/>
  <c r="P16" i="1" s="1"/>
  <c r="I51" i="1"/>
  <c r="I27" i="1"/>
  <c r="M27" i="1" s="1"/>
  <c r="K28" i="1"/>
  <c r="M28" i="1"/>
  <c r="J43" i="1"/>
  <c r="P43" i="1" s="1"/>
  <c r="R43" i="1" s="1"/>
  <c r="S43" i="1" s="1"/>
  <c r="J37" i="1"/>
  <c r="P37" i="1" s="1"/>
  <c r="J14" i="1"/>
  <c r="P14" i="1" s="1"/>
  <c r="I37" i="1"/>
  <c r="J27" i="1"/>
  <c r="P27" i="1" s="1"/>
  <c r="L47" i="1"/>
  <c r="R47" i="1" s="1"/>
  <c r="S47" i="1" s="1"/>
  <c r="L64" i="1"/>
  <c r="R64" i="1" s="1"/>
  <c r="S64" i="1" s="1"/>
  <c r="L18" i="1"/>
  <c r="M22" i="1"/>
  <c r="K22" i="1"/>
  <c r="J56" i="1"/>
  <c r="P56" i="1" s="1"/>
  <c r="I56" i="1"/>
  <c r="Q56" i="1"/>
  <c r="L31" i="1"/>
  <c r="R31" i="1" s="1"/>
  <c r="S31" i="1" s="1"/>
  <c r="L40" i="1"/>
  <c r="R40" i="1" s="1"/>
  <c r="S40" i="1" s="1"/>
  <c r="M51" i="1"/>
  <c r="K51" i="1"/>
  <c r="P7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13" i="1"/>
  <c r="L42" i="1"/>
  <c r="R42" i="1" s="1"/>
  <c r="S42" i="1" s="1"/>
  <c r="O67" i="1"/>
  <c r="M17" i="1"/>
  <c r="K17" i="1"/>
  <c r="M12" i="1"/>
  <c r="K12" i="1"/>
  <c r="AB59" i="1"/>
  <c r="AB58" i="1"/>
  <c r="L66" i="1"/>
  <c r="J9" i="1"/>
  <c r="P9" i="1" s="1"/>
  <c r="M18" i="1"/>
  <c r="M42" i="1"/>
  <c r="I44" i="1"/>
  <c r="M47" i="1"/>
  <c r="Q48" i="1"/>
  <c r="I49" i="1"/>
  <c r="K52" i="1"/>
  <c r="R54" i="1"/>
  <c r="S54" i="1" s="1"/>
  <c r="L55" i="1"/>
  <c r="R55" i="1" s="1"/>
  <c r="S55" i="1" s="1"/>
  <c r="F57" i="1"/>
  <c r="F67" i="1" s="1"/>
  <c r="K58" i="1"/>
  <c r="K60" i="1"/>
  <c r="J64" i="1"/>
  <c r="P64" i="1" s="1"/>
  <c r="J66" i="1"/>
  <c r="P66" i="1" s="1"/>
  <c r="R18" i="1"/>
  <c r="S18" i="1" s="1"/>
  <c r="L19" i="1"/>
  <c r="R19" i="1" s="1"/>
  <c r="S19" i="1" s="1"/>
  <c r="I24" i="1"/>
  <c r="I29" i="1"/>
  <c r="R32" i="1"/>
  <c r="S32" i="1" s="1"/>
  <c r="I48" i="1"/>
  <c r="M55" i="1"/>
  <c r="K46" i="1"/>
  <c r="O53" i="1"/>
  <c r="K61" i="1"/>
  <c r="I11" i="1"/>
  <c r="L13" i="1"/>
  <c r="R13" i="1" s="1"/>
  <c r="S13" i="1" s="1"/>
  <c r="I45" i="1"/>
  <c r="I53" i="1"/>
  <c r="I7" i="1"/>
  <c r="I14" i="1"/>
  <c r="K15" i="1"/>
  <c r="I21" i="1"/>
  <c r="N21" i="1" s="1"/>
  <c r="I25" i="1"/>
  <c r="I33" i="1"/>
  <c r="K36" i="1"/>
  <c r="K38" i="1"/>
  <c r="I50" i="1"/>
  <c r="K63" i="1"/>
  <c r="K65" i="1"/>
  <c r="I16" i="1"/>
  <c r="I23" i="1"/>
  <c r="I39" i="1"/>
  <c r="R66" i="1" l="1"/>
  <c r="S66" i="1" s="1"/>
  <c r="R20" i="1"/>
  <c r="S20" i="1" s="1"/>
  <c r="R41" i="1"/>
  <c r="S41" i="1" s="1"/>
  <c r="K27" i="1"/>
  <c r="L27" i="1" s="1"/>
  <c r="M26" i="1"/>
  <c r="M10" i="1"/>
  <c r="M9" i="1"/>
  <c r="I8" i="1"/>
  <c r="J8" i="1"/>
  <c r="P8" i="1" s="1"/>
  <c r="L28" i="1"/>
  <c r="R28" i="1" s="1"/>
  <c r="S28" i="1" s="1"/>
  <c r="K37" i="1"/>
  <c r="M37" i="1"/>
  <c r="L10" i="1"/>
  <c r="R10" i="1" s="1"/>
  <c r="S10" i="1" s="1"/>
  <c r="L36" i="1"/>
  <c r="R36" i="1"/>
  <c r="S36" i="1" s="1"/>
  <c r="K45" i="1"/>
  <c r="M45" i="1"/>
  <c r="M48" i="1"/>
  <c r="K48" i="1"/>
  <c r="L12" i="1"/>
  <c r="R12" i="1" s="1"/>
  <c r="S12" i="1" s="1"/>
  <c r="L9" i="1"/>
  <c r="M56" i="1"/>
  <c r="K56" i="1"/>
  <c r="M39" i="1"/>
  <c r="K39" i="1"/>
  <c r="K33" i="1"/>
  <c r="M33" i="1"/>
  <c r="M23" i="1"/>
  <c r="K23" i="1"/>
  <c r="K25" i="1"/>
  <c r="M25" i="1"/>
  <c r="K11" i="1"/>
  <c r="M11" i="1"/>
  <c r="L52" i="1"/>
  <c r="R52" i="1" s="1"/>
  <c r="S52" i="1" s="1"/>
  <c r="L51" i="1"/>
  <c r="R51" i="1" s="1"/>
  <c r="S51" i="1" s="1"/>
  <c r="L22" i="1"/>
  <c r="R22" i="1" s="1"/>
  <c r="S22" i="1" s="1"/>
  <c r="L38" i="1"/>
  <c r="R38" i="1"/>
  <c r="S38" i="1" s="1"/>
  <c r="K53" i="1"/>
  <c r="M53" i="1"/>
  <c r="J57" i="1"/>
  <c r="P57" i="1" s="1"/>
  <c r="I57" i="1"/>
  <c r="Q57" i="1"/>
  <c r="Q67" i="1" s="1"/>
  <c r="M16" i="1"/>
  <c r="K16" i="1"/>
  <c r="K21" i="1"/>
  <c r="M21" i="1"/>
  <c r="L61" i="1"/>
  <c r="R61" i="1" s="1"/>
  <c r="S61" i="1" s="1"/>
  <c r="M49" i="1"/>
  <c r="K49" i="1"/>
  <c r="L65" i="1"/>
  <c r="R65" i="1" s="1"/>
  <c r="S65" i="1" s="1"/>
  <c r="L15" i="1"/>
  <c r="R15" i="1" s="1"/>
  <c r="S15" i="1" s="1"/>
  <c r="L17" i="1"/>
  <c r="R17" i="1" s="1"/>
  <c r="S17" i="1" s="1"/>
  <c r="L26" i="1"/>
  <c r="L63" i="1"/>
  <c r="R63" i="1" s="1"/>
  <c r="S63" i="1" s="1"/>
  <c r="K14" i="1"/>
  <c r="M14" i="1"/>
  <c r="M29" i="1"/>
  <c r="K29" i="1"/>
  <c r="L60" i="1"/>
  <c r="R60" i="1" s="1"/>
  <c r="S60" i="1" s="1"/>
  <c r="K50" i="1"/>
  <c r="M50" i="1"/>
  <c r="K7" i="1"/>
  <c r="N7" i="1"/>
  <c r="M7" i="1"/>
  <c r="L46" i="1"/>
  <c r="R46" i="1" s="1"/>
  <c r="S46" i="1" s="1"/>
  <c r="M24" i="1"/>
  <c r="K24" i="1"/>
  <c r="L58" i="1"/>
  <c r="R58" i="1" s="1"/>
  <c r="S58" i="1" s="1"/>
  <c r="M44" i="1"/>
  <c r="K44" i="1"/>
  <c r="R27" i="1" l="1"/>
  <c r="S27" i="1" s="1"/>
  <c r="R26" i="1"/>
  <c r="S26" i="1" s="1"/>
  <c r="R9" i="1"/>
  <c r="S9" i="1" s="1"/>
  <c r="P67" i="1"/>
  <c r="M8" i="1"/>
  <c r="K8" i="1"/>
  <c r="I67" i="1"/>
  <c r="J67" i="1"/>
  <c r="L37" i="1"/>
  <c r="R37" i="1" s="1"/>
  <c r="S37" i="1" s="1"/>
  <c r="L24" i="1"/>
  <c r="R24" i="1" s="1"/>
  <c r="S24" i="1" s="1"/>
  <c r="M57" i="1"/>
  <c r="K57" i="1"/>
  <c r="L25" i="1"/>
  <c r="R25" i="1" s="1"/>
  <c r="S25" i="1" s="1"/>
  <c r="L50" i="1"/>
  <c r="R50" i="1" s="1"/>
  <c r="S50" i="1" s="1"/>
  <c r="L14" i="1"/>
  <c r="R14" i="1" s="1"/>
  <c r="S14" i="1" s="1"/>
  <c r="L23" i="1"/>
  <c r="R23" i="1" s="1"/>
  <c r="S23" i="1" s="1"/>
  <c r="L33" i="1"/>
  <c r="R33" i="1" s="1"/>
  <c r="S33" i="1" s="1"/>
  <c r="L45" i="1"/>
  <c r="R45" i="1" s="1"/>
  <c r="S45" i="1" s="1"/>
  <c r="L44" i="1"/>
  <c r="R44" i="1" s="1"/>
  <c r="S44" i="1" s="1"/>
  <c r="L21" i="1"/>
  <c r="R21" i="1" s="1"/>
  <c r="S21" i="1" s="1"/>
  <c r="L39" i="1"/>
  <c r="R39" i="1" s="1"/>
  <c r="S39" i="1" s="1"/>
  <c r="L29" i="1"/>
  <c r="R29" i="1" s="1"/>
  <c r="S29" i="1" s="1"/>
  <c r="L49" i="1"/>
  <c r="R49" i="1" s="1"/>
  <c r="S49" i="1" s="1"/>
  <c r="L16" i="1"/>
  <c r="R16" i="1" s="1"/>
  <c r="S16" i="1" s="1"/>
  <c r="L53" i="1"/>
  <c r="R53" i="1" s="1"/>
  <c r="S53" i="1" s="1"/>
  <c r="L48" i="1"/>
  <c r="R48" i="1"/>
  <c r="S48" i="1" s="1"/>
  <c r="L11" i="1"/>
  <c r="R11" i="1"/>
  <c r="S11" i="1" s="1"/>
  <c r="L56" i="1"/>
  <c r="R56" i="1"/>
  <c r="S56" i="1" s="1"/>
  <c r="K67" i="1"/>
  <c r="L7" i="1"/>
  <c r="P68" i="1" l="1"/>
  <c r="M67" i="1"/>
  <c r="N67" i="1"/>
  <c r="L8" i="1"/>
  <c r="R8" i="1" s="1"/>
  <c r="S8" i="1" s="1"/>
  <c r="L57" i="1"/>
  <c r="R57" i="1" s="1"/>
  <c r="S57" i="1" s="1"/>
  <c r="R7" i="1"/>
  <c r="L67" i="1" l="1"/>
  <c r="R67" i="1"/>
  <c r="S7" i="1"/>
  <c r="S67" i="1" s="1"/>
  <c r="S69" i="1" s="1"/>
</calcChain>
</file>

<file path=xl/sharedStrings.xml><?xml version="1.0" encoding="utf-8"?>
<sst xmlns="http://schemas.openxmlformats.org/spreadsheetml/2006/main" count="181" uniqueCount="142">
  <si>
    <t>w</t>
  </si>
  <si>
    <t>d</t>
  </si>
  <si>
    <t>h</t>
  </si>
  <si>
    <t>q</t>
  </si>
  <si>
    <t>B</t>
  </si>
  <si>
    <t>AV Pad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</si>
  <si>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</si>
  <si>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</si>
  <si>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</si>
  <si>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</si>
  <si>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</si>
  <si>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</si>
  <si>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</si>
  <si>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</si>
  <si>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</si>
  <si>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</si>
  <si>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</si>
  <si>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</si>
  <si>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</si>
  <si>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</si>
  <si>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</si>
  <si>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</si>
  <si>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</si>
  <si>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</si>
  <si>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</si>
  <si>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Sides</t>
  </si>
  <si>
    <t>T/B</t>
  </si>
  <si>
    <t>Indexing L in depth</t>
  </si>
  <si>
    <t>Indexing L in height</t>
  </si>
  <si>
    <t>Gland Plate</t>
  </si>
  <si>
    <t>C Plate</t>
  </si>
  <si>
    <t>Base width</t>
  </si>
  <si>
    <t>Base Depth</t>
  </si>
  <si>
    <t>Base Cover Thin</t>
  </si>
  <si>
    <t>Wall mtg Bkt</t>
  </si>
  <si>
    <t>Side Gland Plate</t>
  </si>
  <si>
    <t>Stiffener</t>
  </si>
  <si>
    <t>Drawer</t>
  </si>
  <si>
    <t>Drawer stiffner</t>
  </si>
  <si>
    <t>Front Plates</t>
  </si>
  <si>
    <t>Side plates screwed</t>
  </si>
  <si>
    <t>Lower closing plates</t>
  </si>
  <si>
    <t>Keyboard drawer</t>
  </si>
  <si>
    <t>Special Keyboard drawer</t>
  </si>
  <si>
    <t>Monitor bottom tray</t>
  </si>
  <si>
    <t>1st tire monitor mtg bkt</t>
  </si>
  <si>
    <t>2nd tire monitor mtg bkt</t>
  </si>
  <si>
    <t>Door</t>
  </si>
  <si>
    <t>Supp Ch V</t>
  </si>
  <si>
    <t>Supp Ch H</t>
  </si>
  <si>
    <t>Index L</t>
  </si>
  <si>
    <t>15mm Anti Vibration</t>
  </si>
  <si>
    <t>Anti Vibration Plate</t>
  </si>
  <si>
    <t>Sr No</t>
  </si>
  <si>
    <t>Description</t>
  </si>
  <si>
    <t>Make</t>
  </si>
  <si>
    <t>Qty</t>
  </si>
  <si>
    <t>Price</t>
  </si>
  <si>
    <t>Total</t>
  </si>
  <si>
    <t>Fans</t>
  </si>
  <si>
    <t>Hicool</t>
  </si>
  <si>
    <t>Tublight 11W</t>
  </si>
  <si>
    <t>Zelco+Phillips</t>
  </si>
  <si>
    <t>CPU Tray</t>
  </si>
  <si>
    <t>Microswitch</t>
  </si>
  <si>
    <t>Siemens</t>
  </si>
  <si>
    <t>Rails</t>
  </si>
  <si>
    <t>Switch + Spike buster</t>
  </si>
  <si>
    <t>Anchor</t>
  </si>
  <si>
    <t>L</t>
  </si>
  <si>
    <t>Terminals</t>
  </si>
  <si>
    <t>Reputed</t>
  </si>
  <si>
    <t>Drawing Pocket</t>
  </si>
  <si>
    <t>Terminal Ch</t>
  </si>
  <si>
    <t>Tublight mtg bkt</t>
  </si>
  <si>
    <t>End clamps</t>
  </si>
  <si>
    <t>Vertical Supp Ch</t>
  </si>
  <si>
    <t>End plates</t>
  </si>
  <si>
    <t>Hor Supp Ch</t>
  </si>
  <si>
    <t>1.5mm Sq wire</t>
  </si>
  <si>
    <t>Transport</t>
  </si>
  <si>
    <t>Labour</t>
  </si>
  <si>
    <t>Lifting Hooks</t>
  </si>
  <si>
    <t>PVC Duct</t>
  </si>
  <si>
    <t>Gasket PE</t>
  </si>
  <si>
    <t>2 Pole MCB</t>
  </si>
  <si>
    <t>Gasket PU</t>
  </si>
  <si>
    <t>Lock</t>
  </si>
  <si>
    <t>Margin</t>
  </si>
  <si>
    <t>Handle</t>
  </si>
  <si>
    <t>Grand Total</t>
  </si>
  <si>
    <t>cutout</t>
  </si>
  <si>
    <t>Filters</t>
  </si>
  <si>
    <t>Fan</t>
  </si>
  <si>
    <t>Hinge</t>
  </si>
  <si>
    <t>Hardware</t>
  </si>
  <si>
    <t>Assly</t>
  </si>
  <si>
    <t>Packing</t>
  </si>
  <si>
    <t xml:space="preserve">                          Parts List For DCS DESK 1.5.asm</t>
  </si>
  <si>
    <t>Item Number</t>
  </si>
  <si>
    <t>File Name</t>
  </si>
  <si>
    <t>Flat_Pattern_Model_CutSizeX</t>
  </si>
  <si>
    <t>Flat_Pattern_Model_CutSizeY</t>
  </si>
  <si>
    <t>Material Thickness</t>
  </si>
  <si>
    <t>Quantity</t>
  </si>
  <si>
    <t>Material</t>
  </si>
  <si>
    <t>Door Rear 4 bend.psm</t>
  </si>
  <si>
    <t>Steel</t>
  </si>
  <si>
    <t>Door Front 5 Bend.psm</t>
  </si>
  <si>
    <t>Door Rear 5 Bend.psm</t>
  </si>
  <si>
    <t>Indexing L Depthwise Top_mir.psm</t>
  </si>
  <si>
    <t>Indexing L Depthwise bottom.psm</t>
  </si>
  <si>
    <t>Indexing L Depthwise bottom_mir.psm</t>
  </si>
  <si>
    <t>Indexing L Depthwise Top.psm</t>
  </si>
  <si>
    <t>Keyboard Drawer Supp L.psm</t>
  </si>
  <si>
    <t>Keyboard Drawer.psm</t>
  </si>
  <si>
    <t>Keyboard Drawer Front Tray.psm</t>
  </si>
  <si>
    <t>Tublight Mtg Bkt.psm</t>
  </si>
  <si>
    <t>Projection Side Plate.psm</t>
  </si>
  <si>
    <t>Telescopic Rail Keyboard.par</t>
  </si>
  <si>
    <t>Door Front 4 bend.psm</t>
  </si>
  <si>
    <t>Projection Channels_mir.psm</t>
  </si>
  <si>
    <t>Door Front Stiffener C V.psm</t>
  </si>
  <si>
    <t>Box Bottom.psm</t>
  </si>
  <si>
    <t>Box Top width supp welded.psm</t>
  </si>
  <si>
    <t>Box Sides_mir.psm</t>
  </si>
  <si>
    <t>Sheet below drawer.psm</t>
  </si>
  <si>
    <t>Box Top.psm</t>
  </si>
  <si>
    <t>Box Sides.psm</t>
  </si>
  <si>
    <t>Door Rear Stiffener C H.psm</t>
  </si>
  <si>
    <t>Box Front Ch.psm</t>
  </si>
  <si>
    <t>Base Depth Ch.psm</t>
  </si>
  <si>
    <t>Base Width Ch.psm</t>
  </si>
  <si>
    <t>Door Front Stiffener C H.psm</t>
  </si>
  <si>
    <t>Front Top Tray.psm</t>
  </si>
  <si>
    <t>Door Rear Stiffener C V.psm</t>
  </si>
  <si>
    <t>Projection Channels.psm</t>
  </si>
  <si>
    <t>C Plate Side.psm</t>
  </si>
  <si>
    <t>Galvanized steel</t>
  </si>
  <si>
    <t>COSTING OF  PC TABLE DCS DESK</t>
  </si>
  <si>
    <t>Thk</t>
  </si>
  <si>
    <t>Upper Box Projection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</si>
</sst>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5" fillId="0" borderId="0" xfId="0" applyFont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81E1-EDEB-4AB8-B2FE-ECFF659BEE7E}">
  <dimension ref="A1:AC460"/>
  <sheetViews>
    <sheetView tabSelected="1" zoomScale="75" workbookViewId="0">
      <pane xSplit="4" ySplit="6" topLeftCell="E7" activePane="bottomRight" state="frozen"/>
      <selection activeCell="E62" sqref="E62"/>
      <selection pane="topRight" activeCell="E62" sqref="E62"/>
      <selection pane="bottomLeft" activeCell="E62" sqref="E62"/>
      <selection pane="bottomRight" activeCell="H26" sqref="H26"/>
    </sheetView>
  </sheetViews>
  <sheetFormatPr defaultRowHeight="13.2" x14ac:dyDescent="0.25"/>
  <cols>
    <col min="1" max="1" width="3.109375" customWidth="1"/>
    <col min="2" max="2" width="21.6640625" customWidth="1"/>
    <col min="3" max="3" width="5.88671875" customWidth="1"/>
    <col min="4" max="4" width="5.44140625" customWidth="1"/>
    <col min="5" max="5" width="6.6640625" customWidth="1"/>
    <col min="6" max="6" width="6.33203125" customWidth="1"/>
    <col min="7" max="8" width="6" customWidth="1"/>
    <col min="9" max="9" width="6.44140625" customWidth="1"/>
    <col min="10" max="10" width="6.109375" customWidth="1"/>
    <col min="11" max="11" width="6.44140625" customWidth="1"/>
    <col min="12" max="12" width="6.88671875" customWidth="1"/>
    <col min="13" max="13" width="5.6640625" customWidth="1"/>
    <col min="14" max="14" width="6.6640625" customWidth="1"/>
    <col min="15" max="15" width="5.33203125" customWidth="1"/>
    <col min="16" max="16" width="5.6640625" customWidth="1"/>
    <col min="17" max="17" width="5.44140625" customWidth="1"/>
    <col min="18" max="18" width="7.6640625" customWidth="1"/>
    <col min="19" max="19" width="7.5546875" customWidth="1"/>
    <col min="20" max="20" width="7.6640625" customWidth="1"/>
    <col min="21" max="21" width="12.6640625" customWidth="1"/>
    <col min="22" max="22" width="10.6640625" customWidth="1"/>
    <col min="23" max="23" width="16.109375" customWidth="1"/>
    <col min="24" max="24" width="15.88671875" customWidth="1"/>
    <col min="25" max="25" width="10.6640625" customWidth="1"/>
    <col min="26" max="26" width="14.88671875" customWidth="1"/>
    <col min="257" max="257" width="3.109375" customWidth="1"/>
    <col min="258" max="258" width="12.5546875" customWidth="1"/>
    <col min="259" max="259" width="5.88671875" customWidth="1"/>
    <col min="260" max="260" width="5.44140625" customWidth="1"/>
    <col min="261" max="261" width="6.6640625" customWidth="1"/>
    <col min="262" max="262" width="6.33203125" customWidth="1"/>
    <col min="263" max="264" width="6" customWidth="1"/>
    <col min="265" max="265" width="6.44140625" customWidth="1"/>
    <col min="266" max="266" width="6.109375" customWidth="1"/>
    <col min="267" max="267" width="6.44140625" customWidth="1"/>
    <col min="268" max="268" width="6.88671875" customWidth="1"/>
    <col min="269" max="269" width="5.33203125" customWidth="1"/>
    <col min="270" max="270" width="5.44140625" customWidth="1"/>
    <col min="271" max="271" width="5.33203125" customWidth="1"/>
    <col min="272" max="272" width="5.6640625" customWidth="1"/>
    <col min="273" max="273" width="5.44140625" customWidth="1"/>
    <col min="274" max="274" width="7.6640625" customWidth="1"/>
    <col min="275" max="275" width="6.44140625" customWidth="1"/>
    <col min="276" max="276" width="6.109375" customWidth="1"/>
    <col min="277" max="277" width="12.6640625" customWidth="1"/>
    <col min="278" max="278" width="10.6640625" customWidth="1"/>
    <col min="279" max="279" width="16.109375" customWidth="1"/>
    <col min="280" max="280" width="11.5546875" customWidth="1"/>
    <col min="281" max="281" width="6.33203125" customWidth="1"/>
    <col min="282" max="282" width="14.88671875" customWidth="1"/>
    <col min="513" max="513" width="3.109375" customWidth="1"/>
    <col min="514" max="514" width="12.5546875" customWidth="1"/>
    <col min="515" max="515" width="5.88671875" customWidth="1"/>
    <col min="516" max="516" width="5.44140625" customWidth="1"/>
    <col min="517" max="517" width="6.6640625" customWidth="1"/>
    <col min="518" max="518" width="6.33203125" customWidth="1"/>
    <col min="519" max="520" width="6" customWidth="1"/>
    <col min="521" max="521" width="6.44140625" customWidth="1"/>
    <col min="522" max="522" width="6.109375" customWidth="1"/>
    <col min="523" max="523" width="6.44140625" customWidth="1"/>
    <col min="524" max="524" width="6.88671875" customWidth="1"/>
    <col min="525" max="525" width="5.33203125" customWidth="1"/>
    <col min="526" max="526" width="5.44140625" customWidth="1"/>
    <col min="527" max="527" width="5.33203125" customWidth="1"/>
    <col min="528" max="528" width="5.6640625" customWidth="1"/>
    <col min="529" max="529" width="5.44140625" customWidth="1"/>
    <col min="530" max="530" width="7.6640625" customWidth="1"/>
    <col min="531" max="531" width="6.44140625" customWidth="1"/>
    <col min="532" max="532" width="6.109375" customWidth="1"/>
    <col min="533" max="533" width="12.6640625" customWidth="1"/>
    <col min="534" max="534" width="10.6640625" customWidth="1"/>
    <col min="535" max="535" width="16.109375" customWidth="1"/>
    <col min="536" max="536" width="11.5546875" customWidth="1"/>
    <col min="537" max="537" width="6.33203125" customWidth="1"/>
    <col min="538" max="538" width="14.88671875" customWidth="1"/>
    <col min="769" max="769" width="3.109375" customWidth="1"/>
    <col min="770" max="770" width="12.5546875" customWidth="1"/>
    <col min="771" max="771" width="5.88671875" customWidth="1"/>
    <col min="772" max="772" width="5.44140625" customWidth="1"/>
    <col min="773" max="773" width="6.6640625" customWidth="1"/>
    <col min="774" max="774" width="6.33203125" customWidth="1"/>
    <col min="775" max="776" width="6" customWidth="1"/>
    <col min="777" max="777" width="6.44140625" customWidth="1"/>
    <col min="778" max="778" width="6.109375" customWidth="1"/>
    <col min="779" max="779" width="6.44140625" customWidth="1"/>
    <col min="780" max="780" width="6.88671875" customWidth="1"/>
    <col min="781" max="781" width="5.33203125" customWidth="1"/>
    <col min="782" max="782" width="5.44140625" customWidth="1"/>
    <col min="783" max="783" width="5.33203125" customWidth="1"/>
    <col min="784" max="784" width="5.6640625" customWidth="1"/>
    <col min="785" max="785" width="5.44140625" customWidth="1"/>
    <col min="786" max="786" width="7.6640625" customWidth="1"/>
    <col min="787" max="787" width="6.44140625" customWidth="1"/>
    <col min="788" max="788" width="6.109375" customWidth="1"/>
    <col min="789" max="789" width="12.6640625" customWidth="1"/>
    <col min="790" max="790" width="10.6640625" customWidth="1"/>
    <col min="791" max="791" width="16.109375" customWidth="1"/>
    <col min="792" max="792" width="11.5546875" customWidth="1"/>
    <col min="793" max="793" width="6.33203125" customWidth="1"/>
    <col min="794" max="794" width="14.88671875" customWidth="1"/>
    <col min="1025" max="1025" width="3.109375" customWidth="1"/>
    <col min="1026" max="1026" width="12.5546875" customWidth="1"/>
    <col min="1027" max="1027" width="5.88671875" customWidth="1"/>
    <col min="1028" max="1028" width="5.44140625" customWidth="1"/>
    <col min="1029" max="1029" width="6.6640625" customWidth="1"/>
    <col min="1030" max="1030" width="6.33203125" customWidth="1"/>
    <col min="1031" max="1032" width="6" customWidth="1"/>
    <col min="1033" max="1033" width="6.44140625" customWidth="1"/>
    <col min="1034" max="1034" width="6.109375" customWidth="1"/>
    <col min="1035" max="1035" width="6.44140625" customWidth="1"/>
    <col min="1036" max="1036" width="6.88671875" customWidth="1"/>
    <col min="1037" max="1037" width="5.33203125" customWidth="1"/>
    <col min="1038" max="1038" width="5.44140625" customWidth="1"/>
    <col min="1039" max="1039" width="5.33203125" customWidth="1"/>
    <col min="1040" max="1040" width="5.6640625" customWidth="1"/>
    <col min="1041" max="1041" width="5.44140625" customWidth="1"/>
    <col min="1042" max="1042" width="7.6640625" customWidth="1"/>
    <col min="1043" max="1043" width="6.44140625" customWidth="1"/>
    <col min="1044" max="1044" width="6.109375" customWidth="1"/>
    <col min="1045" max="1045" width="12.6640625" customWidth="1"/>
    <col min="1046" max="1046" width="10.6640625" customWidth="1"/>
    <col min="1047" max="1047" width="16.109375" customWidth="1"/>
    <col min="1048" max="1048" width="11.5546875" customWidth="1"/>
    <col min="1049" max="1049" width="6.33203125" customWidth="1"/>
    <col min="1050" max="1050" width="14.88671875" customWidth="1"/>
    <col min="1281" max="1281" width="3.109375" customWidth="1"/>
    <col min="1282" max="1282" width="12.5546875" customWidth="1"/>
    <col min="1283" max="1283" width="5.88671875" customWidth="1"/>
    <col min="1284" max="1284" width="5.44140625" customWidth="1"/>
    <col min="1285" max="1285" width="6.6640625" customWidth="1"/>
    <col min="1286" max="1286" width="6.33203125" customWidth="1"/>
    <col min="1287" max="1288" width="6" customWidth="1"/>
    <col min="1289" max="1289" width="6.44140625" customWidth="1"/>
    <col min="1290" max="1290" width="6.109375" customWidth="1"/>
    <col min="1291" max="1291" width="6.44140625" customWidth="1"/>
    <col min="1292" max="1292" width="6.88671875" customWidth="1"/>
    <col min="1293" max="1293" width="5.33203125" customWidth="1"/>
    <col min="1294" max="1294" width="5.44140625" customWidth="1"/>
    <col min="1295" max="1295" width="5.33203125" customWidth="1"/>
    <col min="1296" max="1296" width="5.6640625" customWidth="1"/>
    <col min="1297" max="1297" width="5.44140625" customWidth="1"/>
    <col min="1298" max="1298" width="7.6640625" customWidth="1"/>
    <col min="1299" max="1299" width="6.44140625" customWidth="1"/>
    <col min="1300" max="1300" width="6.109375" customWidth="1"/>
    <col min="1301" max="1301" width="12.6640625" customWidth="1"/>
    <col min="1302" max="1302" width="10.6640625" customWidth="1"/>
    <col min="1303" max="1303" width="16.109375" customWidth="1"/>
    <col min="1304" max="1304" width="11.5546875" customWidth="1"/>
    <col min="1305" max="1305" width="6.33203125" customWidth="1"/>
    <col min="1306" max="1306" width="14.88671875" customWidth="1"/>
    <col min="1537" max="1537" width="3.109375" customWidth="1"/>
    <col min="1538" max="1538" width="12.5546875" customWidth="1"/>
    <col min="1539" max="1539" width="5.88671875" customWidth="1"/>
    <col min="1540" max="1540" width="5.44140625" customWidth="1"/>
    <col min="1541" max="1541" width="6.6640625" customWidth="1"/>
    <col min="1542" max="1542" width="6.33203125" customWidth="1"/>
    <col min="1543" max="1544" width="6" customWidth="1"/>
    <col min="1545" max="1545" width="6.44140625" customWidth="1"/>
    <col min="1546" max="1546" width="6.109375" customWidth="1"/>
    <col min="1547" max="1547" width="6.44140625" customWidth="1"/>
    <col min="1548" max="1548" width="6.88671875" customWidth="1"/>
    <col min="1549" max="1549" width="5.33203125" customWidth="1"/>
    <col min="1550" max="1550" width="5.44140625" customWidth="1"/>
    <col min="1551" max="1551" width="5.33203125" customWidth="1"/>
    <col min="1552" max="1552" width="5.6640625" customWidth="1"/>
    <col min="1553" max="1553" width="5.44140625" customWidth="1"/>
    <col min="1554" max="1554" width="7.6640625" customWidth="1"/>
    <col min="1555" max="1555" width="6.44140625" customWidth="1"/>
    <col min="1556" max="1556" width="6.109375" customWidth="1"/>
    <col min="1557" max="1557" width="12.6640625" customWidth="1"/>
    <col min="1558" max="1558" width="10.6640625" customWidth="1"/>
    <col min="1559" max="1559" width="16.109375" customWidth="1"/>
    <col min="1560" max="1560" width="11.5546875" customWidth="1"/>
    <col min="1561" max="1561" width="6.33203125" customWidth="1"/>
    <col min="1562" max="1562" width="14.88671875" customWidth="1"/>
    <col min="1793" max="1793" width="3.109375" customWidth="1"/>
    <col min="1794" max="1794" width="12.5546875" customWidth="1"/>
    <col min="1795" max="1795" width="5.88671875" customWidth="1"/>
    <col min="1796" max="1796" width="5.44140625" customWidth="1"/>
    <col min="1797" max="1797" width="6.6640625" customWidth="1"/>
    <col min="1798" max="1798" width="6.33203125" customWidth="1"/>
    <col min="1799" max="1800" width="6" customWidth="1"/>
    <col min="1801" max="1801" width="6.44140625" customWidth="1"/>
    <col min="1802" max="1802" width="6.109375" customWidth="1"/>
    <col min="1803" max="1803" width="6.44140625" customWidth="1"/>
    <col min="1804" max="1804" width="6.88671875" customWidth="1"/>
    <col min="1805" max="1805" width="5.33203125" customWidth="1"/>
    <col min="1806" max="1806" width="5.44140625" customWidth="1"/>
    <col min="1807" max="1807" width="5.33203125" customWidth="1"/>
    <col min="1808" max="1808" width="5.6640625" customWidth="1"/>
    <col min="1809" max="1809" width="5.44140625" customWidth="1"/>
    <col min="1810" max="1810" width="7.6640625" customWidth="1"/>
    <col min="1811" max="1811" width="6.44140625" customWidth="1"/>
    <col min="1812" max="1812" width="6.109375" customWidth="1"/>
    <col min="1813" max="1813" width="12.6640625" customWidth="1"/>
    <col min="1814" max="1814" width="10.6640625" customWidth="1"/>
    <col min="1815" max="1815" width="16.109375" customWidth="1"/>
    <col min="1816" max="1816" width="11.5546875" customWidth="1"/>
    <col min="1817" max="1817" width="6.33203125" customWidth="1"/>
    <col min="1818" max="1818" width="14.88671875" customWidth="1"/>
    <col min="2049" max="2049" width="3.109375" customWidth="1"/>
    <col min="2050" max="2050" width="12.5546875" customWidth="1"/>
    <col min="2051" max="2051" width="5.88671875" customWidth="1"/>
    <col min="2052" max="2052" width="5.44140625" customWidth="1"/>
    <col min="2053" max="2053" width="6.6640625" customWidth="1"/>
    <col min="2054" max="2054" width="6.33203125" customWidth="1"/>
    <col min="2055" max="2056" width="6" customWidth="1"/>
    <col min="2057" max="2057" width="6.44140625" customWidth="1"/>
    <col min="2058" max="2058" width="6.109375" customWidth="1"/>
    <col min="2059" max="2059" width="6.44140625" customWidth="1"/>
    <col min="2060" max="2060" width="6.88671875" customWidth="1"/>
    <col min="2061" max="2061" width="5.33203125" customWidth="1"/>
    <col min="2062" max="2062" width="5.44140625" customWidth="1"/>
    <col min="2063" max="2063" width="5.33203125" customWidth="1"/>
    <col min="2064" max="2064" width="5.6640625" customWidth="1"/>
    <col min="2065" max="2065" width="5.44140625" customWidth="1"/>
    <col min="2066" max="2066" width="7.6640625" customWidth="1"/>
    <col min="2067" max="2067" width="6.44140625" customWidth="1"/>
    <col min="2068" max="2068" width="6.109375" customWidth="1"/>
    <col min="2069" max="2069" width="12.6640625" customWidth="1"/>
    <col min="2070" max="2070" width="10.6640625" customWidth="1"/>
    <col min="2071" max="2071" width="16.109375" customWidth="1"/>
    <col min="2072" max="2072" width="11.5546875" customWidth="1"/>
    <col min="2073" max="2073" width="6.33203125" customWidth="1"/>
    <col min="2074" max="2074" width="14.88671875" customWidth="1"/>
    <col min="2305" max="2305" width="3.109375" customWidth="1"/>
    <col min="2306" max="2306" width="12.5546875" customWidth="1"/>
    <col min="2307" max="2307" width="5.88671875" customWidth="1"/>
    <col min="2308" max="2308" width="5.44140625" customWidth="1"/>
    <col min="2309" max="2309" width="6.6640625" customWidth="1"/>
    <col min="2310" max="2310" width="6.33203125" customWidth="1"/>
    <col min="2311" max="2312" width="6" customWidth="1"/>
    <col min="2313" max="2313" width="6.44140625" customWidth="1"/>
    <col min="2314" max="2314" width="6.109375" customWidth="1"/>
    <col min="2315" max="2315" width="6.44140625" customWidth="1"/>
    <col min="2316" max="2316" width="6.88671875" customWidth="1"/>
    <col min="2317" max="2317" width="5.33203125" customWidth="1"/>
    <col min="2318" max="2318" width="5.44140625" customWidth="1"/>
    <col min="2319" max="2319" width="5.33203125" customWidth="1"/>
    <col min="2320" max="2320" width="5.6640625" customWidth="1"/>
    <col min="2321" max="2321" width="5.44140625" customWidth="1"/>
    <col min="2322" max="2322" width="7.6640625" customWidth="1"/>
    <col min="2323" max="2323" width="6.44140625" customWidth="1"/>
    <col min="2324" max="2324" width="6.109375" customWidth="1"/>
    <col min="2325" max="2325" width="12.6640625" customWidth="1"/>
    <col min="2326" max="2326" width="10.6640625" customWidth="1"/>
    <col min="2327" max="2327" width="16.109375" customWidth="1"/>
    <col min="2328" max="2328" width="11.5546875" customWidth="1"/>
    <col min="2329" max="2329" width="6.33203125" customWidth="1"/>
    <col min="2330" max="2330" width="14.88671875" customWidth="1"/>
    <col min="2561" max="2561" width="3.109375" customWidth="1"/>
    <col min="2562" max="2562" width="12.5546875" customWidth="1"/>
    <col min="2563" max="2563" width="5.88671875" customWidth="1"/>
    <col min="2564" max="2564" width="5.44140625" customWidth="1"/>
    <col min="2565" max="2565" width="6.6640625" customWidth="1"/>
    <col min="2566" max="2566" width="6.33203125" customWidth="1"/>
    <col min="2567" max="2568" width="6" customWidth="1"/>
    <col min="2569" max="2569" width="6.44140625" customWidth="1"/>
    <col min="2570" max="2570" width="6.109375" customWidth="1"/>
    <col min="2571" max="2571" width="6.44140625" customWidth="1"/>
    <col min="2572" max="2572" width="6.88671875" customWidth="1"/>
    <col min="2573" max="2573" width="5.33203125" customWidth="1"/>
    <col min="2574" max="2574" width="5.44140625" customWidth="1"/>
    <col min="2575" max="2575" width="5.33203125" customWidth="1"/>
    <col min="2576" max="2576" width="5.6640625" customWidth="1"/>
    <col min="2577" max="2577" width="5.44140625" customWidth="1"/>
    <col min="2578" max="2578" width="7.6640625" customWidth="1"/>
    <col min="2579" max="2579" width="6.44140625" customWidth="1"/>
    <col min="2580" max="2580" width="6.109375" customWidth="1"/>
    <col min="2581" max="2581" width="12.6640625" customWidth="1"/>
    <col min="2582" max="2582" width="10.6640625" customWidth="1"/>
    <col min="2583" max="2583" width="16.109375" customWidth="1"/>
    <col min="2584" max="2584" width="11.5546875" customWidth="1"/>
    <col min="2585" max="2585" width="6.33203125" customWidth="1"/>
    <col min="2586" max="2586" width="14.88671875" customWidth="1"/>
    <col min="2817" max="2817" width="3.109375" customWidth="1"/>
    <col min="2818" max="2818" width="12.5546875" customWidth="1"/>
    <col min="2819" max="2819" width="5.88671875" customWidth="1"/>
    <col min="2820" max="2820" width="5.44140625" customWidth="1"/>
    <col min="2821" max="2821" width="6.6640625" customWidth="1"/>
    <col min="2822" max="2822" width="6.33203125" customWidth="1"/>
    <col min="2823" max="2824" width="6" customWidth="1"/>
    <col min="2825" max="2825" width="6.44140625" customWidth="1"/>
    <col min="2826" max="2826" width="6.109375" customWidth="1"/>
    <col min="2827" max="2827" width="6.44140625" customWidth="1"/>
    <col min="2828" max="2828" width="6.88671875" customWidth="1"/>
    <col min="2829" max="2829" width="5.33203125" customWidth="1"/>
    <col min="2830" max="2830" width="5.44140625" customWidth="1"/>
    <col min="2831" max="2831" width="5.33203125" customWidth="1"/>
    <col min="2832" max="2832" width="5.6640625" customWidth="1"/>
    <col min="2833" max="2833" width="5.44140625" customWidth="1"/>
    <col min="2834" max="2834" width="7.6640625" customWidth="1"/>
    <col min="2835" max="2835" width="6.44140625" customWidth="1"/>
    <col min="2836" max="2836" width="6.109375" customWidth="1"/>
    <col min="2837" max="2837" width="12.6640625" customWidth="1"/>
    <col min="2838" max="2838" width="10.6640625" customWidth="1"/>
    <col min="2839" max="2839" width="16.109375" customWidth="1"/>
    <col min="2840" max="2840" width="11.5546875" customWidth="1"/>
    <col min="2841" max="2841" width="6.33203125" customWidth="1"/>
    <col min="2842" max="2842" width="14.88671875" customWidth="1"/>
    <col min="3073" max="3073" width="3.109375" customWidth="1"/>
    <col min="3074" max="3074" width="12.5546875" customWidth="1"/>
    <col min="3075" max="3075" width="5.88671875" customWidth="1"/>
    <col min="3076" max="3076" width="5.44140625" customWidth="1"/>
    <col min="3077" max="3077" width="6.6640625" customWidth="1"/>
    <col min="3078" max="3078" width="6.33203125" customWidth="1"/>
    <col min="3079" max="3080" width="6" customWidth="1"/>
    <col min="3081" max="3081" width="6.44140625" customWidth="1"/>
    <col min="3082" max="3082" width="6.109375" customWidth="1"/>
    <col min="3083" max="3083" width="6.44140625" customWidth="1"/>
    <col min="3084" max="3084" width="6.88671875" customWidth="1"/>
    <col min="3085" max="3085" width="5.33203125" customWidth="1"/>
    <col min="3086" max="3086" width="5.44140625" customWidth="1"/>
    <col min="3087" max="3087" width="5.33203125" customWidth="1"/>
    <col min="3088" max="3088" width="5.6640625" customWidth="1"/>
    <col min="3089" max="3089" width="5.44140625" customWidth="1"/>
    <col min="3090" max="3090" width="7.6640625" customWidth="1"/>
    <col min="3091" max="3091" width="6.44140625" customWidth="1"/>
    <col min="3092" max="3092" width="6.109375" customWidth="1"/>
    <col min="3093" max="3093" width="12.6640625" customWidth="1"/>
    <col min="3094" max="3094" width="10.6640625" customWidth="1"/>
    <col min="3095" max="3095" width="16.109375" customWidth="1"/>
    <col min="3096" max="3096" width="11.5546875" customWidth="1"/>
    <col min="3097" max="3097" width="6.33203125" customWidth="1"/>
    <col min="3098" max="3098" width="14.88671875" customWidth="1"/>
    <col min="3329" max="3329" width="3.109375" customWidth="1"/>
    <col min="3330" max="3330" width="12.5546875" customWidth="1"/>
    <col min="3331" max="3331" width="5.88671875" customWidth="1"/>
    <col min="3332" max="3332" width="5.44140625" customWidth="1"/>
    <col min="3333" max="3333" width="6.6640625" customWidth="1"/>
    <col min="3334" max="3334" width="6.33203125" customWidth="1"/>
    <col min="3335" max="3336" width="6" customWidth="1"/>
    <col min="3337" max="3337" width="6.44140625" customWidth="1"/>
    <col min="3338" max="3338" width="6.109375" customWidth="1"/>
    <col min="3339" max="3339" width="6.44140625" customWidth="1"/>
    <col min="3340" max="3340" width="6.88671875" customWidth="1"/>
    <col min="3341" max="3341" width="5.33203125" customWidth="1"/>
    <col min="3342" max="3342" width="5.44140625" customWidth="1"/>
    <col min="3343" max="3343" width="5.33203125" customWidth="1"/>
    <col min="3344" max="3344" width="5.6640625" customWidth="1"/>
    <col min="3345" max="3345" width="5.44140625" customWidth="1"/>
    <col min="3346" max="3346" width="7.6640625" customWidth="1"/>
    <col min="3347" max="3347" width="6.44140625" customWidth="1"/>
    <col min="3348" max="3348" width="6.109375" customWidth="1"/>
    <col min="3349" max="3349" width="12.6640625" customWidth="1"/>
    <col min="3350" max="3350" width="10.6640625" customWidth="1"/>
    <col min="3351" max="3351" width="16.109375" customWidth="1"/>
    <col min="3352" max="3352" width="11.5546875" customWidth="1"/>
    <col min="3353" max="3353" width="6.33203125" customWidth="1"/>
    <col min="3354" max="3354" width="14.88671875" customWidth="1"/>
    <col min="3585" max="3585" width="3.109375" customWidth="1"/>
    <col min="3586" max="3586" width="12.5546875" customWidth="1"/>
    <col min="3587" max="3587" width="5.88671875" customWidth="1"/>
    <col min="3588" max="3588" width="5.44140625" customWidth="1"/>
    <col min="3589" max="3589" width="6.6640625" customWidth="1"/>
    <col min="3590" max="3590" width="6.33203125" customWidth="1"/>
    <col min="3591" max="3592" width="6" customWidth="1"/>
    <col min="3593" max="3593" width="6.44140625" customWidth="1"/>
    <col min="3594" max="3594" width="6.109375" customWidth="1"/>
    <col min="3595" max="3595" width="6.44140625" customWidth="1"/>
    <col min="3596" max="3596" width="6.88671875" customWidth="1"/>
    <col min="3597" max="3597" width="5.33203125" customWidth="1"/>
    <col min="3598" max="3598" width="5.44140625" customWidth="1"/>
    <col min="3599" max="3599" width="5.33203125" customWidth="1"/>
    <col min="3600" max="3600" width="5.6640625" customWidth="1"/>
    <col min="3601" max="3601" width="5.44140625" customWidth="1"/>
    <col min="3602" max="3602" width="7.6640625" customWidth="1"/>
    <col min="3603" max="3603" width="6.44140625" customWidth="1"/>
    <col min="3604" max="3604" width="6.109375" customWidth="1"/>
    <col min="3605" max="3605" width="12.6640625" customWidth="1"/>
    <col min="3606" max="3606" width="10.6640625" customWidth="1"/>
    <col min="3607" max="3607" width="16.109375" customWidth="1"/>
    <col min="3608" max="3608" width="11.5546875" customWidth="1"/>
    <col min="3609" max="3609" width="6.33203125" customWidth="1"/>
    <col min="3610" max="3610" width="14.88671875" customWidth="1"/>
    <col min="3841" max="3841" width="3.109375" customWidth="1"/>
    <col min="3842" max="3842" width="12.5546875" customWidth="1"/>
    <col min="3843" max="3843" width="5.88671875" customWidth="1"/>
    <col min="3844" max="3844" width="5.44140625" customWidth="1"/>
    <col min="3845" max="3845" width="6.6640625" customWidth="1"/>
    <col min="3846" max="3846" width="6.33203125" customWidth="1"/>
    <col min="3847" max="3848" width="6" customWidth="1"/>
    <col min="3849" max="3849" width="6.44140625" customWidth="1"/>
    <col min="3850" max="3850" width="6.109375" customWidth="1"/>
    <col min="3851" max="3851" width="6.44140625" customWidth="1"/>
    <col min="3852" max="3852" width="6.88671875" customWidth="1"/>
    <col min="3853" max="3853" width="5.33203125" customWidth="1"/>
    <col min="3854" max="3854" width="5.44140625" customWidth="1"/>
    <col min="3855" max="3855" width="5.33203125" customWidth="1"/>
    <col min="3856" max="3856" width="5.6640625" customWidth="1"/>
    <col min="3857" max="3857" width="5.44140625" customWidth="1"/>
    <col min="3858" max="3858" width="7.6640625" customWidth="1"/>
    <col min="3859" max="3859" width="6.44140625" customWidth="1"/>
    <col min="3860" max="3860" width="6.109375" customWidth="1"/>
    <col min="3861" max="3861" width="12.6640625" customWidth="1"/>
    <col min="3862" max="3862" width="10.6640625" customWidth="1"/>
    <col min="3863" max="3863" width="16.109375" customWidth="1"/>
    <col min="3864" max="3864" width="11.5546875" customWidth="1"/>
    <col min="3865" max="3865" width="6.33203125" customWidth="1"/>
    <col min="3866" max="3866" width="14.88671875" customWidth="1"/>
    <col min="4097" max="4097" width="3.109375" customWidth="1"/>
    <col min="4098" max="4098" width="12.5546875" customWidth="1"/>
    <col min="4099" max="4099" width="5.88671875" customWidth="1"/>
    <col min="4100" max="4100" width="5.44140625" customWidth="1"/>
    <col min="4101" max="4101" width="6.6640625" customWidth="1"/>
    <col min="4102" max="4102" width="6.33203125" customWidth="1"/>
    <col min="4103" max="4104" width="6" customWidth="1"/>
    <col min="4105" max="4105" width="6.44140625" customWidth="1"/>
    <col min="4106" max="4106" width="6.109375" customWidth="1"/>
    <col min="4107" max="4107" width="6.44140625" customWidth="1"/>
    <col min="4108" max="4108" width="6.88671875" customWidth="1"/>
    <col min="4109" max="4109" width="5.33203125" customWidth="1"/>
    <col min="4110" max="4110" width="5.44140625" customWidth="1"/>
    <col min="4111" max="4111" width="5.33203125" customWidth="1"/>
    <col min="4112" max="4112" width="5.6640625" customWidth="1"/>
    <col min="4113" max="4113" width="5.44140625" customWidth="1"/>
    <col min="4114" max="4114" width="7.6640625" customWidth="1"/>
    <col min="4115" max="4115" width="6.44140625" customWidth="1"/>
    <col min="4116" max="4116" width="6.109375" customWidth="1"/>
    <col min="4117" max="4117" width="12.6640625" customWidth="1"/>
    <col min="4118" max="4118" width="10.6640625" customWidth="1"/>
    <col min="4119" max="4119" width="16.109375" customWidth="1"/>
    <col min="4120" max="4120" width="11.5546875" customWidth="1"/>
    <col min="4121" max="4121" width="6.33203125" customWidth="1"/>
    <col min="4122" max="4122" width="14.88671875" customWidth="1"/>
    <col min="4353" max="4353" width="3.109375" customWidth="1"/>
    <col min="4354" max="4354" width="12.5546875" customWidth="1"/>
    <col min="4355" max="4355" width="5.88671875" customWidth="1"/>
    <col min="4356" max="4356" width="5.44140625" customWidth="1"/>
    <col min="4357" max="4357" width="6.6640625" customWidth="1"/>
    <col min="4358" max="4358" width="6.33203125" customWidth="1"/>
    <col min="4359" max="4360" width="6" customWidth="1"/>
    <col min="4361" max="4361" width="6.44140625" customWidth="1"/>
    <col min="4362" max="4362" width="6.109375" customWidth="1"/>
    <col min="4363" max="4363" width="6.44140625" customWidth="1"/>
    <col min="4364" max="4364" width="6.88671875" customWidth="1"/>
    <col min="4365" max="4365" width="5.33203125" customWidth="1"/>
    <col min="4366" max="4366" width="5.44140625" customWidth="1"/>
    <col min="4367" max="4367" width="5.33203125" customWidth="1"/>
    <col min="4368" max="4368" width="5.6640625" customWidth="1"/>
    <col min="4369" max="4369" width="5.44140625" customWidth="1"/>
    <col min="4370" max="4370" width="7.6640625" customWidth="1"/>
    <col min="4371" max="4371" width="6.44140625" customWidth="1"/>
    <col min="4372" max="4372" width="6.109375" customWidth="1"/>
    <col min="4373" max="4373" width="12.6640625" customWidth="1"/>
    <col min="4374" max="4374" width="10.6640625" customWidth="1"/>
    <col min="4375" max="4375" width="16.109375" customWidth="1"/>
    <col min="4376" max="4376" width="11.5546875" customWidth="1"/>
    <col min="4377" max="4377" width="6.33203125" customWidth="1"/>
    <col min="4378" max="4378" width="14.88671875" customWidth="1"/>
    <col min="4609" max="4609" width="3.109375" customWidth="1"/>
    <col min="4610" max="4610" width="12.5546875" customWidth="1"/>
    <col min="4611" max="4611" width="5.88671875" customWidth="1"/>
    <col min="4612" max="4612" width="5.44140625" customWidth="1"/>
    <col min="4613" max="4613" width="6.6640625" customWidth="1"/>
    <col min="4614" max="4614" width="6.33203125" customWidth="1"/>
    <col min="4615" max="4616" width="6" customWidth="1"/>
    <col min="4617" max="4617" width="6.44140625" customWidth="1"/>
    <col min="4618" max="4618" width="6.109375" customWidth="1"/>
    <col min="4619" max="4619" width="6.44140625" customWidth="1"/>
    <col min="4620" max="4620" width="6.88671875" customWidth="1"/>
    <col min="4621" max="4621" width="5.33203125" customWidth="1"/>
    <col min="4622" max="4622" width="5.44140625" customWidth="1"/>
    <col min="4623" max="4623" width="5.33203125" customWidth="1"/>
    <col min="4624" max="4624" width="5.6640625" customWidth="1"/>
    <col min="4625" max="4625" width="5.44140625" customWidth="1"/>
    <col min="4626" max="4626" width="7.6640625" customWidth="1"/>
    <col min="4627" max="4627" width="6.44140625" customWidth="1"/>
    <col min="4628" max="4628" width="6.109375" customWidth="1"/>
    <col min="4629" max="4629" width="12.6640625" customWidth="1"/>
    <col min="4630" max="4630" width="10.6640625" customWidth="1"/>
    <col min="4631" max="4631" width="16.109375" customWidth="1"/>
    <col min="4632" max="4632" width="11.5546875" customWidth="1"/>
    <col min="4633" max="4633" width="6.33203125" customWidth="1"/>
    <col min="4634" max="4634" width="14.88671875" customWidth="1"/>
    <col min="4865" max="4865" width="3.109375" customWidth="1"/>
    <col min="4866" max="4866" width="12.5546875" customWidth="1"/>
    <col min="4867" max="4867" width="5.88671875" customWidth="1"/>
    <col min="4868" max="4868" width="5.44140625" customWidth="1"/>
    <col min="4869" max="4869" width="6.6640625" customWidth="1"/>
    <col min="4870" max="4870" width="6.33203125" customWidth="1"/>
    <col min="4871" max="4872" width="6" customWidth="1"/>
    <col min="4873" max="4873" width="6.44140625" customWidth="1"/>
    <col min="4874" max="4874" width="6.109375" customWidth="1"/>
    <col min="4875" max="4875" width="6.44140625" customWidth="1"/>
    <col min="4876" max="4876" width="6.88671875" customWidth="1"/>
    <col min="4877" max="4877" width="5.33203125" customWidth="1"/>
    <col min="4878" max="4878" width="5.44140625" customWidth="1"/>
    <col min="4879" max="4879" width="5.33203125" customWidth="1"/>
    <col min="4880" max="4880" width="5.6640625" customWidth="1"/>
    <col min="4881" max="4881" width="5.44140625" customWidth="1"/>
    <col min="4882" max="4882" width="7.6640625" customWidth="1"/>
    <col min="4883" max="4883" width="6.44140625" customWidth="1"/>
    <col min="4884" max="4884" width="6.109375" customWidth="1"/>
    <col min="4885" max="4885" width="12.6640625" customWidth="1"/>
    <col min="4886" max="4886" width="10.6640625" customWidth="1"/>
    <col min="4887" max="4887" width="16.109375" customWidth="1"/>
    <col min="4888" max="4888" width="11.5546875" customWidth="1"/>
    <col min="4889" max="4889" width="6.33203125" customWidth="1"/>
    <col min="4890" max="4890" width="14.88671875" customWidth="1"/>
    <col min="5121" max="5121" width="3.109375" customWidth="1"/>
    <col min="5122" max="5122" width="12.5546875" customWidth="1"/>
    <col min="5123" max="5123" width="5.88671875" customWidth="1"/>
    <col min="5124" max="5124" width="5.44140625" customWidth="1"/>
    <col min="5125" max="5125" width="6.6640625" customWidth="1"/>
    <col min="5126" max="5126" width="6.33203125" customWidth="1"/>
    <col min="5127" max="5128" width="6" customWidth="1"/>
    <col min="5129" max="5129" width="6.44140625" customWidth="1"/>
    <col min="5130" max="5130" width="6.109375" customWidth="1"/>
    <col min="5131" max="5131" width="6.44140625" customWidth="1"/>
    <col min="5132" max="5132" width="6.88671875" customWidth="1"/>
    <col min="5133" max="5133" width="5.33203125" customWidth="1"/>
    <col min="5134" max="5134" width="5.44140625" customWidth="1"/>
    <col min="5135" max="5135" width="5.33203125" customWidth="1"/>
    <col min="5136" max="5136" width="5.6640625" customWidth="1"/>
    <col min="5137" max="5137" width="5.44140625" customWidth="1"/>
    <col min="5138" max="5138" width="7.6640625" customWidth="1"/>
    <col min="5139" max="5139" width="6.44140625" customWidth="1"/>
    <col min="5140" max="5140" width="6.109375" customWidth="1"/>
    <col min="5141" max="5141" width="12.6640625" customWidth="1"/>
    <col min="5142" max="5142" width="10.6640625" customWidth="1"/>
    <col min="5143" max="5143" width="16.109375" customWidth="1"/>
    <col min="5144" max="5144" width="11.5546875" customWidth="1"/>
    <col min="5145" max="5145" width="6.33203125" customWidth="1"/>
    <col min="5146" max="5146" width="14.88671875" customWidth="1"/>
    <col min="5377" max="5377" width="3.109375" customWidth="1"/>
    <col min="5378" max="5378" width="12.5546875" customWidth="1"/>
    <col min="5379" max="5379" width="5.88671875" customWidth="1"/>
    <col min="5380" max="5380" width="5.44140625" customWidth="1"/>
    <col min="5381" max="5381" width="6.6640625" customWidth="1"/>
    <col min="5382" max="5382" width="6.33203125" customWidth="1"/>
    <col min="5383" max="5384" width="6" customWidth="1"/>
    <col min="5385" max="5385" width="6.44140625" customWidth="1"/>
    <col min="5386" max="5386" width="6.109375" customWidth="1"/>
    <col min="5387" max="5387" width="6.44140625" customWidth="1"/>
    <col min="5388" max="5388" width="6.88671875" customWidth="1"/>
    <col min="5389" max="5389" width="5.33203125" customWidth="1"/>
    <col min="5390" max="5390" width="5.44140625" customWidth="1"/>
    <col min="5391" max="5391" width="5.33203125" customWidth="1"/>
    <col min="5392" max="5392" width="5.6640625" customWidth="1"/>
    <col min="5393" max="5393" width="5.44140625" customWidth="1"/>
    <col min="5394" max="5394" width="7.6640625" customWidth="1"/>
    <col min="5395" max="5395" width="6.44140625" customWidth="1"/>
    <col min="5396" max="5396" width="6.109375" customWidth="1"/>
    <col min="5397" max="5397" width="12.6640625" customWidth="1"/>
    <col min="5398" max="5398" width="10.6640625" customWidth="1"/>
    <col min="5399" max="5399" width="16.109375" customWidth="1"/>
    <col min="5400" max="5400" width="11.5546875" customWidth="1"/>
    <col min="5401" max="5401" width="6.33203125" customWidth="1"/>
    <col min="5402" max="5402" width="14.88671875" customWidth="1"/>
    <col min="5633" max="5633" width="3.109375" customWidth="1"/>
    <col min="5634" max="5634" width="12.5546875" customWidth="1"/>
    <col min="5635" max="5635" width="5.88671875" customWidth="1"/>
    <col min="5636" max="5636" width="5.44140625" customWidth="1"/>
    <col min="5637" max="5637" width="6.6640625" customWidth="1"/>
    <col min="5638" max="5638" width="6.33203125" customWidth="1"/>
    <col min="5639" max="5640" width="6" customWidth="1"/>
    <col min="5641" max="5641" width="6.44140625" customWidth="1"/>
    <col min="5642" max="5642" width="6.109375" customWidth="1"/>
    <col min="5643" max="5643" width="6.44140625" customWidth="1"/>
    <col min="5644" max="5644" width="6.88671875" customWidth="1"/>
    <col min="5645" max="5645" width="5.33203125" customWidth="1"/>
    <col min="5646" max="5646" width="5.44140625" customWidth="1"/>
    <col min="5647" max="5647" width="5.33203125" customWidth="1"/>
    <col min="5648" max="5648" width="5.6640625" customWidth="1"/>
    <col min="5649" max="5649" width="5.44140625" customWidth="1"/>
    <col min="5650" max="5650" width="7.6640625" customWidth="1"/>
    <col min="5651" max="5651" width="6.44140625" customWidth="1"/>
    <col min="5652" max="5652" width="6.109375" customWidth="1"/>
    <col min="5653" max="5653" width="12.6640625" customWidth="1"/>
    <col min="5654" max="5654" width="10.6640625" customWidth="1"/>
    <col min="5655" max="5655" width="16.109375" customWidth="1"/>
    <col min="5656" max="5656" width="11.5546875" customWidth="1"/>
    <col min="5657" max="5657" width="6.33203125" customWidth="1"/>
    <col min="5658" max="5658" width="14.88671875" customWidth="1"/>
    <col min="5889" max="5889" width="3.109375" customWidth="1"/>
    <col min="5890" max="5890" width="12.5546875" customWidth="1"/>
    <col min="5891" max="5891" width="5.88671875" customWidth="1"/>
    <col min="5892" max="5892" width="5.44140625" customWidth="1"/>
    <col min="5893" max="5893" width="6.6640625" customWidth="1"/>
    <col min="5894" max="5894" width="6.33203125" customWidth="1"/>
    <col min="5895" max="5896" width="6" customWidth="1"/>
    <col min="5897" max="5897" width="6.44140625" customWidth="1"/>
    <col min="5898" max="5898" width="6.109375" customWidth="1"/>
    <col min="5899" max="5899" width="6.44140625" customWidth="1"/>
    <col min="5900" max="5900" width="6.88671875" customWidth="1"/>
    <col min="5901" max="5901" width="5.33203125" customWidth="1"/>
    <col min="5902" max="5902" width="5.44140625" customWidth="1"/>
    <col min="5903" max="5903" width="5.33203125" customWidth="1"/>
    <col min="5904" max="5904" width="5.6640625" customWidth="1"/>
    <col min="5905" max="5905" width="5.44140625" customWidth="1"/>
    <col min="5906" max="5906" width="7.6640625" customWidth="1"/>
    <col min="5907" max="5907" width="6.44140625" customWidth="1"/>
    <col min="5908" max="5908" width="6.109375" customWidth="1"/>
    <col min="5909" max="5909" width="12.6640625" customWidth="1"/>
    <col min="5910" max="5910" width="10.6640625" customWidth="1"/>
    <col min="5911" max="5911" width="16.109375" customWidth="1"/>
    <col min="5912" max="5912" width="11.5546875" customWidth="1"/>
    <col min="5913" max="5913" width="6.33203125" customWidth="1"/>
    <col min="5914" max="5914" width="14.88671875" customWidth="1"/>
    <col min="6145" max="6145" width="3.109375" customWidth="1"/>
    <col min="6146" max="6146" width="12.5546875" customWidth="1"/>
    <col min="6147" max="6147" width="5.88671875" customWidth="1"/>
    <col min="6148" max="6148" width="5.44140625" customWidth="1"/>
    <col min="6149" max="6149" width="6.6640625" customWidth="1"/>
    <col min="6150" max="6150" width="6.33203125" customWidth="1"/>
    <col min="6151" max="6152" width="6" customWidth="1"/>
    <col min="6153" max="6153" width="6.44140625" customWidth="1"/>
    <col min="6154" max="6154" width="6.109375" customWidth="1"/>
    <col min="6155" max="6155" width="6.44140625" customWidth="1"/>
    <col min="6156" max="6156" width="6.88671875" customWidth="1"/>
    <col min="6157" max="6157" width="5.33203125" customWidth="1"/>
    <col min="6158" max="6158" width="5.44140625" customWidth="1"/>
    <col min="6159" max="6159" width="5.33203125" customWidth="1"/>
    <col min="6160" max="6160" width="5.6640625" customWidth="1"/>
    <col min="6161" max="6161" width="5.44140625" customWidth="1"/>
    <col min="6162" max="6162" width="7.6640625" customWidth="1"/>
    <col min="6163" max="6163" width="6.44140625" customWidth="1"/>
    <col min="6164" max="6164" width="6.109375" customWidth="1"/>
    <col min="6165" max="6165" width="12.6640625" customWidth="1"/>
    <col min="6166" max="6166" width="10.6640625" customWidth="1"/>
    <col min="6167" max="6167" width="16.109375" customWidth="1"/>
    <col min="6168" max="6168" width="11.5546875" customWidth="1"/>
    <col min="6169" max="6169" width="6.33203125" customWidth="1"/>
    <col min="6170" max="6170" width="14.88671875" customWidth="1"/>
    <col min="6401" max="6401" width="3.109375" customWidth="1"/>
    <col min="6402" max="6402" width="12.5546875" customWidth="1"/>
    <col min="6403" max="6403" width="5.88671875" customWidth="1"/>
    <col min="6404" max="6404" width="5.44140625" customWidth="1"/>
    <col min="6405" max="6405" width="6.6640625" customWidth="1"/>
    <col min="6406" max="6406" width="6.33203125" customWidth="1"/>
    <col min="6407" max="6408" width="6" customWidth="1"/>
    <col min="6409" max="6409" width="6.44140625" customWidth="1"/>
    <col min="6410" max="6410" width="6.109375" customWidth="1"/>
    <col min="6411" max="6411" width="6.44140625" customWidth="1"/>
    <col min="6412" max="6412" width="6.88671875" customWidth="1"/>
    <col min="6413" max="6413" width="5.33203125" customWidth="1"/>
    <col min="6414" max="6414" width="5.44140625" customWidth="1"/>
    <col min="6415" max="6415" width="5.33203125" customWidth="1"/>
    <col min="6416" max="6416" width="5.6640625" customWidth="1"/>
    <col min="6417" max="6417" width="5.44140625" customWidth="1"/>
    <col min="6418" max="6418" width="7.6640625" customWidth="1"/>
    <col min="6419" max="6419" width="6.44140625" customWidth="1"/>
    <col min="6420" max="6420" width="6.109375" customWidth="1"/>
    <col min="6421" max="6421" width="12.6640625" customWidth="1"/>
    <col min="6422" max="6422" width="10.6640625" customWidth="1"/>
    <col min="6423" max="6423" width="16.109375" customWidth="1"/>
    <col min="6424" max="6424" width="11.5546875" customWidth="1"/>
    <col min="6425" max="6425" width="6.33203125" customWidth="1"/>
    <col min="6426" max="6426" width="14.88671875" customWidth="1"/>
    <col min="6657" max="6657" width="3.109375" customWidth="1"/>
    <col min="6658" max="6658" width="12.5546875" customWidth="1"/>
    <col min="6659" max="6659" width="5.88671875" customWidth="1"/>
    <col min="6660" max="6660" width="5.44140625" customWidth="1"/>
    <col min="6661" max="6661" width="6.6640625" customWidth="1"/>
    <col min="6662" max="6662" width="6.33203125" customWidth="1"/>
    <col min="6663" max="6664" width="6" customWidth="1"/>
    <col min="6665" max="6665" width="6.44140625" customWidth="1"/>
    <col min="6666" max="6666" width="6.109375" customWidth="1"/>
    <col min="6667" max="6667" width="6.44140625" customWidth="1"/>
    <col min="6668" max="6668" width="6.88671875" customWidth="1"/>
    <col min="6669" max="6669" width="5.33203125" customWidth="1"/>
    <col min="6670" max="6670" width="5.44140625" customWidth="1"/>
    <col min="6671" max="6671" width="5.33203125" customWidth="1"/>
    <col min="6672" max="6672" width="5.6640625" customWidth="1"/>
    <col min="6673" max="6673" width="5.44140625" customWidth="1"/>
    <col min="6674" max="6674" width="7.6640625" customWidth="1"/>
    <col min="6675" max="6675" width="6.44140625" customWidth="1"/>
    <col min="6676" max="6676" width="6.109375" customWidth="1"/>
    <col min="6677" max="6677" width="12.6640625" customWidth="1"/>
    <col min="6678" max="6678" width="10.6640625" customWidth="1"/>
    <col min="6679" max="6679" width="16.109375" customWidth="1"/>
    <col min="6680" max="6680" width="11.5546875" customWidth="1"/>
    <col min="6681" max="6681" width="6.33203125" customWidth="1"/>
    <col min="6682" max="6682" width="14.88671875" customWidth="1"/>
    <col min="6913" max="6913" width="3.109375" customWidth="1"/>
    <col min="6914" max="6914" width="12.5546875" customWidth="1"/>
    <col min="6915" max="6915" width="5.88671875" customWidth="1"/>
    <col min="6916" max="6916" width="5.44140625" customWidth="1"/>
    <col min="6917" max="6917" width="6.6640625" customWidth="1"/>
    <col min="6918" max="6918" width="6.33203125" customWidth="1"/>
    <col min="6919" max="6920" width="6" customWidth="1"/>
    <col min="6921" max="6921" width="6.44140625" customWidth="1"/>
    <col min="6922" max="6922" width="6.109375" customWidth="1"/>
    <col min="6923" max="6923" width="6.44140625" customWidth="1"/>
    <col min="6924" max="6924" width="6.88671875" customWidth="1"/>
    <col min="6925" max="6925" width="5.33203125" customWidth="1"/>
    <col min="6926" max="6926" width="5.44140625" customWidth="1"/>
    <col min="6927" max="6927" width="5.33203125" customWidth="1"/>
    <col min="6928" max="6928" width="5.6640625" customWidth="1"/>
    <col min="6929" max="6929" width="5.44140625" customWidth="1"/>
    <col min="6930" max="6930" width="7.6640625" customWidth="1"/>
    <col min="6931" max="6931" width="6.44140625" customWidth="1"/>
    <col min="6932" max="6932" width="6.109375" customWidth="1"/>
    <col min="6933" max="6933" width="12.6640625" customWidth="1"/>
    <col min="6934" max="6934" width="10.6640625" customWidth="1"/>
    <col min="6935" max="6935" width="16.109375" customWidth="1"/>
    <col min="6936" max="6936" width="11.5546875" customWidth="1"/>
    <col min="6937" max="6937" width="6.33203125" customWidth="1"/>
    <col min="6938" max="6938" width="14.88671875" customWidth="1"/>
    <col min="7169" max="7169" width="3.109375" customWidth="1"/>
    <col min="7170" max="7170" width="12.5546875" customWidth="1"/>
    <col min="7171" max="7171" width="5.88671875" customWidth="1"/>
    <col min="7172" max="7172" width="5.44140625" customWidth="1"/>
    <col min="7173" max="7173" width="6.6640625" customWidth="1"/>
    <col min="7174" max="7174" width="6.33203125" customWidth="1"/>
    <col min="7175" max="7176" width="6" customWidth="1"/>
    <col min="7177" max="7177" width="6.44140625" customWidth="1"/>
    <col min="7178" max="7178" width="6.109375" customWidth="1"/>
    <col min="7179" max="7179" width="6.44140625" customWidth="1"/>
    <col min="7180" max="7180" width="6.88671875" customWidth="1"/>
    <col min="7181" max="7181" width="5.33203125" customWidth="1"/>
    <col min="7182" max="7182" width="5.44140625" customWidth="1"/>
    <col min="7183" max="7183" width="5.33203125" customWidth="1"/>
    <col min="7184" max="7184" width="5.6640625" customWidth="1"/>
    <col min="7185" max="7185" width="5.44140625" customWidth="1"/>
    <col min="7186" max="7186" width="7.6640625" customWidth="1"/>
    <col min="7187" max="7187" width="6.44140625" customWidth="1"/>
    <col min="7188" max="7188" width="6.109375" customWidth="1"/>
    <col min="7189" max="7189" width="12.6640625" customWidth="1"/>
    <col min="7190" max="7190" width="10.6640625" customWidth="1"/>
    <col min="7191" max="7191" width="16.109375" customWidth="1"/>
    <col min="7192" max="7192" width="11.5546875" customWidth="1"/>
    <col min="7193" max="7193" width="6.33203125" customWidth="1"/>
    <col min="7194" max="7194" width="14.88671875" customWidth="1"/>
    <col min="7425" max="7425" width="3.109375" customWidth="1"/>
    <col min="7426" max="7426" width="12.5546875" customWidth="1"/>
    <col min="7427" max="7427" width="5.88671875" customWidth="1"/>
    <col min="7428" max="7428" width="5.44140625" customWidth="1"/>
    <col min="7429" max="7429" width="6.6640625" customWidth="1"/>
    <col min="7430" max="7430" width="6.33203125" customWidth="1"/>
    <col min="7431" max="7432" width="6" customWidth="1"/>
    <col min="7433" max="7433" width="6.44140625" customWidth="1"/>
    <col min="7434" max="7434" width="6.109375" customWidth="1"/>
    <col min="7435" max="7435" width="6.44140625" customWidth="1"/>
    <col min="7436" max="7436" width="6.88671875" customWidth="1"/>
    <col min="7437" max="7437" width="5.33203125" customWidth="1"/>
    <col min="7438" max="7438" width="5.44140625" customWidth="1"/>
    <col min="7439" max="7439" width="5.33203125" customWidth="1"/>
    <col min="7440" max="7440" width="5.6640625" customWidth="1"/>
    <col min="7441" max="7441" width="5.44140625" customWidth="1"/>
    <col min="7442" max="7442" width="7.6640625" customWidth="1"/>
    <col min="7443" max="7443" width="6.44140625" customWidth="1"/>
    <col min="7444" max="7444" width="6.109375" customWidth="1"/>
    <col min="7445" max="7445" width="12.6640625" customWidth="1"/>
    <col min="7446" max="7446" width="10.6640625" customWidth="1"/>
    <col min="7447" max="7447" width="16.109375" customWidth="1"/>
    <col min="7448" max="7448" width="11.5546875" customWidth="1"/>
    <col min="7449" max="7449" width="6.33203125" customWidth="1"/>
    <col min="7450" max="7450" width="14.88671875" customWidth="1"/>
    <col min="7681" max="7681" width="3.109375" customWidth="1"/>
    <col min="7682" max="7682" width="12.5546875" customWidth="1"/>
    <col min="7683" max="7683" width="5.88671875" customWidth="1"/>
    <col min="7684" max="7684" width="5.44140625" customWidth="1"/>
    <col min="7685" max="7685" width="6.6640625" customWidth="1"/>
    <col min="7686" max="7686" width="6.33203125" customWidth="1"/>
    <col min="7687" max="7688" width="6" customWidth="1"/>
    <col min="7689" max="7689" width="6.44140625" customWidth="1"/>
    <col min="7690" max="7690" width="6.109375" customWidth="1"/>
    <col min="7691" max="7691" width="6.44140625" customWidth="1"/>
    <col min="7692" max="7692" width="6.88671875" customWidth="1"/>
    <col min="7693" max="7693" width="5.33203125" customWidth="1"/>
    <col min="7694" max="7694" width="5.44140625" customWidth="1"/>
    <col min="7695" max="7695" width="5.33203125" customWidth="1"/>
    <col min="7696" max="7696" width="5.6640625" customWidth="1"/>
    <col min="7697" max="7697" width="5.44140625" customWidth="1"/>
    <col min="7698" max="7698" width="7.6640625" customWidth="1"/>
    <col min="7699" max="7699" width="6.44140625" customWidth="1"/>
    <col min="7700" max="7700" width="6.109375" customWidth="1"/>
    <col min="7701" max="7701" width="12.6640625" customWidth="1"/>
    <col min="7702" max="7702" width="10.6640625" customWidth="1"/>
    <col min="7703" max="7703" width="16.109375" customWidth="1"/>
    <col min="7704" max="7704" width="11.5546875" customWidth="1"/>
    <col min="7705" max="7705" width="6.33203125" customWidth="1"/>
    <col min="7706" max="7706" width="14.88671875" customWidth="1"/>
    <col min="7937" max="7937" width="3.109375" customWidth="1"/>
    <col min="7938" max="7938" width="12.5546875" customWidth="1"/>
    <col min="7939" max="7939" width="5.88671875" customWidth="1"/>
    <col min="7940" max="7940" width="5.44140625" customWidth="1"/>
    <col min="7941" max="7941" width="6.6640625" customWidth="1"/>
    <col min="7942" max="7942" width="6.33203125" customWidth="1"/>
    <col min="7943" max="7944" width="6" customWidth="1"/>
    <col min="7945" max="7945" width="6.44140625" customWidth="1"/>
    <col min="7946" max="7946" width="6.109375" customWidth="1"/>
    <col min="7947" max="7947" width="6.44140625" customWidth="1"/>
    <col min="7948" max="7948" width="6.88671875" customWidth="1"/>
    <col min="7949" max="7949" width="5.33203125" customWidth="1"/>
    <col min="7950" max="7950" width="5.44140625" customWidth="1"/>
    <col min="7951" max="7951" width="5.33203125" customWidth="1"/>
    <col min="7952" max="7952" width="5.6640625" customWidth="1"/>
    <col min="7953" max="7953" width="5.44140625" customWidth="1"/>
    <col min="7954" max="7954" width="7.6640625" customWidth="1"/>
    <col min="7955" max="7955" width="6.44140625" customWidth="1"/>
    <col min="7956" max="7956" width="6.109375" customWidth="1"/>
    <col min="7957" max="7957" width="12.6640625" customWidth="1"/>
    <col min="7958" max="7958" width="10.6640625" customWidth="1"/>
    <col min="7959" max="7959" width="16.109375" customWidth="1"/>
    <col min="7960" max="7960" width="11.5546875" customWidth="1"/>
    <col min="7961" max="7961" width="6.33203125" customWidth="1"/>
    <col min="7962" max="7962" width="14.88671875" customWidth="1"/>
    <col min="8193" max="8193" width="3.109375" customWidth="1"/>
    <col min="8194" max="8194" width="12.5546875" customWidth="1"/>
    <col min="8195" max="8195" width="5.88671875" customWidth="1"/>
    <col min="8196" max="8196" width="5.44140625" customWidth="1"/>
    <col min="8197" max="8197" width="6.6640625" customWidth="1"/>
    <col min="8198" max="8198" width="6.33203125" customWidth="1"/>
    <col min="8199" max="8200" width="6" customWidth="1"/>
    <col min="8201" max="8201" width="6.44140625" customWidth="1"/>
    <col min="8202" max="8202" width="6.109375" customWidth="1"/>
    <col min="8203" max="8203" width="6.44140625" customWidth="1"/>
    <col min="8204" max="8204" width="6.88671875" customWidth="1"/>
    <col min="8205" max="8205" width="5.33203125" customWidth="1"/>
    <col min="8206" max="8206" width="5.44140625" customWidth="1"/>
    <col min="8207" max="8207" width="5.33203125" customWidth="1"/>
    <col min="8208" max="8208" width="5.6640625" customWidth="1"/>
    <col min="8209" max="8209" width="5.44140625" customWidth="1"/>
    <col min="8210" max="8210" width="7.6640625" customWidth="1"/>
    <col min="8211" max="8211" width="6.44140625" customWidth="1"/>
    <col min="8212" max="8212" width="6.109375" customWidth="1"/>
    <col min="8213" max="8213" width="12.6640625" customWidth="1"/>
    <col min="8214" max="8214" width="10.6640625" customWidth="1"/>
    <col min="8215" max="8215" width="16.109375" customWidth="1"/>
    <col min="8216" max="8216" width="11.5546875" customWidth="1"/>
    <col min="8217" max="8217" width="6.33203125" customWidth="1"/>
    <col min="8218" max="8218" width="14.88671875" customWidth="1"/>
    <col min="8449" max="8449" width="3.109375" customWidth="1"/>
    <col min="8450" max="8450" width="12.5546875" customWidth="1"/>
    <col min="8451" max="8451" width="5.88671875" customWidth="1"/>
    <col min="8452" max="8452" width="5.44140625" customWidth="1"/>
    <col min="8453" max="8453" width="6.6640625" customWidth="1"/>
    <col min="8454" max="8454" width="6.33203125" customWidth="1"/>
    <col min="8455" max="8456" width="6" customWidth="1"/>
    <col min="8457" max="8457" width="6.44140625" customWidth="1"/>
    <col min="8458" max="8458" width="6.109375" customWidth="1"/>
    <col min="8459" max="8459" width="6.44140625" customWidth="1"/>
    <col min="8460" max="8460" width="6.88671875" customWidth="1"/>
    <col min="8461" max="8461" width="5.33203125" customWidth="1"/>
    <col min="8462" max="8462" width="5.44140625" customWidth="1"/>
    <col min="8463" max="8463" width="5.33203125" customWidth="1"/>
    <col min="8464" max="8464" width="5.6640625" customWidth="1"/>
    <col min="8465" max="8465" width="5.44140625" customWidth="1"/>
    <col min="8466" max="8466" width="7.6640625" customWidth="1"/>
    <col min="8467" max="8467" width="6.44140625" customWidth="1"/>
    <col min="8468" max="8468" width="6.109375" customWidth="1"/>
    <col min="8469" max="8469" width="12.6640625" customWidth="1"/>
    <col min="8470" max="8470" width="10.6640625" customWidth="1"/>
    <col min="8471" max="8471" width="16.109375" customWidth="1"/>
    <col min="8472" max="8472" width="11.5546875" customWidth="1"/>
    <col min="8473" max="8473" width="6.33203125" customWidth="1"/>
    <col min="8474" max="8474" width="14.88671875" customWidth="1"/>
    <col min="8705" max="8705" width="3.109375" customWidth="1"/>
    <col min="8706" max="8706" width="12.5546875" customWidth="1"/>
    <col min="8707" max="8707" width="5.88671875" customWidth="1"/>
    <col min="8708" max="8708" width="5.44140625" customWidth="1"/>
    <col min="8709" max="8709" width="6.6640625" customWidth="1"/>
    <col min="8710" max="8710" width="6.33203125" customWidth="1"/>
    <col min="8711" max="8712" width="6" customWidth="1"/>
    <col min="8713" max="8713" width="6.44140625" customWidth="1"/>
    <col min="8714" max="8714" width="6.109375" customWidth="1"/>
    <col min="8715" max="8715" width="6.44140625" customWidth="1"/>
    <col min="8716" max="8716" width="6.88671875" customWidth="1"/>
    <col min="8717" max="8717" width="5.33203125" customWidth="1"/>
    <col min="8718" max="8718" width="5.44140625" customWidth="1"/>
    <col min="8719" max="8719" width="5.33203125" customWidth="1"/>
    <col min="8720" max="8720" width="5.6640625" customWidth="1"/>
    <col min="8721" max="8721" width="5.44140625" customWidth="1"/>
    <col min="8722" max="8722" width="7.6640625" customWidth="1"/>
    <col min="8723" max="8723" width="6.44140625" customWidth="1"/>
    <col min="8724" max="8724" width="6.109375" customWidth="1"/>
    <col min="8725" max="8725" width="12.6640625" customWidth="1"/>
    <col min="8726" max="8726" width="10.6640625" customWidth="1"/>
    <col min="8727" max="8727" width="16.109375" customWidth="1"/>
    <col min="8728" max="8728" width="11.5546875" customWidth="1"/>
    <col min="8729" max="8729" width="6.33203125" customWidth="1"/>
    <col min="8730" max="8730" width="14.88671875" customWidth="1"/>
    <col min="8961" max="8961" width="3.109375" customWidth="1"/>
    <col min="8962" max="8962" width="12.5546875" customWidth="1"/>
    <col min="8963" max="8963" width="5.88671875" customWidth="1"/>
    <col min="8964" max="8964" width="5.44140625" customWidth="1"/>
    <col min="8965" max="8965" width="6.6640625" customWidth="1"/>
    <col min="8966" max="8966" width="6.33203125" customWidth="1"/>
    <col min="8967" max="8968" width="6" customWidth="1"/>
    <col min="8969" max="8969" width="6.44140625" customWidth="1"/>
    <col min="8970" max="8970" width="6.109375" customWidth="1"/>
    <col min="8971" max="8971" width="6.44140625" customWidth="1"/>
    <col min="8972" max="8972" width="6.88671875" customWidth="1"/>
    <col min="8973" max="8973" width="5.33203125" customWidth="1"/>
    <col min="8974" max="8974" width="5.44140625" customWidth="1"/>
    <col min="8975" max="8975" width="5.33203125" customWidth="1"/>
    <col min="8976" max="8976" width="5.6640625" customWidth="1"/>
    <col min="8977" max="8977" width="5.44140625" customWidth="1"/>
    <col min="8978" max="8978" width="7.6640625" customWidth="1"/>
    <col min="8979" max="8979" width="6.44140625" customWidth="1"/>
    <col min="8980" max="8980" width="6.109375" customWidth="1"/>
    <col min="8981" max="8981" width="12.6640625" customWidth="1"/>
    <col min="8982" max="8982" width="10.6640625" customWidth="1"/>
    <col min="8983" max="8983" width="16.109375" customWidth="1"/>
    <col min="8984" max="8984" width="11.5546875" customWidth="1"/>
    <col min="8985" max="8985" width="6.33203125" customWidth="1"/>
    <col min="8986" max="8986" width="14.88671875" customWidth="1"/>
    <col min="9217" max="9217" width="3.109375" customWidth="1"/>
    <col min="9218" max="9218" width="12.5546875" customWidth="1"/>
    <col min="9219" max="9219" width="5.88671875" customWidth="1"/>
    <col min="9220" max="9220" width="5.44140625" customWidth="1"/>
    <col min="9221" max="9221" width="6.6640625" customWidth="1"/>
    <col min="9222" max="9222" width="6.33203125" customWidth="1"/>
    <col min="9223" max="9224" width="6" customWidth="1"/>
    <col min="9225" max="9225" width="6.44140625" customWidth="1"/>
    <col min="9226" max="9226" width="6.109375" customWidth="1"/>
    <col min="9227" max="9227" width="6.44140625" customWidth="1"/>
    <col min="9228" max="9228" width="6.88671875" customWidth="1"/>
    <col min="9229" max="9229" width="5.33203125" customWidth="1"/>
    <col min="9230" max="9230" width="5.44140625" customWidth="1"/>
    <col min="9231" max="9231" width="5.33203125" customWidth="1"/>
    <col min="9232" max="9232" width="5.6640625" customWidth="1"/>
    <col min="9233" max="9233" width="5.44140625" customWidth="1"/>
    <col min="9234" max="9234" width="7.6640625" customWidth="1"/>
    <col min="9235" max="9235" width="6.44140625" customWidth="1"/>
    <col min="9236" max="9236" width="6.109375" customWidth="1"/>
    <col min="9237" max="9237" width="12.6640625" customWidth="1"/>
    <col min="9238" max="9238" width="10.6640625" customWidth="1"/>
    <col min="9239" max="9239" width="16.109375" customWidth="1"/>
    <col min="9240" max="9240" width="11.5546875" customWidth="1"/>
    <col min="9241" max="9241" width="6.33203125" customWidth="1"/>
    <col min="9242" max="9242" width="14.88671875" customWidth="1"/>
    <col min="9473" max="9473" width="3.109375" customWidth="1"/>
    <col min="9474" max="9474" width="12.5546875" customWidth="1"/>
    <col min="9475" max="9475" width="5.88671875" customWidth="1"/>
    <col min="9476" max="9476" width="5.44140625" customWidth="1"/>
    <col min="9477" max="9477" width="6.6640625" customWidth="1"/>
    <col min="9478" max="9478" width="6.33203125" customWidth="1"/>
    <col min="9479" max="9480" width="6" customWidth="1"/>
    <col min="9481" max="9481" width="6.44140625" customWidth="1"/>
    <col min="9482" max="9482" width="6.109375" customWidth="1"/>
    <col min="9483" max="9483" width="6.44140625" customWidth="1"/>
    <col min="9484" max="9484" width="6.88671875" customWidth="1"/>
    <col min="9485" max="9485" width="5.33203125" customWidth="1"/>
    <col min="9486" max="9486" width="5.44140625" customWidth="1"/>
    <col min="9487" max="9487" width="5.33203125" customWidth="1"/>
    <col min="9488" max="9488" width="5.6640625" customWidth="1"/>
    <col min="9489" max="9489" width="5.44140625" customWidth="1"/>
    <col min="9490" max="9490" width="7.6640625" customWidth="1"/>
    <col min="9491" max="9491" width="6.44140625" customWidth="1"/>
    <col min="9492" max="9492" width="6.109375" customWidth="1"/>
    <col min="9493" max="9493" width="12.6640625" customWidth="1"/>
    <col min="9494" max="9494" width="10.6640625" customWidth="1"/>
    <col min="9495" max="9495" width="16.109375" customWidth="1"/>
    <col min="9496" max="9496" width="11.5546875" customWidth="1"/>
    <col min="9497" max="9497" width="6.33203125" customWidth="1"/>
    <col min="9498" max="9498" width="14.88671875" customWidth="1"/>
    <col min="9729" max="9729" width="3.109375" customWidth="1"/>
    <col min="9730" max="9730" width="12.5546875" customWidth="1"/>
    <col min="9731" max="9731" width="5.88671875" customWidth="1"/>
    <col min="9732" max="9732" width="5.44140625" customWidth="1"/>
    <col min="9733" max="9733" width="6.6640625" customWidth="1"/>
    <col min="9734" max="9734" width="6.33203125" customWidth="1"/>
    <col min="9735" max="9736" width="6" customWidth="1"/>
    <col min="9737" max="9737" width="6.44140625" customWidth="1"/>
    <col min="9738" max="9738" width="6.109375" customWidth="1"/>
    <col min="9739" max="9739" width="6.44140625" customWidth="1"/>
    <col min="9740" max="9740" width="6.88671875" customWidth="1"/>
    <col min="9741" max="9741" width="5.33203125" customWidth="1"/>
    <col min="9742" max="9742" width="5.44140625" customWidth="1"/>
    <col min="9743" max="9743" width="5.33203125" customWidth="1"/>
    <col min="9744" max="9744" width="5.6640625" customWidth="1"/>
    <col min="9745" max="9745" width="5.44140625" customWidth="1"/>
    <col min="9746" max="9746" width="7.6640625" customWidth="1"/>
    <col min="9747" max="9747" width="6.44140625" customWidth="1"/>
    <col min="9748" max="9748" width="6.109375" customWidth="1"/>
    <col min="9749" max="9749" width="12.6640625" customWidth="1"/>
    <col min="9750" max="9750" width="10.6640625" customWidth="1"/>
    <col min="9751" max="9751" width="16.109375" customWidth="1"/>
    <col min="9752" max="9752" width="11.5546875" customWidth="1"/>
    <col min="9753" max="9753" width="6.33203125" customWidth="1"/>
    <col min="9754" max="9754" width="14.88671875" customWidth="1"/>
    <col min="9985" max="9985" width="3.109375" customWidth="1"/>
    <col min="9986" max="9986" width="12.5546875" customWidth="1"/>
    <col min="9987" max="9987" width="5.88671875" customWidth="1"/>
    <col min="9988" max="9988" width="5.44140625" customWidth="1"/>
    <col min="9989" max="9989" width="6.6640625" customWidth="1"/>
    <col min="9990" max="9990" width="6.33203125" customWidth="1"/>
    <col min="9991" max="9992" width="6" customWidth="1"/>
    <col min="9993" max="9993" width="6.44140625" customWidth="1"/>
    <col min="9994" max="9994" width="6.109375" customWidth="1"/>
    <col min="9995" max="9995" width="6.44140625" customWidth="1"/>
    <col min="9996" max="9996" width="6.88671875" customWidth="1"/>
    <col min="9997" max="9997" width="5.33203125" customWidth="1"/>
    <col min="9998" max="9998" width="5.44140625" customWidth="1"/>
    <col min="9999" max="9999" width="5.33203125" customWidth="1"/>
    <col min="10000" max="10000" width="5.6640625" customWidth="1"/>
    <col min="10001" max="10001" width="5.44140625" customWidth="1"/>
    <col min="10002" max="10002" width="7.6640625" customWidth="1"/>
    <col min="10003" max="10003" width="6.44140625" customWidth="1"/>
    <col min="10004" max="10004" width="6.109375" customWidth="1"/>
    <col min="10005" max="10005" width="12.6640625" customWidth="1"/>
    <col min="10006" max="10006" width="10.6640625" customWidth="1"/>
    <col min="10007" max="10007" width="16.109375" customWidth="1"/>
    <col min="10008" max="10008" width="11.5546875" customWidth="1"/>
    <col min="10009" max="10009" width="6.33203125" customWidth="1"/>
    <col min="10010" max="10010" width="14.88671875" customWidth="1"/>
    <col min="10241" max="10241" width="3.109375" customWidth="1"/>
    <col min="10242" max="10242" width="12.5546875" customWidth="1"/>
    <col min="10243" max="10243" width="5.88671875" customWidth="1"/>
    <col min="10244" max="10244" width="5.44140625" customWidth="1"/>
    <col min="10245" max="10245" width="6.6640625" customWidth="1"/>
    <col min="10246" max="10246" width="6.33203125" customWidth="1"/>
    <col min="10247" max="10248" width="6" customWidth="1"/>
    <col min="10249" max="10249" width="6.44140625" customWidth="1"/>
    <col min="10250" max="10250" width="6.109375" customWidth="1"/>
    <col min="10251" max="10251" width="6.44140625" customWidth="1"/>
    <col min="10252" max="10252" width="6.88671875" customWidth="1"/>
    <col min="10253" max="10253" width="5.33203125" customWidth="1"/>
    <col min="10254" max="10254" width="5.44140625" customWidth="1"/>
    <col min="10255" max="10255" width="5.33203125" customWidth="1"/>
    <col min="10256" max="10256" width="5.6640625" customWidth="1"/>
    <col min="10257" max="10257" width="5.44140625" customWidth="1"/>
    <col min="10258" max="10258" width="7.6640625" customWidth="1"/>
    <col min="10259" max="10259" width="6.44140625" customWidth="1"/>
    <col min="10260" max="10260" width="6.109375" customWidth="1"/>
    <col min="10261" max="10261" width="12.6640625" customWidth="1"/>
    <col min="10262" max="10262" width="10.6640625" customWidth="1"/>
    <col min="10263" max="10263" width="16.109375" customWidth="1"/>
    <col min="10264" max="10264" width="11.5546875" customWidth="1"/>
    <col min="10265" max="10265" width="6.33203125" customWidth="1"/>
    <col min="10266" max="10266" width="14.88671875" customWidth="1"/>
    <col min="10497" max="10497" width="3.109375" customWidth="1"/>
    <col min="10498" max="10498" width="12.5546875" customWidth="1"/>
    <col min="10499" max="10499" width="5.88671875" customWidth="1"/>
    <col min="10500" max="10500" width="5.44140625" customWidth="1"/>
    <col min="10501" max="10501" width="6.6640625" customWidth="1"/>
    <col min="10502" max="10502" width="6.33203125" customWidth="1"/>
    <col min="10503" max="10504" width="6" customWidth="1"/>
    <col min="10505" max="10505" width="6.44140625" customWidth="1"/>
    <col min="10506" max="10506" width="6.109375" customWidth="1"/>
    <col min="10507" max="10507" width="6.44140625" customWidth="1"/>
    <col min="10508" max="10508" width="6.88671875" customWidth="1"/>
    <col min="10509" max="10509" width="5.33203125" customWidth="1"/>
    <col min="10510" max="10510" width="5.44140625" customWidth="1"/>
    <col min="10511" max="10511" width="5.33203125" customWidth="1"/>
    <col min="10512" max="10512" width="5.6640625" customWidth="1"/>
    <col min="10513" max="10513" width="5.44140625" customWidth="1"/>
    <col min="10514" max="10514" width="7.6640625" customWidth="1"/>
    <col min="10515" max="10515" width="6.44140625" customWidth="1"/>
    <col min="10516" max="10516" width="6.109375" customWidth="1"/>
    <col min="10517" max="10517" width="12.6640625" customWidth="1"/>
    <col min="10518" max="10518" width="10.6640625" customWidth="1"/>
    <col min="10519" max="10519" width="16.109375" customWidth="1"/>
    <col min="10520" max="10520" width="11.5546875" customWidth="1"/>
    <col min="10521" max="10521" width="6.33203125" customWidth="1"/>
    <col min="10522" max="10522" width="14.88671875" customWidth="1"/>
    <col min="10753" max="10753" width="3.109375" customWidth="1"/>
    <col min="10754" max="10754" width="12.5546875" customWidth="1"/>
    <col min="10755" max="10755" width="5.88671875" customWidth="1"/>
    <col min="10756" max="10756" width="5.44140625" customWidth="1"/>
    <col min="10757" max="10757" width="6.6640625" customWidth="1"/>
    <col min="10758" max="10758" width="6.33203125" customWidth="1"/>
    <col min="10759" max="10760" width="6" customWidth="1"/>
    <col min="10761" max="10761" width="6.44140625" customWidth="1"/>
    <col min="10762" max="10762" width="6.109375" customWidth="1"/>
    <col min="10763" max="10763" width="6.44140625" customWidth="1"/>
    <col min="10764" max="10764" width="6.88671875" customWidth="1"/>
    <col min="10765" max="10765" width="5.33203125" customWidth="1"/>
    <col min="10766" max="10766" width="5.44140625" customWidth="1"/>
    <col min="10767" max="10767" width="5.33203125" customWidth="1"/>
    <col min="10768" max="10768" width="5.6640625" customWidth="1"/>
    <col min="10769" max="10769" width="5.44140625" customWidth="1"/>
    <col min="10770" max="10770" width="7.6640625" customWidth="1"/>
    <col min="10771" max="10771" width="6.44140625" customWidth="1"/>
    <col min="10772" max="10772" width="6.109375" customWidth="1"/>
    <col min="10773" max="10773" width="12.6640625" customWidth="1"/>
    <col min="10774" max="10774" width="10.6640625" customWidth="1"/>
    <col min="10775" max="10775" width="16.109375" customWidth="1"/>
    <col min="10776" max="10776" width="11.5546875" customWidth="1"/>
    <col min="10777" max="10777" width="6.33203125" customWidth="1"/>
    <col min="10778" max="10778" width="14.88671875" customWidth="1"/>
    <col min="11009" max="11009" width="3.109375" customWidth="1"/>
    <col min="11010" max="11010" width="12.5546875" customWidth="1"/>
    <col min="11011" max="11011" width="5.88671875" customWidth="1"/>
    <col min="11012" max="11012" width="5.44140625" customWidth="1"/>
    <col min="11013" max="11013" width="6.6640625" customWidth="1"/>
    <col min="11014" max="11014" width="6.33203125" customWidth="1"/>
    <col min="11015" max="11016" width="6" customWidth="1"/>
    <col min="11017" max="11017" width="6.44140625" customWidth="1"/>
    <col min="11018" max="11018" width="6.109375" customWidth="1"/>
    <col min="11019" max="11019" width="6.44140625" customWidth="1"/>
    <col min="11020" max="11020" width="6.88671875" customWidth="1"/>
    <col min="11021" max="11021" width="5.33203125" customWidth="1"/>
    <col min="11022" max="11022" width="5.44140625" customWidth="1"/>
    <col min="11023" max="11023" width="5.33203125" customWidth="1"/>
    <col min="11024" max="11024" width="5.6640625" customWidth="1"/>
    <col min="11025" max="11025" width="5.44140625" customWidth="1"/>
    <col min="11026" max="11026" width="7.6640625" customWidth="1"/>
    <col min="11027" max="11027" width="6.44140625" customWidth="1"/>
    <col min="11028" max="11028" width="6.109375" customWidth="1"/>
    <col min="11029" max="11029" width="12.6640625" customWidth="1"/>
    <col min="11030" max="11030" width="10.6640625" customWidth="1"/>
    <col min="11031" max="11031" width="16.109375" customWidth="1"/>
    <col min="11032" max="11032" width="11.5546875" customWidth="1"/>
    <col min="11033" max="11033" width="6.33203125" customWidth="1"/>
    <col min="11034" max="11034" width="14.88671875" customWidth="1"/>
    <col min="11265" max="11265" width="3.109375" customWidth="1"/>
    <col min="11266" max="11266" width="12.5546875" customWidth="1"/>
    <col min="11267" max="11267" width="5.88671875" customWidth="1"/>
    <col min="11268" max="11268" width="5.44140625" customWidth="1"/>
    <col min="11269" max="11269" width="6.6640625" customWidth="1"/>
    <col min="11270" max="11270" width="6.33203125" customWidth="1"/>
    <col min="11271" max="11272" width="6" customWidth="1"/>
    <col min="11273" max="11273" width="6.44140625" customWidth="1"/>
    <col min="11274" max="11274" width="6.109375" customWidth="1"/>
    <col min="11275" max="11275" width="6.44140625" customWidth="1"/>
    <col min="11276" max="11276" width="6.88671875" customWidth="1"/>
    <col min="11277" max="11277" width="5.33203125" customWidth="1"/>
    <col min="11278" max="11278" width="5.44140625" customWidth="1"/>
    <col min="11279" max="11279" width="5.33203125" customWidth="1"/>
    <col min="11280" max="11280" width="5.6640625" customWidth="1"/>
    <col min="11281" max="11281" width="5.44140625" customWidth="1"/>
    <col min="11282" max="11282" width="7.6640625" customWidth="1"/>
    <col min="11283" max="11283" width="6.44140625" customWidth="1"/>
    <col min="11284" max="11284" width="6.109375" customWidth="1"/>
    <col min="11285" max="11285" width="12.6640625" customWidth="1"/>
    <col min="11286" max="11286" width="10.6640625" customWidth="1"/>
    <col min="11287" max="11287" width="16.109375" customWidth="1"/>
    <col min="11288" max="11288" width="11.5546875" customWidth="1"/>
    <col min="11289" max="11289" width="6.33203125" customWidth="1"/>
    <col min="11290" max="11290" width="14.88671875" customWidth="1"/>
    <col min="11521" max="11521" width="3.109375" customWidth="1"/>
    <col min="11522" max="11522" width="12.5546875" customWidth="1"/>
    <col min="11523" max="11523" width="5.88671875" customWidth="1"/>
    <col min="11524" max="11524" width="5.44140625" customWidth="1"/>
    <col min="11525" max="11525" width="6.6640625" customWidth="1"/>
    <col min="11526" max="11526" width="6.33203125" customWidth="1"/>
    <col min="11527" max="11528" width="6" customWidth="1"/>
    <col min="11529" max="11529" width="6.44140625" customWidth="1"/>
    <col min="11530" max="11530" width="6.109375" customWidth="1"/>
    <col min="11531" max="11531" width="6.44140625" customWidth="1"/>
    <col min="11532" max="11532" width="6.88671875" customWidth="1"/>
    <col min="11533" max="11533" width="5.33203125" customWidth="1"/>
    <col min="11534" max="11534" width="5.44140625" customWidth="1"/>
    <col min="11535" max="11535" width="5.33203125" customWidth="1"/>
    <col min="11536" max="11536" width="5.6640625" customWidth="1"/>
    <col min="11537" max="11537" width="5.44140625" customWidth="1"/>
    <col min="11538" max="11538" width="7.6640625" customWidth="1"/>
    <col min="11539" max="11539" width="6.44140625" customWidth="1"/>
    <col min="11540" max="11540" width="6.109375" customWidth="1"/>
    <col min="11541" max="11541" width="12.6640625" customWidth="1"/>
    <col min="11542" max="11542" width="10.6640625" customWidth="1"/>
    <col min="11543" max="11543" width="16.109375" customWidth="1"/>
    <col min="11544" max="11544" width="11.5546875" customWidth="1"/>
    <col min="11545" max="11545" width="6.33203125" customWidth="1"/>
    <col min="11546" max="11546" width="14.88671875" customWidth="1"/>
    <col min="11777" max="11777" width="3.109375" customWidth="1"/>
    <col min="11778" max="11778" width="12.5546875" customWidth="1"/>
    <col min="11779" max="11779" width="5.88671875" customWidth="1"/>
    <col min="11780" max="11780" width="5.44140625" customWidth="1"/>
    <col min="11781" max="11781" width="6.6640625" customWidth="1"/>
    <col min="11782" max="11782" width="6.33203125" customWidth="1"/>
    <col min="11783" max="11784" width="6" customWidth="1"/>
    <col min="11785" max="11785" width="6.44140625" customWidth="1"/>
    <col min="11786" max="11786" width="6.109375" customWidth="1"/>
    <col min="11787" max="11787" width="6.44140625" customWidth="1"/>
    <col min="11788" max="11788" width="6.88671875" customWidth="1"/>
    <col min="11789" max="11789" width="5.33203125" customWidth="1"/>
    <col min="11790" max="11790" width="5.44140625" customWidth="1"/>
    <col min="11791" max="11791" width="5.33203125" customWidth="1"/>
    <col min="11792" max="11792" width="5.6640625" customWidth="1"/>
    <col min="11793" max="11793" width="5.44140625" customWidth="1"/>
    <col min="11794" max="11794" width="7.6640625" customWidth="1"/>
    <col min="11795" max="11795" width="6.44140625" customWidth="1"/>
    <col min="11796" max="11796" width="6.109375" customWidth="1"/>
    <col min="11797" max="11797" width="12.6640625" customWidth="1"/>
    <col min="11798" max="11798" width="10.6640625" customWidth="1"/>
    <col min="11799" max="11799" width="16.109375" customWidth="1"/>
    <col min="11800" max="11800" width="11.5546875" customWidth="1"/>
    <col min="11801" max="11801" width="6.33203125" customWidth="1"/>
    <col min="11802" max="11802" width="14.88671875" customWidth="1"/>
    <col min="12033" max="12033" width="3.109375" customWidth="1"/>
    <col min="12034" max="12034" width="12.5546875" customWidth="1"/>
    <col min="12035" max="12035" width="5.88671875" customWidth="1"/>
    <col min="12036" max="12036" width="5.44140625" customWidth="1"/>
    <col min="12037" max="12037" width="6.6640625" customWidth="1"/>
    <col min="12038" max="12038" width="6.33203125" customWidth="1"/>
    <col min="12039" max="12040" width="6" customWidth="1"/>
    <col min="12041" max="12041" width="6.44140625" customWidth="1"/>
    <col min="12042" max="12042" width="6.109375" customWidth="1"/>
    <col min="12043" max="12043" width="6.44140625" customWidth="1"/>
    <col min="12044" max="12044" width="6.88671875" customWidth="1"/>
    <col min="12045" max="12045" width="5.33203125" customWidth="1"/>
    <col min="12046" max="12046" width="5.44140625" customWidth="1"/>
    <col min="12047" max="12047" width="5.33203125" customWidth="1"/>
    <col min="12048" max="12048" width="5.6640625" customWidth="1"/>
    <col min="12049" max="12049" width="5.44140625" customWidth="1"/>
    <col min="12050" max="12050" width="7.6640625" customWidth="1"/>
    <col min="12051" max="12051" width="6.44140625" customWidth="1"/>
    <col min="12052" max="12052" width="6.109375" customWidth="1"/>
    <col min="12053" max="12053" width="12.6640625" customWidth="1"/>
    <col min="12054" max="12054" width="10.6640625" customWidth="1"/>
    <col min="12055" max="12055" width="16.109375" customWidth="1"/>
    <col min="12056" max="12056" width="11.5546875" customWidth="1"/>
    <col min="12057" max="12057" width="6.33203125" customWidth="1"/>
    <col min="12058" max="12058" width="14.88671875" customWidth="1"/>
    <col min="12289" max="12289" width="3.109375" customWidth="1"/>
    <col min="12290" max="12290" width="12.5546875" customWidth="1"/>
    <col min="12291" max="12291" width="5.88671875" customWidth="1"/>
    <col min="12292" max="12292" width="5.44140625" customWidth="1"/>
    <col min="12293" max="12293" width="6.6640625" customWidth="1"/>
    <col min="12294" max="12294" width="6.33203125" customWidth="1"/>
    <col min="12295" max="12296" width="6" customWidth="1"/>
    <col min="12297" max="12297" width="6.44140625" customWidth="1"/>
    <col min="12298" max="12298" width="6.109375" customWidth="1"/>
    <col min="12299" max="12299" width="6.44140625" customWidth="1"/>
    <col min="12300" max="12300" width="6.88671875" customWidth="1"/>
    <col min="12301" max="12301" width="5.33203125" customWidth="1"/>
    <col min="12302" max="12302" width="5.44140625" customWidth="1"/>
    <col min="12303" max="12303" width="5.33203125" customWidth="1"/>
    <col min="12304" max="12304" width="5.6640625" customWidth="1"/>
    <col min="12305" max="12305" width="5.44140625" customWidth="1"/>
    <col min="12306" max="12306" width="7.6640625" customWidth="1"/>
    <col min="12307" max="12307" width="6.44140625" customWidth="1"/>
    <col min="12308" max="12308" width="6.109375" customWidth="1"/>
    <col min="12309" max="12309" width="12.6640625" customWidth="1"/>
    <col min="12310" max="12310" width="10.6640625" customWidth="1"/>
    <col min="12311" max="12311" width="16.109375" customWidth="1"/>
    <col min="12312" max="12312" width="11.5546875" customWidth="1"/>
    <col min="12313" max="12313" width="6.33203125" customWidth="1"/>
    <col min="12314" max="12314" width="14.88671875" customWidth="1"/>
    <col min="12545" max="12545" width="3.109375" customWidth="1"/>
    <col min="12546" max="12546" width="12.5546875" customWidth="1"/>
    <col min="12547" max="12547" width="5.88671875" customWidth="1"/>
    <col min="12548" max="12548" width="5.44140625" customWidth="1"/>
    <col min="12549" max="12549" width="6.6640625" customWidth="1"/>
    <col min="12550" max="12550" width="6.33203125" customWidth="1"/>
    <col min="12551" max="12552" width="6" customWidth="1"/>
    <col min="12553" max="12553" width="6.44140625" customWidth="1"/>
    <col min="12554" max="12554" width="6.109375" customWidth="1"/>
    <col min="12555" max="12555" width="6.44140625" customWidth="1"/>
    <col min="12556" max="12556" width="6.88671875" customWidth="1"/>
    <col min="12557" max="12557" width="5.33203125" customWidth="1"/>
    <col min="12558" max="12558" width="5.44140625" customWidth="1"/>
    <col min="12559" max="12559" width="5.33203125" customWidth="1"/>
    <col min="12560" max="12560" width="5.6640625" customWidth="1"/>
    <col min="12561" max="12561" width="5.44140625" customWidth="1"/>
    <col min="12562" max="12562" width="7.6640625" customWidth="1"/>
    <col min="12563" max="12563" width="6.44140625" customWidth="1"/>
    <col min="12564" max="12564" width="6.109375" customWidth="1"/>
    <col min="12565" max="12565" width="12.6640625" customWidth="1"/>
    <col min="12566" max="12566" width="10.6640625" customWidth="1"/>
    <col min="12567" max="12567" width="16.109375" customWidth="1"/>
    <col min="12568" max="12568" width="11.5546875" customWidth="1"/>
    <col min="12569" max="12569" width="6.33203125" customWidth="1"/>
    <col min="12570" max="12570" width="14.88671875" customWidth="1"/>
    <col min="12801" max="12801" width="3.109375" customWidth="1"/>
    <col min="12802" max="12802" width="12.5546875" customWidth="1"/>
    <col min="12803" max="12803" width="5.88671875" customWidth="1"/>
    <col min="12804" max="12804" width="5.44140625" customWidth="1"/>
    <col min="12805" max="12805" width="6.6640625" customWidth="1"/>
    <col min="12806" max="12806" width="6.33203125" customWidth="1"/>
    <col min="12807" max="12808" width="6" customWidth="1"/>
    <col min="12809" max="12809" width="6.44140625" customWidth="1"/>
    <col min="12810" max="12810" width="6.109375" customWidth="1"/>
    <col min="12811" max="12811" width="6.44140625" customWidth="1"/>
    <col min="12812" max="12812" width="6.88671875" customWidth="1"/>
    <col min="12813" max="12813" width="5.33203125" customWidth="1"/>
    <col min="12814" max="12814" width="5.44140625" customWidth="1"/>
    <col min="12815" max="12815" width="5.33203125" customWidth="1"/>
    <col min="12816" max="12816" width="5.6640625" customWidth="1"/>
    <col min="12817" max="12817" width="5.44140625" customWidth="1"/>
    <col min="12818" max="12818" width="7.6640625" customWidth="1"/>
    <col min="12819" max="12819" width="6.44140625" customWidth="1"/>
    <col min="12820" max="12820" width="6.109375" customWidth="1"/>
    <col min="12821" max="12821" width="12.6640625" customWidth="1"/>
    <col min="12822" max="12822" width="10.6640625" customWidth="1"/>
    <col min="12823" max="12823" width="16.109375" customWidth="1"/>
    <col min="12824" max="12824" width="11.5546875" customWidth="1"/>
    <col min="12825" max="12825" width="6.33203125" customWidth="1"/>
    <col min="12826" max="12826" width="14.88671875" customWidth="1"/>
    <col min="13057" max="13057" width="3.109375" customWidth="1"/>
    <col min="13058" max="13058" width="12.5546875" customWidth="1"/>
    <col min="13059" max="13059" width="5.88671875" customWidth="1"/>
    <col min="13060" max="13060" width="5.44140625" customWidth="1"/>
    <col min="13061" max="13061" width="6.6640625" customWidth="1"/>
    <col min="13062" max="13062" width="6.33203125" customWidth="1"/>
    <col min="13063" max="13064" width="6" customWidth="1"/>
    <col min="13065" max="13065" width="6.44140625" customWidth="1"/>
    <col min="13066" max="13066" width="6.109375" customWidth="1"/>
    <col min="13067" max="13067" width="6.44140625" customWidth="1"/>
    <col min="13068" max="13068" width="6.88671875" customWidth="1"/>
    <col min="13069" max="13069" width="5.33203125" customWidth="1"/>
    <col min="13070" max="13070" width="5.44140625" customWidth="1"/>
    <col min="13071" max="13071" width="5.33203125" customWidth="1"/>
    <col min="13072" max="13072" width="5.6640625" customWidth="1"/>
    <col min="13073" max="13073" width="5.44140625" customWidth="1"/>
    <col min="13074" max="13074" width="7.6640625" customWidth="1"/>
    <col min="13075" max="13075" width="6.44140625" customWidth="1"/>
    <col min="13076" max="13076" width="6.109375" customWidth="1"/>
    <col min="13077" max="13077" width="12.6640625" customWidth="1"/>
    <col min="13078" max="13078" width="10.6640625" customWidth="1"/>
    <col min="13079" max="13079" width="16.109375" customWidth="1"/>
    <col min="13080" max="13080" width="11.5546875" customWidth="1"/>
    <col min="13081" max="13081" width="6.33203125" customWidth="1"/>
    <col min="13082" max="13082" width="14.88671875" customWidth="1"/>
    <col min="13313" max="13313" width="3.109375" customWidth="1"/>
    <col min="13314" max="13314" width="12.5546875" customWidth="1"/>
    <col min="13315" max="13315" width="5.88671875" customWidth="1"/>
    <col min="13316" max="13316" width="5.44140625" customWidth="1"/>
    <col min="13317" max="13317" width="6.6640625" customWidth="1"/>
    <col min="13318" max="13318" width="6.33203125" customWidth="1"/>
    <col min="13319" max="13320" width="6" customWidth="1"/>
    <col min="13321" max="13321" width="6.44140625" customWidth="1"/>
    <col min="13322" max="13322" width="6.109375" customWidth="1"/>
    <col min="13323" max="13323" width="6.44140625" customWidth="1"/>
    <col min="13324" max="13324" width="6.88671875" customWidth="1"/>
    <col min="13325" max="13325" width="5.33203125" customWidth="1"/>
    <col min="13326" max="13326" width="5.44140625" customWidth="1"/>
    <col min="13327" max="13327" width="5.33203125" customWidth="1"/>
    <col min="13328" max="13328" width="5.6640625" customWidth="1"/>
    <col min="13329" max="13329" width="5.44140625" customWidth="1"/>
    <col min="13330" max="13330" width="7.6640625" customWidth="1"/>
    <col min="13331" max="13331" width="6.44140625" customWidth="1"/>
    <col min="13332" max="13332" width="6.109375" customWidth="1"/>
    <col min="13333" max="13333" width="12.6640625" customWidth="1"/>
    <col min="13334" max="13334" width="10.6640625" customWidth="1"/>
    <col min="13335" max="13335" width="16.109375" customWidth="1"/>
    <col min="13336" max="13336" width="11.5546875" customWidth="1"/>
    <col min="13337" max="13337" width="6.33203125" customWidth="1"/>
    <col min="13338" max="13338" width="14.88671875" customWidth="1"/>
    <col min="13569" max="13569" width="3.109375" customWidth="1"/>
    <col min="13570" max="13570" width="12.5546875" customWidth="1"/>
    <col min="13571" max="13571" width="5.88671875" customWidth="1"/>
    <col min="13572" max="13572" width="5.44140625" customWidth="1"/>
    <col min="13573" max="13573" width="6.6640625" customWidth="1"/>
    <col min="13574" max="13574" width="6.33203125" customWidth="1"/>
    <col min="13575" max="13576" width="6" customWidth="1"/>
    <col min="13577" max="13577" width="6.44140625" customWidth="1"/>
    <col min="13578" max="13578" width="6.109375" customWidth="1"/>
    <col min="13579" max="13579" width="6.44140625" customWidth="1"/>
    <col min="13580" max="13580" width="6.88671875" customWidth="1"/>
    <col min="13581" max="13581" width="5.33203125" customWidth="1"/>
    <col min="13582" max="13582" width="5.44140625" customWidth="1"/>
    <col min="13583" max="13583" width="5.33203125" customWidth="1"/>
    <col min="13584" max="13584" width="5.6640625" customWidth="1"/>
    <col min="13585" max="13585" width="5.44140625" customWidth="1"/>
    <col min="13586" max="13586" width="7.6640625" customWidth="1"/>
    <col min="13587" max="13587" width="6.44140625" customWidth="1"/>
    <col min="13588" max="13588" width="6.109375" customWidth="1"/>
    <col min="13589" max="13589" width="12.6640625" customWidth="1"/>
    <col min="13590" max="13590" width="10.6640625" customWidth="1"/>
    <col min="13591" max="13591" width="16.109375" customWidth="1"/>
    <col min="13592" max="13592" width="11.5546875" customWidth="1"/>
    <col min="13593" max="13593" width="6.33203125" customWidth="1"/>
    <col min="13594" max="13594" width="14.88671875" customWidth="1"/>
    <col min="13825" max="13825" width="3.109375" customWidth="1"/>
    <col min="13826" max="13826" width="12.5546875" customWidth="1"/>
    <col min="13827" max="13827" width="5.88671875" customWidth="1"/>
    <col min="13828" max="13828" width="5.44140625" customWidth="1"/>
    <col min="13829" max="13829" width="6.6640625" customWidth="1"/>
    <col min="13830" max="13830" width="6.33203125" customWidth="1"/>
    <col min="13831" max="13832" width="6" customWidth="1"/>
    <col min="13833" max="13833" width="6.44140625" customWidth="1"/>
    <col min="13834" max="13834" width="6.109375" customWidth="1"/>
    <col min="13835" max="13835" width="6.44140625" customWidth="1"/>
    <col min="13836" max="13836" width="6.88671875" customWidth="1"/>
    <col min="13837" max="13837" width="5.33203125" customWidth="1"/>
    <col min="13838" max="13838" width="5.44140625" customWidth="1"/>
    <col min="13839" max="13839" width="5.33203125" customWidth="1"/>
    <col min="13840" max="13840" width="5.6640625" customWidth="1"/>
    <col min="13841" max="13841" width="5.44140625" customWidth="1"/>
    <col min="13842" max="13842" width="7.6640625" customWidth="1"/>
    <col min="13843" max="13843" width="6.44140625" customWidth="1"/>
    <col min="13844" max="13844" width="6.109375" customWidth="1"/>
    <col min="13845" max="13845" width="12.6640625" customWidth="1"/>
    <col min="13846" max="13846" width="10.6640625" customWidth="1"/>
    <col min="13847" max="13847" width="16.109375" customWidth="1"/>
    <col min="13848" max="13848" width="11.5546875" customWidth="1"/>
    <col min="13849" max="13849" width="6.33203125" customWidth="1"/>
    <col min="13850" max="13850" width="14.88671875" customWidth="1"/>
    <col min="14081" max="14081" width="3.109375" customWidth="1"/>
    <col min="14082" max="14082" width="12.5546875" customWidth="1"/>
    <col min="14083" max="14083" width="5.88671875" customWidth="1"/>
    <col min="14084" max="14084" width="5.44140625" customWidth="1"/>
    <col min="14085" max="14085" width="6.6640625" customWidth="1"/>
    <col min="14086" max="14086" width="6.33203125" customWidth="1"/>
    <col min="14087" max="14088" width="6" customWidth="1"/>
    <col min="14089" max="14089" width="6.44140625" customWidth="1"/>
    <col min="14090" max="14090" width="6.109375" customWidth="1"/>
    <col min="14091" max="14091" width="6.44140625" customWidth="1"/>
    <col min="14092" max="14092" width="6.88671875" customWidth="1"/>
    <col min="14093" max="14093" width="5.33203125" customWidth="1"/>
    <col min="14094" max="14094" width="5.44140625" customWidth="1"/>
    <col min="14095" max="14095" width="5.33203125" customWidth="1"/>
    <col min="14096" max="14096" width="5.6640625" customWidth="1"/>
    <col min="14097" max="14097" width="5.44140625" customWidth="1"/>
    <col min="14098" max="14098" width="7.6640625" customWidth="1"/>
    <col min="14099" max="14099" width="6.44140625" customWidth="1"/>
    <col min="14100" max="14100" width="6.109375" customWidth="1"/>
    <col min="14101" max="14101" width="12.6640625" customWidth="1"/>
    <col min="14102" max="14102" width="10.6640625" customWidth="1"/>
    <col min="14103" max="14103" width="16.109375" customWidth="1"/>
    <col min="14104" max="14104" width="11.5546875" customWidth="1"/>
    <col min="14105" max="14105" width="6.33203125" customWidth="1"/>
    <col min="14106" max="14106" width="14.88671875" customWidth="1"/>
    <col min="14337" max="14337" width="3.109375" customWidth="1"/>
    <col min="14338" max="14338" width="12.5546875" customWidth="1"/>
    <col min="14339" max="14339" width="5.88671875" customWidth="1"/>
    <col min="14340" max="14340" width="5.44140625" customWidth="1"/>
    <col min="14341" max="14341" width="6.6640625" customWidth="1"/>
    <col min="14342" max="14342" width="6.33203125" customWidth="1"/>
    <col min="14343" max="14344" width="6" customWidth="1"/>
    <col min="14345" max="14345" width="6.44140625" customWidth="1"/>
    <col min="14346" max="14346" width="6.109375" customWidth="1"/>
    <col min="14347" max="14347" width="6.44140625" customWidth="1"/>
    <col min="14348" max="14348" width="6.88671875" customWidth="1"/>
    <col min="14349" max="14349" width="5.33203125" customWidth="1"/>
    <col min="14350" max="14350" width="5.44140625" customWidth="1"/>
    <col min="14351" max="14351" width="5.33203125" customWidth="1"/>
    <col min="14352" max="14352" width="5.6640625" customWidth="1"/>
    <col min="14353" max="14353" width="5.44140625" customWidth="1"/>
    <col min="14354" max="14354" width="7.6640625" customWidth="1"/>
    <col min="14355" max="14355" width="6.44140625" customWidth="1"/>
    <col min="14356" max="14356" width="6.109375" customWidth="1"/>
    <col min="14357" max="14357" width="12.6640625" customWidth="1"/>
    <col min="14358" max="14358" width="10.6640625" customWidth="1"/>
    <col min="14359" max="14359" width="16.109375" customWidth="1"/>
    <col min="14360" max="14360" width="11.5546875" customWidth="1"/>
    <col min="14361" max="14361" width="6.33203125" customWidth="1"/>
    <col min="14362" max="14362" width="14.88671875" customWidth="1"/>
    <col min="14593" max="14593" width="3.109375" customWidth="1"/>
    <col min="14594" max="14594" width="12.5546875" customWidth="1"/>
    <col min="14595" max="14595" width="5.88671875" customWidth="1"/>
    <col min="14596" max="14596" width="5.44140625" customWidth="1"/>
    <col min="14597" max="14597" width="6.6640625" customWidth="1"/>
    <col min="14598" max="14598" width="6.33203125" customWidth="1"/>
    <col min="14599" max="14600" width="6" customWidth="1"/>
    <col min="14601" max="14601" width="6.44140625" customWidth="1"/>
    <col min="14602" max="14602" width="6.109375" customWidth="1"/>
    <col min="14603" max="14603" width="6.44140625" customWidth="1"/>
    <col min="14604" max="14604" width="6.88671875" customWidth="1"/>
    <col min="14605" max="14605" width="5.33203125" customWidth="1"/>
    <col min="14606" max="14606" width="5.44140625" customWidth="1"/>
    <col min="14607" max="14607" width="5.33203125" customWidth="1"/>
    <col min="14608" max="14608" width="5.6640625" customWidth="1"/>
    <col min="14609" max="14609" width="5.44140625" customWidth="1"/>
    <col min="14610" max="14610" width="7.6640625" customWidth="1"/>
    <col min="14611" max="14611" width="6.44140625" customWidth="1"/>
    <col min="14612" max="14612" width="6.109375" customWidth="1"/>
    <col min="14613" max="14613" width="12.6640625" customWidth="1"/>
    <col min="14614" max="14614" width="10.6640625" customWidth="1"/>
    <col min="14615" max="14615" width="16.109375" customWidth="1"/>
    <col min="14616" max="14616" width="11.5546875" customWidth="1"/>
    <col min="14617" max="14617" width="6.33203125" customWidth="1"/>
    <col min="14618" max="14618" width="14.88671875" customWidth="1"/>
    <col min="14849" max="14849" width="3.109375" customWidth="1"/>
    <col min="14850" max="14850" width="12.5546875" customWidth="1"/>
    <col min="14851" max="14851" width="5.88671875" customWidth="1"/>
    <col min="14852" max="14852" width="5.44140625" customWidth="1"/>
    <col min="14853" max="14853" width="6.6640625" customWidth="1"/>
    <col min="14854" max="14854" width="6.33203125" customWidth="1"/>
    <col min="14855" max="14856" width="6" customWidth="1"/>
    <col min="14857" max="14857" width="6.44140625" customWidth="1"/>
    <col min="14858" max="14858" width="6.109375" customWidth="1"/>
    <col min="14859" max="14859" width="6.44140625" customWidth="1"/>
    <col min="14860" max="14860" width="6.88671875" customWidth="1"/>
    <col min="14861" max="14861" width="5.33203125" customWidth="1"/>
    <col min="14862" max="14862" width="5.44140625" customWidth="1"/>
    <col min="14863" max="14863" width="5.33203125" customWidth="1"/>
    <col min="14864" max="14864" width="5.6640625" customWidth="1"/>
    <col min="14865" max="14865" width="5.44140625" customWidth="1"/>
    <col min="14866" max="14866" width="7.6640625" customWidth="1"/>
    <col min="14867" max="14867" width="6.44140625" customWidth="1"/>
    <col min="14868" max="14868" width="6.109375" customWidth="1"/>
    <col min="14869" max="14869" width="12.6640625" customWidth="1"/>
    <col min="14870" max="14870" width="10.6640625" customWidth="1"/>
    <col min="14871" max="14871" width="16.109375" customWidth="1"/>
    <col min="14872" max="14872" width="11.5546875" customWidth="1"/>
    <col min="14873" max="14873" width="6.33203125" customWidth="1"/>
    <col min="14874" max="14874" width="14.88671875" customWidth="1"/>
    <col min="15105" max="15105" width="3.109375" customWidth="1"/>
    <col min="15106" max="15106" width="12.5546875" customWidth="1"/>
    <col min="15107" max="15107" width="5.88671875" customWidth="1"/>
    <col min="15108" max="15108" width="5.44140625" customWidth="1"/>
    <col min="15109" max="15109" width="6.6640625" customWidth="1"/>
    <col min="15110" max="15110" width="6.33203125" customWidth="1"/>
    <col min="15111" max="15112" width="6" customWidth="1"/>
    <col min="15113" max="15113" width="6.44140625" customWidth="1"/>
    <col min="15114" max="15114" width="6.109375" customWidth="1"/>
    <col min="15115" max="15115" width="6.44140625" customWidth="1"/>
    <col min="15116" max="15116" width="6.88671875" customWidth="1"/>
    <col min="15117" max="15117" width="5.33203125" customWidth="1"/>
    <col min="15118" max="15118" width="5.44140625" customWidth="1"/>
    <col min="15119" max="15119" width="5.33203125" customWidth="1"/>
    <col min="15120" max="15120" width="5.6640625" customWidth="1"/>
    <col min="15121" max="15121" width="5.44140625" customWidth="1"/>
    <col min="15122" max="15122" width="7.6640625" customWidth="1"/>
    <col min="15123" max="15123" width="6.44140625" customWidth="1"/>
    <col min="15124" max="15124" width="6.109375" customWidth="1"/>
    <col min="15125" max="15125" width="12.6640625" customWidth="1"/>
    <col min="15126" max="15126" width="10.6640625" customWidth="1"/>
    <col min="15127" max="15127" width="16.109375" customWidth="1"/>
    <col min="15128" max="15128" width="11.5546875" customWidth="1"/>
    <col min="15129" max="15129" width="6.33203125" customWidth="1"/>
    <col min="15130" max="15130" width="14.88671875" customWidth="1"/>
    <col min="15361" max="15361" width="3.109375" customWidth="1"/>
    <col min="15362" max="15362" width="12.5546875" customWidth="1"/>
    <col min="15363" max="15363" width="5.88671875" customWidth="1"/>
    <col min="15364" max="15364" width="5.44140625" customWidth="1"/>
    <col min="15365" max="15365" width="6.6640625" customWidth="1"/>
    <col min="15366" max="15366" width="6.33203125" customWidth="1"/>
    <col min="15367" max="15368" width="6" customWidth="1"/>
    <col min="15369" max="15369" width="6.44140625" customWidth="1"/>
    <col min="15370" max="15370" width="6.109375" customWidth="1"/>
    <col min="15371" max="15371" width="6.44140625" customWidth="1"/>
    <col min="15372" max="15372" width="6.88671875" customWidth="1"/>
    <col min="15373" max="15373" width="5.33203125" customWidth="1"/>
    <col min="15374" max="15374" width="5.44140625" customWidth="1"/>
    <col min="15375" max="15375" width="5.33203125" customWidth="1"/>
    <col min="15376" max="15376" width="5.6640625" customWidth="1"/>
    <col min="15377" max="15377" width="5.44140625" customWidth="1"/>
    <col min="15378" max="15378" width="7.6640625" customWidth="1"/>
    <col min="15379" max="15379" width="6.44140625" customWidth="1"/>
    <col min="15380" max="15380" width="6.109375" customWidth="1"/>
    <col min="15381" max="15381" width="12.6640625" customWidth="1"/>
    <col min="15382" max="15382" width="10.6640625" customWidth="1"/>
    <col min="15383" max="15383" width="16.109375" customWidth="1"/>
    <col min="15384" max="15384" width="11.5546875" customWidth="1"/>
    <col min="15385" max="15385" width="6.33203125" customWidth="1"/>
    <col min="15386" max="15386" width="14.88671875" customWidth="1"/>
    <col min="15617" max="15617" width="3.109375" customWidth="1"/>
    <col min="15618" max="15618" width="12.5546875" customWidth="1"/>
    <col min="15619" max="15619" width="5.88671875" customWidth="1"/>
    <col min="15620" max="15620" width="5.44140625" customWidth="1"/>
    <col min="15621" max="15621" width="6.6640625" customWidth="1"/>
    <col min="15622" max="15622" width="6.33203125" customWidth="1"/>
    <col min="15623" max="15624" width="6" customWidth="1"/>
    <col min="15625" max="15625" width="6.44140625" customWidth="1"/>
    <col min="15626" max="15626" width="6.109375" customWidth="1"/>
    <col min="15627" max="15627" width="6.44140625" customWidth="1"/>
    <col min="15628" max="15628" width="6.88671875" customWidth="1"/>
    <col min="15629" max="15629" width="5.33203125" customWidth="1"/>
    <col min="15630" max="15630" width="5.44140625" customWidth="1"/>
    <col min="15631" max="15631" width="5.33203125" customWidth="1"/>
    <col min="15632" max="15632" width="5.6640625" customWidth="1"/>
    <col min="15633" max="15633" width="5.44140625" customWidth="1"/>
    <col min="15634" max="15634" width="7.6640625" customWidth="1"/>
    <col min="15635" max="15635" width="6.44140625" customWidth="1"/>
    <col min="15636" max="15636" width="6.109375" customWidth="1"/>
    <col min="15637" max="15637" width="12.6640625" customWidth="1"/>
    <col min="15638" max="15638" width="10.6640625" customWidth="1"/>
    <col min="15639" max="15639" width="16.109375" customWidth="1"/>
    <col min="15640" max="15640" width="11.5546875" customWidth="1"/>
    <col min="15641" max="15641" width="6.33203125" customWidth="1"/>
    <col min="15642" max="15642" width="14.88671875" customWidth="1"/>
    <col min="15873" max="15873" width="3.109375" customWidth="1"/>
    <col min="15874" max="15874" width="12.5546875" customWidth="1"/>
    <col min="15875" max="15875" width="5.88671875" customWidth="1"/>
    <col min="15876" max="15876" width="5.44140625" customWidth="1"/>
    <col min="15877" max="15877" width="6.6640625" customWidth="1"/>
    <col min="15878" max="15878" width="6.33203125" customWidth="1"/>
    <col min="15879" max="15880" width="6" customWidth="1"/>
    <col min="15881" max="15881" width="6.44140625" customWidth="1"/>
    <col min="15882" max="15882" width="6.109375" customWidth="1"/>
    <col min="15883" max="15883" width="6.44140625" customWidth="1"/>
    <col min="15884" max="15884" width="6.88671875" customWidth="1"/>
    <col min="15885" max="15885" width="5.33203125" customWidth="1"/>
    <col min="15886" max="15886" width="5.44140625" customWidth="1"/>
    <col min="15887" max="15887" width="5.33203125" customWidth="1"/>
    <col min="15888" max="15888" width="5.6640625" customWidth="1"/>
    <col min="15889" max="15889" width="5.44140625" customWidth="1"/>
    <col min="15890" max="15890" width="7.6640625" customWidth="1"/>
    <col min="15891" max="15891" width="6.44140625" customWidth="1"/>
    <col min="15892" max="15892" width="6.109375" customWidth="1"/>
    <col min="15893" max="15893" width="12.6640625" customWidth="1"/>
    <col min="15894" max="15894" width="10.6640625" customWidth="1"/>
    <col min="15895" max="15895" width="16.109375" customWidth="1"/>
    <col min="15896" max="15896" width="11.5546875" customWidth="1"/>
    <col min="15897" max="15897" width="6.33203125" customWidth="1"/>
    <col min="15898" max="15898" width="14.88671875" customWidth="1"/>
    <col min="16129" max="16129" width="3.109375" customWidth="1"/>
    <col min="16130" max="16130" width="12.5546875" customWidth="1"/>
    <col min="16131" max="16131" width="5.88671875" customWidth="1"/>
    <col min="16132" max="16132" width="5.44140625" customWidth="1"/>
    <col min="16133" max="16133" width="6.6640625" customWidth="1"/>
    <col min="16134" max="16134" width="6.33203125" customWidth="1"/>
    <col min="16135" max="16136" width="6" customWidth="1"/>
    <col min="16137" max="16137" width="6.44140625" customWidth="1"/>
    <col min="16138" max="16138" width="6.109375" customWidth="1"/>
    <col min="16139" max="16139" width="6.44140625" customWidth="1"/>
    <col min="16140" max="16140" width="6.88671875" customWidth="1"/>
    <col min="16141" max="16141" width="5.33203125" customWidth="1"/>
    <col min="16142" max="16142" width="5.44140625" customWidth="1"/>
    <col min="16143" max="16143" width="5.33203125" customWidth="1"/>
    <col min="16144" max="16144" width="5.6640625" customWidth="1"/>
    <col min="16145" max="16145" width="5.44140625" customWidth="1"/>
    <col min="16146" max="16146" width="7.6640625" customWidth="1"/>
    <col min="16147" max="16147" width="6.44140625" customWidth="1"/>
    <col min="16148" max="16148" width="6.109375" customWidth="1"/>
    <col min="16149" max="16149" width="12.6640625" customWidth="1"/>
    <col min="16150" max="16150" width="10.6640625" customWidth="1"/>
    <col min="16151" max="16151" width="16.109375" customWidth="1"/>
    <col min="16152" max="16152" width="11.5546875" customWidth="1"/>
    <col min="16153" max="16153" width="6.33203125" customWidth="1"/>
    <col min="16154" max="16154" width="14.88671875" customWidth="1"/>
  </cols>
  <sheetData>
    <row r="1" spans="1:21" ht="21" x14ac:dyDescent="0.4">
      <c r="B1" s="1" t="s">
        <v>139</v>
      </c>
      <c r="D1" s="1"/>
      <c r="E1" s="1"/>
      <c r="I1" s="2"/>
      <c r="J1" t="s">
        <v>107</v>
      </c>
      <c r="K1" s="17">
        <v>75</v>
      </c>
      <c r="S1">
        <f>S4-S4*10%</f>
        <v>1.2</v>
      </c>
    </row>
    <row r="2" spans="1:21" x14ac:dyDescent="0.25">
      <c r="B2" s="3"/>
      <c r="C2" s="3"/>
      <c r="D2" s="3"/>
      <c r="E2" s="3"/>
      <c r="F2" s="3"/>
      <c r="G2" s="3"/>
      <c r="H2" s="3"/>
      <c r="I2" s="3"/>
      <c r="J2" t="s">
        <v>140</v>
      </c>
      <c r="K2" s="17">
        <v>1.6</v>
      </c>
    </row>
    <row r="3" spans="1:21" x14ac:dyDescent="0.25">
      <c r="B3" s="3"/>
      <c r="C3" s="3">
        <v>1050</v>
      </c>
      <c r="D3" s="3">
        <v>100</v>
      </c>
      <c r="E3" s="3"/>
      <c r="F3" s="3"/>
      <c r="G3" s="3"/>
      <c r="H3" s="3"/>
      <c r="I3" s="3"/>
    </row>
    <row r="4" spans="1:21" x14ac:dyDescent="0.25">
      <c r="B4" s="3">
        <v>800</v>
      </c>
      <c r="C4" s="3">
        <v>642</v>
      </c>
      <c r="D4" s="3">
        <v>725</v>
      </c>
      <c r="E4" s="3">
        <v>1</v>
      </c>
      <c r="F4" s="3">
        <v>75</v>
      </c>
      <c r="G4" s="3">
        <v>15</v>
      </c>
      <c r="H4" s="3"/>
      <c r="I4" s="3"/>
      <c r="S4">
        <f>1/S5</f>
        <v>1.3333333333333333</v>
      </c>
    </row>
    <row r="5" spans="1:21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K5">
        <f>K1</f>
        <v>75</v>
      </c>
      <c r="L5" s="4">
        <v>0.1</v>
      </c>
      <c r="M5">
        <v>20</v>
      </c>
      <c r="N5">
        <v>10</v>
      </c>
      <c r="P5">
        <v>13</v>
      </c>
      <c r="S5">
        <v>0.75</v>
      </c>
    </row>
    <row r="6" spans="1:21" x14ac:dyDescent="0.25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  <c r="O6" s="5" t="s">
        <v>20</v>
      </c>
      <c r="P6" s="5" t="s">
        <v>21</v>
      </c>
      <c r="Q6" s="5" t="s">
        <v>22</v>
      </c>
      <c r="R6" s="5" t="s">
        <v>23</v>
      </c>
      <c r="S6" s="5" t="s">
        <v>24</v>
      </c>
    </row>
    <row r="7" spans="1:21" x14ac:dyDescent="0.25">
      <c r="A7" s="6">
        <v>1</v>
      </c>
      <c r="B7" s="6" t="s">
        <v>25</v>
      </c>
      <c r="C7" s="6">
        <f>C4-21*2+30*2+20*2</f>
        <v>700</v>
      </c>
      <c r="D7" s="6">
        <f>D4</f>
        <v>725</v>
      </c>
      <c r="E7" s="6">
        <f>K2</f>
        <v>1.6</v>
      </c>
      <c r="F7" s="6">
        <f>E$4*2</f>
        <v>2</v>
      </c>
      <c r="G7" s="6"/>
      <c r="H7" s="6"/>
      <c r="I7" s="6">
        <f t="shared" ref="I7:I29" si="0">C7/1000*D7/1000*E7*F7*8</f>
        <v>12.991999999999999</v>
      </c>
      <c r="J7" s="6">
        <f t="shared" ref="J7:J66" si="1">C7/1000*D7/1000*2*10.76*F7</f>
        <v>21.842799999999997</v>
      </c>
      <c r="K7" s="6">
        <f t="shared" ref="K7:K29" si="2">I7*K$5</f>
        <v>974.4</v>
      </c>
      <c r="L7" s="6">
        <f t="shared" ref="L7:L29" si="3">K7*L$5</f>
        <v>97.44</v>
      </c>
      <c r="M7" s="7">
        <f t="shared" ref="M7:M29" si="4">I7*M$5</f>
        <v>259.83999999999997</v>
      </c>
      <c r="N7" s="7">
        <f>N$5*I7</f>
        <v>129.91999999999999</v>
      </c>
      <c r="O7" s="7">
        <v>0</v>
      </c>
      <c r="P7" s="7">
        <f t="shared" ref="P7:P17" si="5">J7*P$5</f>
        <v>283.95639999999997</v>
      </c>
      <c r="Q7" s="7">
        <v>0</v>
      </c>
      <c r="R7" s="7">
        <f t="shared" ref="R7:R29" si="6">K7+L7+M7+N7+O7+P7+Q7</f>
        <v>1745.5563999999999</v>
      </c>
      <c r="S7" s="7">
        <f t="shared" ref="S7:S29" si="7">R7/S$5</f>
        <v>2327.4085333333333</v>
      </c>
      <c r="U7" s="8"/>
    </row>
    <row r="8" spans="1:21" x14ac:dyDescent="0.25">
      <c r="A8" s="6">
        <f t="shared" ref="A8:A13" si="8">A7+1</f>
        <v>2</v>
      </c>
      <c r="B8" s="6" t="s">
        <v>26</v>
      </c>
      <c r="C8" s="6">
        <f>C7</f>
        <v>700</v>
      </c>
      <c r="D8" s="6">
        <f>B4</f>
        <v>800</v>
      </c>
      <c r="E8" s="6">
        <f>K2</f>
        <v>1.6</v>
      </c>
      <c r="F8" s="6">
        <f>E$4*2</f>
        <v>2</v>
      </c>
      <c r="G8" s="6"/>
      <c r="H8" s="6"/>
      <c r="I8" s="6">
        <f t="shared" si="0"/>
        <v>14.336000000000002</v>
      </c>
      <c r="J8" s="6">
        <f t="shared" si="1"/>
        <v>24.102400000000003</v>
      </c>
      <c r="K8" s="6">
        <f t="shared" si="2"/>
        <v>1075.2</v>
      </c>
      <c r="L8" s="6">
        <f t="shared" si="3"/>
        <v>107.52000000000001</v>
      </c>
      <c r="M8" s="7">
        <f t="shared" si="4"/>
        <v>286.72000000000003</v>
      </c>
      <c r="N8" s="7">
        <f t="shared" ref="N8:N66" si="9">N$5*I8</f>
        <v>143.36000000000001</v>
      </c>
      <c r="O8" s="7">
        <v>0</v>
      </c>
      <c r="P8" s="7">
        <f t="shared" si="5"/>
        <v>313.33120000000002</v>
      </c>
      <c r="Q8" s="7">
        <v>0</v>
      </c>
      <c r="R8" s="7">
        <f t="shared" si="6"/>
        <v>1926.1312000000003</v>
      </c>
      <c r="S8" s="7">
        <f t="shared" si="7"/>
        <v>2568.1749333333337</v>
      </c>
      <c r="U8" s="8"/>
    </row>
    <row r="9" spans="1:21" x14ac:dyDescent="0.25">
      <c r="A9" s="6">
        <f t="shared" si="8"/>
        <v>3</v>
      </c>
      <c r="B9" s="6" t="s">
        <v>27</v>
      </c>
      <c r="C9" s="6">
        <f>56</f>
        <v>56</v>
      </c>
      <c r="D9" s="6">
        <f>C4</f>
        <v>642</v>
      </c>
      <c r="E9" s="6">
        <f>K2</f>
        <v>1.6</v>
      </c>
      <c r="F9" s="6">
        <f>E$4*4</f>
        <v>4</v>
      </c>
      <c r="G9" s="6"/>
      <c r="H9" s="6"/>
      <c r="I9" s="6">
        <f t="shared" si="0"/>
        <v>1.8407423999999999</v>
      </c>
      <c r="J9" s="6">
        <f t="shared" si="1"/>
        <v>3.09474816</v>
      </c>
      <c r="K9" s="6">
        <f t="shared" si="2"/>
        <v>138.05568</v>
      </c>
      <c r="L9" s="6">
        <f t="shared" si="3"/>
        <v>13.805568000000001</v>
      </c>
      <c r="M9" s="7">
        <f t="shared" si="4"/>
        <v>36.814847999999998</v>
      </c>
      <c r="N9" s="7">
        <f t="shared" si="9"/>
        <v>18.407423999999999</v>
      </c>
      <c r="O9" s="7">
        <v>0</v>
      </c>
      <c r="P9" s="7">
        <f t="shared" si="5"/>
        <v>40.231726080000001</v>
      </c>
      <c r="Q9" s="7">
        <v>0</v>
      </c>
      <c r="R9" s="7">
        <f t="shared" si="6"/>
        <v>247.31524607999995</v>
      </c>
      <c r="S9" s="7">
        <f t="shared" si="7"/>
        <v>329.75366143999992</v>
      </c>
      <c r="U9" s="8"/>
    </row>
    <row r="10" spans="1:21" x14ac:dyDescent="0.25">
      <c r="A10" s="6">
        <f t="shared" si="8"/>
        <v>4</v>
      </c>
      <c r="B10" s="6" t="s">
        <v>28</v>
      </c>
      <c r="C10" s="6">
        <f>56</f>
        <v>56</v>
      </c>
      <c r="D10" s="6">
        <f>D4</f>
        <v>725</v>
      </c>
      <c r="E10" s="6">
        <f>K2</f>
        <v>1.6</v>
      </c>
      <c r="F10" s="6">
        <v>0</v>
      </c>
      <c r="G10" s="6"/>
      <c r="H10" s="6"/>
      <c r="I10" s="6">
        <f t="shared" si="0"/>
        <v>0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7">
        <f t="shared" si="4"/>
        <v>0</v>
      </c>
      <c r="N10" s="7">
        <f t="shared" si="9"/>
        <v>0</v>
      </c>
      <c r="O10" s="7">
        <v>0</v>
      </c>
      <c r="P10" s="7">
        <f t="shared" si="5"/>
        <v>0</v>
      </c>
      <c r="Q10" s="7">
        <v>0</v>
      </c>
      <c r="R10" s="7">
        <f t="shared" si="6"/>
        <v>0</v>
      </c>
      <c r="S10" s="7">
        <f t="shared" si="7"/>
        <v>0</v>
      </c>
      <c r="U10" s="8"/>
    </row>
    <row r="11" spans="1:21" x14ac:dyDescent="0.25">
      <c r="A11" s="6">
        <f t="shared" si="8"/>
        <v>5</v>
      </c>
      <c r="B11" s="6" t="s">
        <v>29</v>
      </c>
      <c r="C11" s="6">
        <v>250</v>
      </c>
      <c r="D11" s="6">
        <f>B4-150</f>
        <v>650</v>
      </c>
      <c r="E11" s="6">
        <v>2</v>
      </c>
      <c r="F11" s="6">
        <v>0</v>
      </c>
      <c r="G11" s="6"/>
      <c r="H11" s="6"/>
      <c r="I11" s="6">
        <f t="shared" si="0"/>
        <v>0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7">
        <f t="shared" si="4"/>
        <v>0</v>
      </c>
      <c r="N11" s="7">
        <f t="shared" si="9"/>
        <v>0</v>
      </c>
      <c r="O11" s="7">
        <v>0</v>
      </c>
      <c r="P11" s="7">
        <f t="shared" si="5"/>
        <v>0</v>
      </c>
      <c r="Q11" s="7">
        <v>0</v>
      </c>
      <c r="R11" s="7">
        <f t="shared" si="6"/>
        <v>0</v>
      </c>
      <c r="S11" s="7">
        <f t="shared" si="7"/>
        <v>0</v>
      </c>
      <c r="U11" s="8"/>
    </row>
    <row r="12" spans="1:21" x14ac:dyDescent="0.25">
      <c r="A12" s="6">
        <f t="shared" si="8"/>
        <v>6</v>
      </c>
      <c r="B12" s="6" t="s">
        <v>30</v>
      </c>
      <c r="C12" s="6">
        <f>250+40</f>
        <v>290</v>
      </c>
      <c r="D12" s="6">
        <f>C4</f>
        <v>642</v>
      </c>
      <c r="E12" s="6">
        <v>2</v>
      </c>
      <c r="F12" s="6">
        <f>E4</f>
        <v>1</v>
      </c>
      <c r="G12" s="6"/>
      <c r="H12" s="6"/>
      <c r="I12" s="6">
        <f t="shared" si="0"/>
        <v>2.9788799999999998</v>
      </c>
      <c r="J12" s="6">
        <f t="shared" si="1"/>
        <v>4.0065935999999995</v>
      </c>
      <c r="K12" s="6">
        <f t="shared" si="2"/>
        <v>223.41599999999997</v>
      </c>
      <c r="L12" s="6">
        <f t="shared" si="3"/>
        <v>22.3416</v>
      </c>
      <c r="M12" s="7">
        <f t="shared" si="4"/>
        <v>59.577599999999997</v>
      </c>
      <c r="N12" s="7">
        <f t="shared" si="9"/>
        <v>29.788799999999998</v>
      </c>
      <c r="O12" s="7">
        <v>0</v>
      </c>
      <c r="P12" s="7">
        <f t="shared" si="5"/>
        <v>52.085716799999993</v>
      </c>
      <c r="Q12" s="7">
        <v>0</v>
      </c>
      <c r="R12" s="7">
        <f t="shared" si="6"/>
        <v>387.20971679999997</v>
      </c>
      <c r="S12" s="7">
        <f t="shared" si="7"/>
        <v>516.27962239999999</v>
      </c>
      <c r="U12" s="8"/>
    </row>
    <row r="13" spans="1:21" x14ac:dyDescent="0.25">
      <c r="A13" s="6">
        <f t="shared" si="8"/>
        <v>7</v>
      </c>
      <c r="B13" s="6" t="s">
        <v>30</v>
      </c>
      <c r="C13" s="6">
        <v>800</v>
      </c>
      <c r="D13" s="6">
        <v>640</v>
      </c>
      <c r="E13" s="6">
        <v>2</v>
      </c>
      <c r="F13" s="6">
        <v>0</v>
      </c>
      <c r="G13" s="6"/>
      <c r="H13" s="6"/>
      <c r="I13" s="6">
        <f t="shared" si="0"/>
        <v>0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7">
        <f t="shared" si="4"/>
        <v>0</v>
      </c>
      <c r="N13" s="7">
        <f t="shared" si="9"/>
        <v>0</v>
      </c>
      <c r="O13" s="7">
        <v>0</v>
      </c>
      <c r="P13" s="7">
        <f t="shared" si="5"/>
        <v>0</v>
      </c>
      <c r="Q13" s="7">
        <v>0</v>
      </c>
      <c r="R13" s="7">
        <f t="shared" si="6"/>
        <v>0</v>
      </c>
      <c r="S13" s="7">
        <f t="shared" si="7"/>
        <v>0</v>
      </c>
      <c r="U13" s="8"/>
    </row>
    <row r="14" spans="1:21" x14ac:dyDescent="0.25">
      <c r="A14" s="6">
        <f>A12+1</f>
        <v>7</v>
      </c>
      <c r="B14" s="9" t="s">
        <v>31</v>
      </c>
      <c r="C14" s="10">
        <f>F4+100</f>
        <v>175</v>
      </c>
      <c r="D14" s="9">
        <f>B4</f>
        <v>800</v>
      </c>
      <c r="E14" s="9">
        <v>3</v>
      </c>
      <c r="F14" s="6">
        <f>E$4*2</f>
        <v>2</v>
      </c>
      <c r="G14" s="6"/>
      <c r="H14" s="6"/>
      <c r="I14" s="6">
        <f t="shared" si="0"/>
        <v>6.7200000000000006</v>
      </c>
      <c r="J14" s="6">
        <f t="shared" si="1"/>
        <v>6.0256000000000007</v>
      </c>
      <c r="K14" s="6">
        <f t="shared" si="2"/>
        <v>504.00000000000006</v>
      </c>
      <c r="L14" s="6">
        <f t="shared" si="3"/>
        <v>50.400000000000006</v>
      </c>
      <c r="M14" s="7">
        <f t="shared" si="4"/>
        <v>134.4</v>
      </c>
      <c r="N14" s="7">
        <f t="shared" si="9"/>
        <v>67.2</v>
      </c>
      <c r="O14" s="7">
        <f>5*F14</f>
        <v>10</v>
      </c>
      <c r="P14" s="7">
        <f t="shared" si="5"/>
        <v>78.332800000000006</v>
      </c>
      <c r="Q14" s="7">
        <v>0</v>
      </c>
      <c r="R14" s="7">
        <f t="shared" si="6"/>
        <v>844.33280000000013</v>
      </c>
      <c r="S14" s="7">
        <f t="shared" si="7"/>
        <v>1125.7770666666668</v>
      </c>
      <c r="U14" s="8"/>
    </row>
    <row r="15" spans="1:21" x14ac:dyDescent="0.25">
      <c r="A15" s="6">
        <f t="shared" ref="A15:A66" si="10">A14+1</f>
        <v>8</v>
      </c>
      <c r="B15" s="9" t="s">
        <v>32</v>
      </c>
      <c r="C15" s="10">
        <f>C14</f>
        <v>175</v>
      </c>
      <c r="D15" s="9">
        <f>C4-21*2</f>
        <v>600</v>
      </c>
      <c r="E15" s="9">
        <v>3</v>
      </c>
      <c r="F15" s="6">
        <f>E$4*2</f>
        <v>2</v>
      </c>
      <c r="G15" s="6"/>
      <c r="H15" s="6"/>
      <c r="I15" s="6">
        <f t="shared" si="0"/>
        <v>5.04</v>
      </c>
      <c r="J15" s="6">
        <f t="shared" si="1"/>
        <v>4.5191999999999997</v>
      </c>
      <c r="K15" s="6">
        <f t="shared" si="2"/>
        <v>378</v>
      </c>
      <c r="L15" s="6">
        <f t="shared" si="3"/>
        <v>37.800000000000004</v>
      </c>
      <c r="M15" s="7">
        <f t="shared" si="4"/>
        <v>100.8</v>
      </c>
      <c r="N15" s="7">
        <f t="shared" si="9"/>
        <v>50.4</v>
      </c>
      <c r="O15" s="7">
        <v>0</v>
      </c>
      <c r="P15" s="7">
        <f t="shared" si="5"/>
        <v>58.749599999999994</v>
      </c>
      <c r="Q15" s="7">
        <v>0</v>
      </c>
      <c r="R15" s="7">
        <f t="shared" si="6"/>
        <v>625.74959999999999</v>
      </c>
      <c r="S15" s="7">
        <f t="shared" si="7"/>
        <v>834.33280000000002</v>
      </c>
      <c r="U15" s="8"/>
    </row>
    <row r="16" spans="1:21" x14ac:dyDescent="0.25">
      <c r="A16" s="6">
        <f t="shared" si="10"/>
        <v>9</v>
      </c>
      <c r="B16" s="9" t="s">
        <v>33</v>
      </c>
      <c r="C16" s="10">
        <f>F4+44</f>
        <v>119</v>
      </c>
      <c r="D16" s="10">
        <f>B4-121*2</f>
        <v>558</v>
      </c>
      <c r="E16" s="9">
        <v>2</v>
      </c>
      <c r="F16" s="9">
        <v>0</v>
      </c>
      <c r="G16" s="6"/>
      <c r="H16" s="6"/>
      <c r="I16" s="6">
        <f t="shared" si="0"/>
        <v>0</v>
      </c>
      <c r="J16" s="6">
        <f t="shared" si="1"/>
        <v>0</v>
      </c>
      <c r="K16" s="6">
        <f t="shared" si="2"/>
        <v>0</v>
      </c>
      <c r="L16" s="6">
        <f t="shared" si="3"/>
        <v>0</v>
      </c>
      <c r="M16" s="7">
        <f t="shared" si="4"/>
        <v>0</v>
      </c>
      <c r="N16" s="7">
        <f t="shared" si="9"/>
        <v>0</v>
      </c>
      <c r="O16" s="7">
        <v>0</v>
      </c>
      <c r="P16" s="7">
        <f t="shared" si="5"/>
        <v>0</v>
      </c>
      <c r="Q16" s="7">
        <v>0</v>
      </c>
      <c r="R16" s="7">
        <f t="shared" si="6"/>
        <v>0</v>
      </c>
      <c r="S16" s="7">
        <f t="shared" si="7"/>
        <v>0</v>
      </c>
      <c r="U16" s="8"/>
    </row>
    <row r="17" spans="1:21" x14ac:dyDescent="0.25">
      <c r="A17" s="6">
        <f t="shared" si="10"/>
        <v>10</v>
      </c>
      <c r="B17" s="9" t="s">
        <v>33</v>
      </c>
      <c r="C17" s="10">
        <f>F4+3</f>
        <v>78</v>
      </c>
      <c r="D17" s="10">
        <f>B4-162</f>
        <v>638</v>
      </c>
      <c r="E17" s="9">
        <v>2</v>
      </c>
      <c r="F17" s="9">
        <v>0</v>
      </c>
      <c r="G17" s="6"/>
      <c r="H17" s="6"/>
      <c r="I17" s="6">
        <f t="shared" si="0"/>
        <v>0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7">
        <f t="shared" si="4"/>
        <v>0</v>
      </c>
      <c r="N17" s="7">
        <f t="shared" si="9"/>
        <v>0</v>
      </c>
      <c r="O17" s="7">
        <v>0</v>
      </c>
      <c r="P17" s="7">
        <f t="shared" si="5"/>
        <v>0</v>
      </c>
      <c r="Q17" s="7">
        <v>0</v>
      </c>
      <c r="R17" s="7">
        <f t="shared" si="6"/>
        <v>0</v>
      </c>
      <c r="S17" s="7">
        <f t="shared" si="7"/>
        <v>0</v>
      </c>
      <c r="U17" s="8"/>
    </row>
    <row r="18" spans="1:21" x14ac:dyDescent="0.25">
      <c r="A18" s="6">
        <f t="shared" si="10"/>
        <v>11</v>
      </c>
      <c r="B18" s="6" t="s">
        <v>34</v>
      </c>
      <c r="C18" s="6">
        <v>75</v>
      </c>
      <c r="D18" s="6">
        <v>100</v>
      </c>
      <c r="E18" s="6">
        <v>3</v>
      </c>
      <c r="F18" s="6">
        <v>0</v>
      </c>
      <c r="G18" s="6"/>
      <c r="H18" s="6"/>
      <c r="I18" s="6">
        <f t="shared" si="0"/>
        <v>0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7">
        <f t="shared" si="4"/>
        <v>0</v>
      </c>
      <c r="N18" s="7">
        <f t="shared" si="9"/>
        <v>0</v>
      </c>
      <c r="O18" s="7">
        <v>0</v>
      </c>
      <c r="P18" s="7">
        <v>0</v>
      </c>
      <c r="Q18" s="7">
        <f>100*J18</f>
        <v>0</v>
      </c>
      <c r="R18" s="7">
        <f t="shared" si="6"/>
        <v>0</v>
      </c>
      <c r="S18" s="7">
        <f t="shared" si="7"/>
        <v>0</v>
      </c>
      <c r="U18" s="8"/>
    </row>
    <row r="19" spans="1:21" x14ac:dyDescent="0.25">
      <c r="A19" s="6">
        <f t="shared" si="10"/>
        <v>12</v>
      </c>
      <c r="B19" s="6" t="s">
        <v>35</v>
      </c>
      <c r="C19" s="6">
        <v>125</v>
      </c>
      <c r="D19" s="6">
        <v>125</v>
      </c>
      <c r="E19" s="6">
        <v>2</v>
      </c>
      <c r="F19" s="6">
        <v>0</v>
      </c>
      <c r="G19" s="6"/>
      <c r="H19" s="6"/>
      <c r="I19" s="6">
        <f t="shared" si="0"/>
        <v>0</v>
      </c>
      <c r="J19" s="6">
        <f t="shared" si="1"/>
        <v>0</v>
      </c>
      <c r="K19" s="6">
        <f t="shared" si="2"/>
        <v>0</v>
      </c>
      <c r="L19" s="6">
        <f t="shared" si="3"/>
        <v>0</v>
      </c>
      <c r="M19" s="7">
        <f t="shared" si="4"/>
        <v>0</v>
      </c>
      <c r="N19" s="7">
        <f t="shared" si="9"/>
        <v>0</v>
      </c>
      <c r="O19" s="7">
        <v>0</v>
      </c>
      <c r="P19" s="7">
        <f t="shared" ref="P19:P29" si="11">J19*P$5</f>
        <v>0</v>
      </c>
      <c r="Q19" s="7">
        <f>12*F19</f>
        <v>0</v>
      </c>
      <c r="R19" s="7">
        <f t="shared" si="6"/>
        <v>0</v>
      </c>
      <c r="S19" s="7">
        <f t="shared" si="7"/>
        <v>0</v>
      </c>
      <c r="U19" s="8"/>
    </row>
    <row r="20" spans="1:21" x14ac:dyDescent="0.25">
      <c r="A20" s="6">
        <f t="shared" si="10"/>
        <v>13</v>
      </c>
      <c r="B20" s="6"/>
      <c r="C20" s="6"/>
      <c r="D20" s="6"/>
      <c r="E20" s="6"/>
      <c r="F20" s="6"/>
      <c r="G20" s="6"/>
      <c r="H20" s="6"/>
      <c r="I20" s="6">
        <f t="shared" si="0"/>
        <v>0</v>
      </c>
      <c r="J20" s="6">
        <f t="shared" si="1"/>
        <v>0</v>
      </c>
      <c r="K20" s="6">
        <f t="shared" si="2"/>
        <v>0</v>
      </c>
      <c r="L20" s="6">
        <f t="shared" si="3"/>
        <v>0</v>
      </c>
      <c r="M20" s="7">
        <f t="shared" si="4"/>
        <v>0</v>
      </c>
      <c r="N20" s="7">
        <f t="shared" si="9"/>
        <v>0</v>
      </c>
      <c r="O20" s="7">
        <v>0</v>
      </c>
      <c r="P20" s="7">
        <f t="shared" si="11"/>
        <v>0</v>
      </c>
      <c r="Q20" s="7">
        <v>0</v>
      </c>
      <c r="R20" s="7">
        <f t="shared" si="6"/>
        <v>0</v>
      </c>
      <c r="S20" s="7">
        <f t="shared" si="7"/>
        <v>0</v>
      </c>
      <c r="U20" s="8"/>
    </row>
    <row r="21" spans="1:21" x14ac:dyDescent="0.25">
      <c r="A21" s="6">
        <f t="shared" si="10"/>
        <v>14</v>
      </c>
      <c r="B21" s="9" t="s">
        <v>141</v>
      </c>
      <c r="C21" s="10">
        <f>40*2+82-2.65*4</f>
        <v>151.4</v>
      </c>
      <c r="D21" s="9">
        <f>C3-C4+276+15</f>
        <v>699</v>
      </c>
      <c r="E21" s="9">
        <v>3</v>
      </c>
      <c r="F21" s="9">
        <f>E$4*2</f>
        <v>2</v>
      </c>
      <c r="G21" s="6"/>
      <c r="H21" s="6"/>
      <c r="I21" s="6">
        <f t="shared" si="0"/>
        <v>5.0797728000000006</v>
      </c>
      <c r="J21" s="6">
        <f t="shared" si="1"/>
        <v>4.5548629439999999</v>
      </c>
      <c r="K21" s="6">
        <f t="shared" si="2"/>
        <v>380.98296000000005</v>
      </c>
      <c r="L21" s="6">
        <f t="shared" si="3"/>
        <v>38.098296000000005</v>
      </c>
      <c r="M21" s="7">
        <f t="shared" si="4"/>
        <v>101.59545600000001</v>
      </c>
      <c r="N21" s="7">
        <f t="shared" si="9"/>
        <v>50.797728000000006</v>
      </c>
      <c r="O21" s="7">
        <v>0</v>
      </c>
      <c r="P21" s="7">
        <f t="shared" si="11"/>
        <v>59.213218271999999</v>
      </c>
      <c r="Q21" s="7">
        <v>0</v>
      </c>
      <c r="R21" s="7">
        <f t="shared" si="6"/>
        <v>630.68765827200002</v>
      </c>
      <c r="S21" s="7">
        <f t="shared" si="7"/>
        <v>840.91687769600003</v>
      </c>
      <c r="U21" s="8"/>
    </row>
    <row r="22" spans="1:21" x14ac:dyDescent="0.25">
      <c r="A22" s="6">
        <f t="shared" si="10"/>
        <v>15</v>
      </c>
      <c r="B22" s="9" t="s">
        <v>36</v>
      </c>
      <c r="C22" s="10">
        <f>21*2+40-2.65*4</f>
        <v>71.400000000000006</v>
      </c>
      <c r="D22" s="9">
        <f>B4</f>
        <v>800</v>
      </c>
      <c r="E22" s="9">
        <v>3</v>
      </c>
      <c r="F22" s="9">
        <f>E$4*3</f>
        <v>3</v>
      </c>
      <c r="G22" s="6"/>
      <c r="H22" s="6"/>
      <c r="I22" s="6">
        <f t="shared" si="0"/>
        <v>4.1126400000000007</v>
      </c>
      <c r="J22" s="6">
        <f t="shared" si="1"/>
        <v>3.6876671999999999</v>
      </c>
      <c r="K22" s="6">
        <f t="shared" si="2"/>
        <v>308.44800000000004</v>
      </c>
      <c r="L22" s="6">
        <f t="shared" si="3"/>
        <v>30.844800000000006</v>
      </c>
      <c r="M22" s="7">
        <f t="shared" si="4"/>
        <v>82.252800000000008</v>
      </c>
      <c r="N22" s="7">
        <f t="shared" si="9"/>
        <v>41.126400000000004</v>
      </c>
      <c r="O22" s="7">
        <v>0</v>
      </c>
      <c r="P22" s="7">
        <f t="shared" si="11"/>
        <v>47.939673599999999</v>
      </c>
      <c r="Q22" s="7">
        <v>0</v>
      </c>
      <c r="R22" s="7">
        <f t="shared" si="6"/>
        <v>510.61167360000002</v>
      </c>
      <c r="S22" s="7">
        <f t="shared" si="7"/>
        <v>680.81556480000006</v>
      </c>
      <c r="U22" s="8"/>
    </row>
    <row r="23" spans="1:21" x14ac:dyDescent="0.25">
      <c r="A23" s="6">
        <f t="shared" si="10"/>
        <v>16</v>
      </c>
      <c r="B23" s="9" t="s">
        <v>37</v>
      </c>
      <c r="C23" s="10">
        <f>B4</f>
        <v>800</v>
      </c>
      <c r="D23" s="10">
        <f>400+60+30+15</f>
        <v>505</v>
      </c>
      <c r="E23" s="9">
        <f>K2</f>
        <v>1.6</v>
      </c>
      <c r="F23" s="9">
        <v>0</v>
      </c>
      <c r="G23" s="6"/>
      <c r="H23" s="6"/>
      <c r="I23" s="6">
        <f t="shared" si="0"/>
        <v>0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7">
        <f t="shared" si="4"/>
        <v>0</v>
      </c>
      <c r="N23" s="7">
        <f t="shared" si="9"/>
        <v>0</v>
      </c>
      <c r="O23" s="7">
        <v>0</v>
      </c>
      <c r="P23" s="7">
        <f t="shared" si="11"/>
        <v>0</v>
      </c>
      <c r="Q23" s="7">
        <v>0</v>
      </c>
      <c r="R23" s="7">
        <f t="shared" si="6"/>
        <v>0</v>
      </c>
      <c r="S23" s="7">
        <f t="shared" si="7"/>
        <v>0</v>
      </c>
      <c r="U23" s="8"/>
    </row>
    <row r="24" spans="1:21" x14ac:dyDescent="0.25">
      <c r="A24" s="6">
        <f t="shared" si="10"/>
        <v>17</v>
      </c>
      <c r="B24" s="9" t="s">
        <v>38</v>
      </c>
      <c r="C24" s="10">
        <f>25+45</f>
        <v>70</v>
      </c>
      <c r="D24" s="10">
        <v>500</v>
      </c>
      <c r="E24" s="9">
        <v>3</v>
      </c>
      <c r="F24" s="9">
        <f>E$4*2</f>
        <v>2</v>
      </c>
      <c r="G24" s="6"/>
      <c r="H24" s="6"/>
      <c r="I24" s="6">
        <f t="shared" si="0"/>
        <v>1.6800000000000002</v>
      </c>
      <c r="J24" s="6">
        <f t="shared" si="1"/>
        <v>1.5064000000000002</v>
      </c>
      <c r="K24" s="6">
        <f t="shared" si="2"/>
        <v>126.00000000000001</v>
      </c>
      <c r="L24" s="6">
        <f t="shared" si="3"/>
        <v>12.600000000000001</v>
      </c>
      <c r="M24" s="7">
        <f t="shared" si="4"/>
        <v>33.6</v>
      </c>
      <c r="N24" s="7">
        <f t="shared" si="9"/>
        <v>16.8</v>
      </c>
      <c r="O24" s="7">
        <v>0</v>
      </c>
      <c r="P24" s="7">
        <f t="shared" si="11"/>
        <v>19.583200000000001</v>
      </c>
      <c r="Q24" s="7">
        <v>0</v>
      </c>
      <c r="R24" s="7">
        <f t="shared" si="6"/>
        <v>208.58320000000003</v>
      </c>
      <c r="S24" s="7">
        <f t="shared" si="7"/>
        <v>278.11093333333338</v>
      </c>
      <c r="U24" s="8"/>
    </row>
    <row r="25" spans="1:21" x14ac:dyDescent="0.25">
      <c r="A25" s="6">
        <f t="shared" si="10"/>
        <v>18</v>
      </c>
      <c r="B25" s="9" t="s">
        <v>39</v>
      </c>
      <c r="C25" s="10">
        <f>D3</f>
        <v>100</v>
      </c>
      <c r="D25" s="10">
        <f>B4</f>
        <v>800</v>
      </c>
      <c r="E25" s="9">
        <v>2</v>
      </c>
      <c r="F25" s="9">
        <f>E4</f>
        <v>1</v>
      </c>
      <c r="G25" s="6"/>
      <c r="H25" s="6"/>
      <c r="I25" s="6">
        <f t="shared" si="0"/>
        <v>1.28</v>
      </c>
      <c r="J25" s="6">
        <f t="shared" si="1"/>
        <v>1.7216</v>
      </c>
      <c r="K25" s="6">
        <f t="shared" si="2"/>
        <v>96</v>
      </c>
      <c r="L25" s="6">
        <f t="shared" si="3"/>
        <v>9.6000000000000014</v>
      </c>
      <c r="M25" s="7">
        <f t="shared" si="4"/>
        <v>25.6</v>
      </c>
      <c r="N25" s="7">
        <f t="shared" si="9"/>
        <v>12.8</v>
      </c>
      <c r="O25" s="7">
        <v>1</v>
      </c>
      <c r="P25" s="7">
        <f t="shared" si="11"/>
        <v>22.380800000000001</v>
      </c>
      <c r="Q25" s="7">
        <v>0</v>
      </c>
      <c r="R25" s="7">
        <f t="shared" si="6"/>
        <v>167.38079999999999</v>
      </c>
      <c r="S25" s="7">
        <f t="shared" si="7"/>
        <v>223.17439999999999</v>
      </c>
      <c r="U25" s="8"/>
    </row>
    <row r="26" spans="1:21" x14ac:dyDescent="0.25">
      <c r="A26" s="6">
        <f t="shared" si="10"/>
        <v>19</v>
      </c>
      <c r="B26" s="9" t="s">
        <v>40</v>
      </c>
      <c r="C26" s="10">
        <f>D3</f>
        <v>100</v>
      </c>
      <c r="D26" s="10">
        <f>C3-C4+21*2</f>
        <v>450</v>
      </c>
      <c r="E26" s="9">
        <f>K2</f>
        <v>1.6</v>
      </c>
      <c r="F26" s="9">
        <v>0</v>
      </c>
      <c r="G26" s="6"/>
      <c r="H26" s="6"/>
      <c r="I26" s="6">
        <f t="shared" si="0"/>
        <v>0</v>
      </c>
      <c r="J26" s="6">
        <f t="shared" si="1"/>
        <v>0</v>
      </c>
      <c r="K26" s="6">
        <f t="shared" si="2"/>
        <v>0</v>
      </c>
      <c r="L26" s="6">
        <f t="shared" si="3"/>
        <v>0</v>
      </c>
      <c r="M26" s="7">
        <f t="shared" si="4"/>
        <v>0</v>
      </c>
      <c r="N26" s="7">
        <f t="shared" si="9"/>
        <v>0</v>
      </c>
      <c r="O26" s="7">
        <v>2</v>
      </c>
      <c r="P26" s="7">
        <f t="shared" si="11"/>
        <v>0</v>
      </c>
      <c r="Q26" s="7">
        <v>0</v>
      </c>
      <c r="R26" s="7">
        <f t="shared" si="6"/>
        <v>2</v>
      </c>
      <c r="S26" s="7">
        <f t="shared" si="7"/>
        <v>2.6666666666666665</v>
      </c>
      <c r="U26" s="8"/>
    </row>
    <row r="27" spans="1:21" x14ac:dyDescent="0.25">
      <c r="A27" s="6">
        <f t="shared" si="10"/>
        <v>20</v>
      </c>
      <c r="B27" s="9" t="s">
        <v>41</v>
      </c>
      <c r="C27" s="10">
        <f>B4</f>
        <v>800</v>
      </c>
      <c r="D27" s="10">
        <f>C4-242</f>
        <v>400</v>
      </c>
      <c r="E27" s="9">
        <f>K2</f>
        <v>1.6</v>
      </c>
      <c r="F27" s="9">
        <f>E4*2</f>
        <v>2</v>
      </c>
      <c r="G27" s="6"/>
      <c r="H27" s="6"/>
      <c r="I27" s="6">
        <f t="shared" si="0"/>
        <v>8.1920000000000002</v>
      </c>
      <c r="J27" s="6">
        <f t="shared" si="1"/>
        <v>13.7728</v>
      </c>
      <c r="K27" s="6">
        <f t="shared" si="2"/>
        <v>614.4</v>
      </c>
      <c r="L27" s="6">
        <f t="shared" si="3"/>
        <v>61.44</v>
      </c>
      <c r="M27" s="7">
        <f t="shared" si="4"/>
        <v>163.84</v>
      </c>
      <c r="N27" s="7">
        <f t="shared" si="9"/>
        <v>81.92</v>
      </c>
      <c r="O27" s="7">
        <v>3</v>
      </c>
      <c r="P27" s="7">
        <f t="shared" si="11"/>
        <v>179.04640000000001</v>
      </c>
      <c r="Q27" s="7">
        <v>0</v>
      </c>
      <c r="R27" s="7">
        <f t="shared" si="6"/>
        <v>1103.6463999999999</v>
      </c>
      <c r="S27" s="7">
        <f t="shared" si="7"/>
        <v>1471.5285333333331</v>
      </c>
      <c r="U27" s="8"/>
    </row>
    <row r="28" spans="1:21" x14ac:dyDescent="0.25">
      <c r="A28" s="6">
        <f t="shared" si="10"/>
        <v>21</v>
      </c>
      <c r="B28" s="9" t="s">
        <v>42</v>
      </c>
      <c r="C28" s="10">
        <f>B4</f>
        <v>800</v>
      </c>
      <c r="D28" s="10">
        <v>300</v>
      </c>
      <c r="E28" s="9">
        <f>K2</f>
        <v>1.6</v>
      </c>
      <c r="F28" s="9">
        <f>E4</f>
        <v>1</v>
      </c>
      <c r="G28" s="6"/>
      <c r="H28" s="6"/>
      <c r="I28" s="6">
        <f t="shared" si="0"/>
        <v>3.0720000000000001</v>
      </c>
      <c r="J28" s="6">
        <f t="shared" si="1"/>
        <v>5.1647999999999996</v>
      </c>
      <c r="K28" s="6">
        <f t="shared" si="2"/>
        <v>230.4</v>
      </c>
      <c r="L28" s="6">
        <f t="shared" si="3"/>
        <v>23.040000000000003</v>
      </c>
      <c r="M28" s="7">
        <f t="shared" si="4"/>
        <v>61.44</v>
      </c>
      <c r="N28" s="7">
        <f t="shared" si="9"/>
        <v>30.72</v>
      </c>
      <c r="O28" s="7">
        <v>0</v>
      </c>
      <c r="P28" s="7">
        <f t="shared" si="11"/>
        <v>67.142399999999995</v>
      </c>
      <c r="Q28" s="7">
        <v>0</v>
      </c>
      <c r="R28" s="7">
        <f t="shared" si="6"/>
        <v>412.74240000000003</v>
      </c>
      <c r="S28" s="7">
        <f t="shared" si="7"/>
        <v>550.32320000000004</v>
      </c>
      <c r="U28" s="8"/>
    </row>
    <row r="29" spans="1:21" x14ac:dyDescent="0.25">
      <c r="A29" s="6">
        <f t="shared" si="10"/>
        <v>22</v>
      </c>
      <c r="B29" s="9" t="s">
        <v>43</v>
      </c>
      <c r="C29" s="10">
        <f>B4</f>
        <v>800</v>
      </c>
      <c r="D29" s="10">
        <v>300</v>
      </c>
      <c r="E29" s="9">
        <f>K2</f>
        <v>1.6</v>
      </c>
      <c r="F29" s="9">
        <v>0</v>
      </c>
      <c r="G29" s="6"/>
      <c r="H29" s="6"/>
      <c r="I29" s="6">
        <f t="shared" si="0"/>
        <v>0</v>
      </c>
      <c r="J29" s="6">
        <f t="shared" si="1"/>
        <v>0</v>
      </c>
      <c r="K29" s="6">
        <f t="shared" si="2"/>
        <v>0</v>
      </c>
      <c r="L29" s="6">
        <f t="shared" si="3"/>
        <v>0</v>
      </c>
      <c r="M29" s="7">
        <f t="shared" si="4"/>
        <v>0</v>
      </c>
      <c r="N29" s="7">
        <f t="shared" si="9"/>
        <v>0</v>
      </c>
      <c r="O29" s="7">
        <v>0</v>
      </c>
      <c r="P29" s="7">
        <f t="shared" si="11"/>
        <v>0</v>
      </c>
      <c r="Q29" s="7">
        <v>0</v>
      </c>
      <c r="R29" s="7">
        <f t="shared" si="6"/>
        <v>0</v>
      </c>
      <c r="S29" s="7">
        <f t="shared" si="7"/>
        <v>0</v>
      </c>
      <c r="U29" s="8"/>
    </row>
    <row r="30" spans="1:21" x14ac:dyDescent="0.25">
      <c r="A30" s="6">
        <f t="shared" si="10"/>
        <v>23</v>
      </c>
      <c r="B30" s="9"/>
      <c r="C30" s="10"/>
      <c r="D30" s="10"/>
      <c r="E30" s="9"/>
      <c r="F30" s="9"/>
      <c r="G30" s="6"/>
      <c r="H30" s="6"/>
      <c r="I30" s="6"/>
      <c r="J30" s="6">
        <f t="shared" si="1"/>
        <v>0</v>
      </c>
      <c r="K30" s="6"/>
      <c r="L30" s="6"/>
      <c r="M30" s="7"/>
      <c r="N30" s="7">
        <f t="shared" si="9"/>
        <v>0</v>
      </c>
      <c r="O30" s="7"/>
      <c r="P30" s="7"/>
      <c r="Q30" s="7"/>
      <c r="R30" s="7"/>
      <c r="S30" s="7"/>
      <c r="U30" s="8"/>
    </row>
    <row r="31" spans="1:21" x14ac:dyDescent="0.25">
      <c r="A31" s="6">
        <f t="shared" si="10"/>
        <v>24</v>
      </c>
      <c r="B31" s="9" t="s">
        <v>44</v>
      </c>
      <c r="C31" s="10">
        <f>150+140</f>
        <v>290</v>
      </c>
      <c r="D31" s="10">
        <f>400</f>
        <v>400</v>
      </c>
      <c r="E31" s="9">
        <v>2</v>
      </c>
      <c r="F31" s="9">
        <v>0</v>
      </c>
      <c r="G31" s="6"/>
      <c r="H31" s="6"/>
      <c r="I31" s="6">
        <f>C31/1000*D31/1000*E31*F31*8</f>
        <v>0</v>
      </c>
      <c r="J31" s="6">
        <f t="shared" si="1"/>
        <v>0</v>
      </c>
      <c r="K31" s="6">
        <f>I31*K$5</f>
        <v>0</v>
      </c>
      <c r="L31" s="6">
        <f>K31*L$5</f>
        <v>0</v>
      </c>
      <c r="M31" s="7">
        <f>I31*M$5</f>
        <v>0</v>
      </c>
      <c r="N31" s="7">
        <f t="shared" si="9"/>
        <v>0</v>
      </c>
      <c r="O31" s="7">
        <v>0</v>
      </c>
      <c r="P31" s="7">
        <f>J31*P$5</f>
        <v>0</v>
      </c>
      <c r="Q31" s="7">
        <v>0</v>
      </c>
      <c r="R31" s="7">
        <f>K31+L31+M31+N31+O31+P31+Q31</f>
        <v>0</v>
      </c>
      <c r="S31" s="7">
        <f>R31/S$5</f>
        <v>0</v>
      </c>
      <c r="U31" s="8"/>
    </row>
    <row r="32" spans="1:21" x14ac:dyDescent="0.25">
      <c r="A32" s="6">
        <f t="shared" si="10"/>
        <v>25</v>
      </c>
      <c r="B32" s="9" t="s">
        <v>45</v>
      </c>
      <c r="C32" s="10">
        <f>50*2+125</f>
        <v>225</v>
      </c>
      <c r="D32" s="10">
        <v>650</v>
      </c>
      <c r="E32" s="9">
        <v>2</v>
      </c>
      <c r="F32" s="9">
        <v>0</v>
      </c>
      <c r="G32" s="6"/>
      <c r="H32" s="6"/>
      <c r="I32" s="6">
        <f>C32/1000*D32/1000*E32*F32*8</f>
        <v>0</v>
      </c>
      <c r="J32" s="6">
        <f t="shared" si="1"/>
        <v>0</v>
      </c>
      <c r="K32" s="6">
        <f>I32*K$5</f>
        <v>0</v>
      </c>
      <c r="L32" s="6">
        <f>K32*L$5</f>
        <v>0</v>
      </c>
      <c r="M32" s="7">
        <f>I32*M$5</f>
        <v>0</v>
      </c>
      <c r="N32" s="7">
        <f t="shared" si="9"/>
        <v>0</v>
      </c>
      <c r="O32" s="7">
        <v>0</v>
      </c>
      <c r="P32" s="7">
        <f>J32*P$5</f>
        <v>0</v>
      </c>
      <c r="Q32" s="7">
        <v>0</v>
      </c>
      <c r="R32" s="7">
        <f>K32+L32+M32+N32+O32+P32+Q32</f>
        <v>0</v>
      </c>
      <c r="S32" s="7">
        <f>R32/S$5</f>
        <v>0</v>
      </c>
      <c r="U32" s="8"/>
    </row>
    <row r="33" spans="1:28" x14ac:dyDescent="0.25">
      <c r="A33" s="6">
        <f t="shared" si="10"/>
        <v>26</v>
      </c>
      <c r="B33" s="9" t="s">
        <v>46</v>
      </c>
      <c r="C33" s="10">
        <f>50*2+120</f>
        <v>220</v>
      </c>
      <c r="D33" s="10">
        <v>650</v>
      </c>
      <c r="E33" s="9">
        <v>2</v>
      </c>
      <c r="F33" s="9">
        <v>0</v>
      </c>
      <c r="G33" s="6"/>
      <c r="H33" s="6"/>
      <c r="I33" s="6">
        <f>C33/1000*D33/1000*E33*F33*8</f>
        <v>0</v>
      </c>
      <c r="J33" s="6">
        <f t="shared" si="1"/>
        <v>0</v>
      </c>
      <c r="K33" s="6">
        <f>I33*K$5</f>
        <v>0</v>
      </c>
      <c r="L33" s="6">
        <f>K33*L$5</f>
        <v>0</v>
      </c>
      <c r="M33" s="7">
        <f>I33*M$5</f>
        <v>0</v>
      </c>
      <c r="N33" s="7">
        <f t="shared" si="9"/>
        <v>0</v>
      </c>
      <c r="O33" s="7">
        <v>0</v>
      </c>
      <c r="P33" s="7">
        <f>J33*P$5</f>
        <v>0</v>
      </c>
      <c r="Q33" s="7">
        <v>0</v>
      </c>
      <c r="R33" s="7">
        <f>K33+L33+M33+N33+O33+P33+Q33</f>
        <v>0</v>
      </c>
      <c r="S33" s="7">
        <f>R33/S$5</f>
        <v>0</v>
      </c>
      <c r="U33" s="8"/>
    </row>
    <row r="34" spans="1:28" x14ac:dyDescent="0.25">
      <c r="A34" s="6">
        <f t="shared" si="10"/>
        <v>27</v>
      </c>
      <c r="B34" s="9"/>
      <c r="C34" s="10"/>
      <c r="D34" s="10"/>
      <c r="E34" s="9"/>
      <c r="F34" s="9"/>
      <c r="G34" s="6"/>
      <c r="H34" s="6"/>
      <c r="I34" s="6"/>
      <c r="J34" s="6">
        <f t="shared" si="1"/>
        <v>0</v>
      </c>
      <c r="K34" s="6"/>
      <c r="L34" s="6"/>
      <c r="M34" s="7"/>
      <c r="N34" s="7">
        <f t="shared" si="9"/>
        <v>0</v>
      </c>
      <c r="O34" s="7"/>
      <c r="P34" s="7"/>
      <c r="Q34" s="7"/>
      <c r="R34" s="7"/>
      <c r="S34" s="7"/>
      <c r="U34" s="8"/>
    </row>
    <row r="35" spans="1:28" x14ac:dyDescent="0.25">
      <c r="A35" s="6">
        <f t="shared" si="10"/>
        <v>28</v>
      </c>
      <c r="B35" s="9"/>
      <c r="C35" s="10"/>
      <c r="D35" s="10"/>
      <c r="E35" s="9"/>
      <c r="F35" s="9"/>
      <c r="G35" s="6"/>
      <c r="H35" s="6"/>
      <c r="I35" s="6"/>
      <c r="J35" s="6">
        <f t="shared" si="1"/>
        <v>0</v>
      </c>
      <c r="K35" s="6"/>
      <c r="L35" s="6"/>
      <c r="M35" s="7"/>
      <c r="N35" s="7">
        <f t="shared" si="9"/>
        <v>0</v>
      </c>
      <c r="O35" s="7"/>
      <c r="P35" s="7"/>
      <c r="Q35" s="7"/>
      <c r="R35" s="7"/>
      <c r="S35" s="7"/>
      <c r="U35" s="8"/>
    </row>
    <row r="36" spans="1:28" x14ac:dyDescent="0.25">
      <c r="A36" s="6">
        <f t="shared" si="10"/>
        <v>29</v>
      </c>
      <c r="B36" s="9"/>
      <c r="C36" s="10"/>
      <c r="D36" s="10"/>
      <c r="E36" s="9"/>
      <c r="F36" s="9"/>
      <c r="G36" s="6"/>
      <c r="H36" s="6"/>
      <c r="I36" s="6">
        <f t="shared" ref="I36:I42" si="12">C36/1000*D36/1000*E36*F36*8</f>
        <v>0</v>
      </c>
      <c r="J36" s="6">
        <f t="shared" si="1"/>
        <v>0</v>
      </c>
      <c r="K36" s="6">
        <f t="shared" ref="K36:K42" si="13">I36*K$5</f>
        <v>0</v>
      </c>
      <c r="L36" s="6">
        <f t="shared" ref="L36:L42" si="14">K36*L$5</f>
        <v>0</v>
      </c>
      <c r="M36" s="7">
        <f t="shared" ref="M36:M66" si="15">I36*M$5</f>
        <v>0</v>
      </c>
      <c r="N36" s="7">
        <f t="shared" si="9"/>
        <v>0</v>
      </c>
      <c r="O36" s="7">
        <v>0</v>
      </c>
      <c r="P36" s="7">
        <f t="shared" ref="P36:P61" si="16">J36*P$5</f>
        <v>0</v>
      </c>
      <c r="Q36" s="7">
        <v>0</v>
      </c>
      <c r="R36" s="7">
        <f t="shared" ref="R36:R66" si="17">K36+L36+M36+N36+O36+P36+Q36</f>
        <v>0</v>
      </c>
      <c r="S36" s="7">
        <f t="shared" ref="S36:S66" si="18">R36/S$5</f>
        <v>0</v>
      </c>
      <c r="U36" s="8"/>
    </row>
    <row r="37" spans="1:28" x14ac:dyDescent="0.25">
      <c r="A37" s="6">
        <f t="shared" si="10"/>
        <v>30</v>
      </c>
      <c r="B37" s="6" t="s">
        <v>47</v>
      </c>
      <c r="C37" s="6">
        <f>B4+50</f>
        <v>850</v>
      </c>
      <c r="D37" s="6">
        <f>D4+50-75</f>
        <v>700</v>
      </c>
      <c r="E37" s="6">
        <f>K2</f>
        <v>1.6</v>
      </c>
      <c r="F37" s="6">
        <v>4</v>
      </c>
      <c r="G37" s="6"/>
      <c r="H37" s="6"/>
      <c r="I37" s="6">
        <f t="shared" si="12"/>
        <v>30.463999999999999</v>
      </c>
      <c r="J37" s="6">
        <f t="shared" si="1"/>
        <v>51.217599999999997</v>
      </c>
      <c r="K37" s="6">
        <f t="shared" si="13"/>
        <v>2284.7999999999997</v>
      </c>
      <c r="L37" s="6">
        <f t="shared" si="14"/>
        <v>228.48</v>
      </c>
      <c r="M37" s="7">
        <f t="shared" si="15"/>
        <v>609.28</v>
      </c>
      <c r="N37" s="7">
        <f t="shared" si="9"/>
        <v>304.64</v>
      </c>
      <c r="O37" s="7">
        <v>0</v>
      </c>
      <c r="P37" s="7">
        <f t="shared" si="16"/>
        <v>665.8288</v>
      </c>
      <c r="Q37" s="7">
        <v>0</v>
      </c>
      <c r="R37" s="7">
        <f t="shared" si="17"/>
        <v>4093.0287999999991</v>
      </c>
      <c r="S37" s="7">
        <f t="shared" si="18"/>
        <v>5457.3717333333325</v>
      </c>
      <c r="U37" s="8"/>
    </row>
    <row r="38" spans="1:28" x14ac:dyDescent="0.25">
      <c r="A38" s="6">
        <f t="shared" si="10"/>
        <v>31</v>
      </c>
      <c r="B38" s="9" t="s">
        <v>48</v>
      </c>
      <c r="C38" s="10">
        <v>45</v>
      </c>
      <c r="D38" s="10">
        <f>D4-110</f>
        <v>615</v>
      </c>
      <c r="E38" s="9">
        <f>K2</f>
        <v>1.6</v>
      </c>
      <c r="F38" s="9">
        <f>F37*2</f>
        <v>8</v>
      </c>
      <c r="G38" s="6"/>
      <c r="H38" s="6"/>
      <c r="I38" s="6">
        <f t="shared" si="12"/>
        <v>2.8339200000000004</v>
      </c>
      <c r="J38" s="6">
        <f t="shared" si="1"/>
        <v>4.7645280000000003</v>
      </c>
      <c r="K38" s="6">
        <f t="shared" si="13"/>
        <v>212.54400000000004</v>
      </c>
      <c r="L38" s="6">
        <f t="shared" si="14"/>
        <v>21.254400000000004</v>
      </c>
      <c r="M38" s="7">
        <f t="shared" si="15"/>
        <v>56.678400000000011</v>
      </c>
      <c r="N38" s="7">
        <f t="shared" si="9"/>
        <v>28.339200000000005</v>
      </c>
      <c r="O38" s="7">
        <v>0</v>
      </c>
      <c r="P38" s="7">
        <f t="shared" si="16"/>
        <v>61.938864000000002</v>
      </c>
      <c r="Q38" s="7">
        <v>0</v>
      </c>
      <c r="R38" s="7">
        <f t="shared" si="17"/>
        <v>380.75486400000005</v>
      </c>
      <c r="S38" s="7">
        <f t="shared" si="18"/>
        <v>507.67315200000007</v>
      </c>
      <c r="U38" s="8"/>
    </row>
    <row r="39" spans="1:28" x14ac:dyDescent="0.25">
      <c r="A39" s="6">
        <f t="shared" si="10"/>
        <v>32</v>
      </c>
      <c r="B39" s="9" t="s">
        <v>49</v>
      </c>
      <c r="C39" s="10">
        <v>45</v>
      </c>
      <c r="D39" s="10">
        <f>B4-110</f>
        <v>690</v>
      </c>
      <c r="E39" s="9">
        <f>K2</f>
        <v>1.6</v>
      </c>
      <c r="F39" s="9">
        <f>F38</f>
        <v>8</v>
      </c>
      <c r="G39" s="6"/>
      <c r="H39" s="6"/>
      <c r="I39" s="6">
        <f t="shared" si="12"/>
        <v>3.1795200000000001</v>
      </c>
      <c r="J39" s="6">
        <f t="shared" si="1"/>
        <v>5.3455679999999992</v>
      </c>
      <c r="K39" s="6">
        <f t="shared" si="13"/>
        <v>238.464</v>
      </c>
      <c r="L39" s="6">
        <f t="shared" si="14"/>
        <v>23.846400000000003</v>
      </c>
      <c r="M39" s="7">
        <f t="shared" si="15"/>
        <v>63.590400000000002</v>
      </c>
      <c r="N39" s="7">
        <f t="shared" si="9"/>
        <v>31.795200000000001</v>
      </c>
      <c r="O39" s="7">
        <v>0</v>
      </c>
      <c r="P39" s="7">
        <f t="shared" si="16"/>
        <v>69.492383999999987</v>
      </c>
      <c r="Q39" s="7">
        <v>0</v>
      </c>
      <c r="R39" s="7">
        <f t="shared" si="17"/>
        <v>427.18838400000004</v>
      </c>
      <c r="S39" s="7">
        <f t="shared" si="18"/>
        <v>569.58451200000002</v>
      </c>
      <c r="U39" s="8"/>
    </row>
    <row r="40" spans="1:28" x14ac:dyDescent="0.25">
      <c r="A40" s="6">
        <f t="shared" si="10"/>
        <v>33</v>
      </c>
      <c r="B40" s="9" t="s">
        <v>50</v>
      </c>
      <c r="C40" s="10">
        <v>56</v>
      </c>
      <c r="D40" s="10">
        <v>500</v>
      </c>
      <c r="E40" s="9">
        <v>2</v>
      </c>
      <c r="F40" s="9">
        <v>0</v>
      </c>
      <c r="G40" s="6"/>
      <c r="H40" s="6"/>
      <c r="I40" s="6">
        <f t="shared" si="12"/>
        <v>0</v>
      </c>
      <c r="J40" s="6">
        <f t="shared" si="1"/>
        <v>0</v>
      </c>
      <c r="K40" s="6">
        <f t="shared" si="13"/>
        <v>0</v>
      </c>
      <c r="L40" s="6">
        <f t="shared" si="14"/>
        <v>0</v>
      </c>
      <c r="M40" s="7">
        <f t="shared" si="15"/>
        <v>0</v>
      </c>
      <c r="N40" s="7">
        <f t="shared" si="9"/>
        <v>0</v>
      </c>
      <c r="O40" s="7">
        <f>D40/25*F40*0.25</f>
        <v>0</v>
      </c>
      <c r="P40" s="7">
        <f t="shared" si="16"/>
        <v>0</v>
      </c>
      <c r="Q40" s="7">
        <v>0</v>
      </c>
      <c r="R40" s="7">
        <f t="shared" si="17"/>
        <v>0</v>
      </c>
      <c r="S40" s="7">
        <f t="shared" si="18"/>
        <v>0</v>
      </c>
      <c r="U40" s="8"/>
    </row>
    <row r="41" spans="1:28" x14ac:dyDescent="0.25">
      <c r="A41" s="6">
        <f t="shared" si="10"/>
        <v>34</v>
      </c>
      <c r="B41" s="9"/>
      <c r="C41" s="10"/>
      <c r="D41" s="10"/>
      <c r="E41" s="9"/>
      <c r="F41" s="9"/>
      <c r="G41" s="6"/>
      <c r="H41" s="6"/>
      <c r="I41" s="6">
        <f t="shared" si="12"/>
        <v>0</v>
      </c>
      <c r="J41" s="6">
        <f t="shared" si="1"/>
        <v>0</v>
      </c>
      <c r="K41" s="6">
        <f t="shared" si="13"/>
        <v>0</v>
      </c>
      <c r="L41" s="6">
        <f t="shared" si="14"/>
        <v>0</v>
      </c>
      <c r="M41" s="7">
        <f t="shared" si="15"/>
        <v>0</v>
      </c>
      <c r="N41" s="7">
        <f t="shared" si="9"/>
        <v>0</v>
      </c>
      <c r="O41" s="7">
        <v>0</v>
      </c>
      <c r="P41" s="7">
        <f t="shared" si="16"/>
        <v>0</v>
      </c>
      <c r="Q41" s="7">
        <v>0</v>
      </c>
      <c r="R41" s="7">
        <f t="shared" si="17"/>
        <v>0</v>
      </c>
      <c r="S41" s="7">
        <f t="shared" si="18"/>
        <v>0</v>
      </c>
      <c r="U41" s="8"/>
    </row>
    <row r="42" spans="1:28" x14ac:dyDescent="0.25">
      <c r="A42" s="6">
        <f t="shared" si="10"/>
        <v>35</v>
      </c>
      <c r="B42" s="9"/>
      <c r="C42" s="10"/>
      <c r="D42" s="10"/>
      <c r="E42" s="9"/>
      <c r="F42" s="9"/>
      <c r="G42" s="6"/>
      <c r="H42" s="6"/>
      <c r="I42" s="6">
        <f t="shared" si="12"/>
        <v>0</v>
      </c>
      <c r="J42" s="6">
        <f t="shared" si="1"/>
        <v>0</v>
      </c>
      <c r="K42" s="6">
        <f t="shared" si="13"/>
        <v>0</v>
      </c>
      <c r="L42" s="6">
        <f t="shared" si="14"/>
        <v>0</v>
      </c>
      <c r="M42" s="7">
        <f t="shared" si="15"/>
        <v>0</v>
      </c>
      <c r="N42" s="7">
        <f t="shared" si="9"/>
        <v>0</v>
      </c>
      <c r="O42" s="7">
        <v>0</v>
      </c>
      <c r="P42" s="7">
        <f t="shared" si="16"/>
        <v>0</v>
      </c>
      <c r="Q42" s="7">
        <v>0</v>
      </c>
      <c r="R42" s="7">
        <f t="shared" si="17"/>
        <v>0</v>
      </c>
      <c r="S42" s="7">
        <f t="shared" si="18"/>
        <v>0</v>
      </c>
      <c r="U42" s="8"/>
    </row>
    <row r="43" spans="1:28" x14ac:dyDescent="0.25">
      <c r="A43" s="6">
        <f t="shared" si="10"/>
        <v>36</v>
      </c>
      <c r="B43" s="9" t="s">
        <v>51</v>
      </c>
      <c r="C43" s="10">
        <v>0</v>
      </c>
      <c r="D43" s="10">
        <f>(B4*2+C4*2)/1000</f>
        <v>2.8839999999999999</v>
      </c>
      <c r="E43" s="9">
        <v>15</v>
      </c>
      <c r="F43" s="9">
        <v>0</v>
      </c>
      <c r="G43" s="6"/>
      <c r="H43" s="6"/>
      <c r="I43" s="6"/>
      <c r="J43" s="6">
        <f t="shared" si="1"/>
        <v>0</v>
      </c>
      <c r="K43" s="6"/>
      <c r="L43" s="6"/>
      <c r="M43" s="7">
        <f t="shared" si="15"/>
        <v>0</v>
      </c>
      <c r="N43" s="7">
        <f t="shared" si="9"/>
        <v>0</v>
      </c>
      <c r="O43" s="7">
        <v>0</v>
      </c>
      <c r="P43" s="7">
        <f t="shared" si="16"/>
        <v>0</v>
      </c>
      <c r="Q43" s="7">
        <f>D43*F43*180</f>
        <v>0</v>
      </c>
      <c r="R43" s="7">
        <f t="shared" si="17"/>
        <v>0</v>
      </c>
      <c r="S43" s="7">
        <f t="shared" si="18"/>
        <v>0</v>
      </c>
      <c r="U43" s="8"/>
    </row>
    <row r="44" spans="1:28" x14ac:dyDescent="0.25">
      <c r="A44" s="6">
        <f t="shared" si="10"/>
        <v>37</v>
      </c>
      <c r="B44" s="9" t="s">
        <v>52</v>
      </c>
      <c r="C44" s="10">
        <f>B4</f>
        <v>800</v>
      </c>
      <c r="D44" s="10">
        <v>50</v>
      </c>
      <c r="E44" s="9">
        <v>3</v>
      </c>
      <c r="F44" s="9">
        <v>0</v>
      </c>
      <c r="G44" s="6"/>
      <c r="H44" s="6"/>
      <c r="I44" s="6">
        <f t="shared" ref="I44:I61" si="19">C44/1000*D44/1000*E44*F44*8</f>
        <v>0</v>
      </c>
      <c r="J44" s="6">
        <f t="shared" si="1"/>
        <v>0</v>
      </c>
      <c r="K44" s="6">
        <f t="shared" ref="K44:K61" si="20">I44*K$5</f>
        <v>0</v>
      </c>
      <c r="L44" s="6">
        <f t="shared" ref="L44:L61" si="21">K44*L$5</f>
        <v>0</v>
      </c>
      <c r="M44" s="7">
        <f t="shared" si="15"/>
        <v>0</v>
      </c>
      <c r="N44" s="7">
        <f t="shared" si="9"/>
        <v>0</v>
      </c>
      <c r="O44" s="7">
        <f>D44/25*F44*0.25</f>
        <v>0</v>
      </c>
      <c r="P44" s="7">
        <f t="shared" si="16"/>
        <v>0</v>
      </c>
      <c r="Q44" s="7">
        <v>0</v>
      </c>
      <c r="R44" s="7">
        <f t="shared" si="17"/>
        <v>0</v>
      </c>
      <c r="S44" s="7">
        <f t="shared" si="18"/>
        <v>0</v>
      </c>
      <c r="U44" s="8"/>
      <c r="W44" s="5" t="s">
        <v>53</v>
      </c>
      <c r="X44" s="6" t="s">
        <v>54</v>
      </c>
      <c r="Y44" s="6" t="s">
        <v>55</v>
      </c>
      <c r="Z44" s="6" t="s">
        <v>56</v>
      </c>
      <c r="AA44" s="6" t="s">
        <v>57</v>
      </c>
      <c r="AB44" s="6" t="s">
        <v>58</v>
      </c>
    </row>
    <row r="45" spans="1:28" x14ac:dyDescent="0.25">
      <c r="A45" s="6">
        <f t="shared" si="10"/>
        <v>38</v>
      </c>
      <c r="B45" s="9" t="s">
        <v>52</v>
      </c>
      <c r="C45" s="10">
        <f>C4</f>
        <v>642</v>
      </c>
      <c r="D45" s="10">
        <v>50</v>
      </c>
      <c r="E45" s="9">
        <v>3</v>
      </c>
      <c r="F45" s="9">
        <v>0</v>
      </c>
      <c r="G45" s="6"/>
      <c r="H45" s="6"/>
      <c r="I45" s="6">
        <f t="shared" si="19"/>
        <v>0</v>
      </c>
      <c r="J45" s="6">
        <f t="shared" si="1"/>
        <v>0</v>
      </c>
      <c r="K45" s="6">
        <f t="shared" si="20"/>
        <v>0</v>
      </c>
      <c r="L45" s="6">
        <f t="shared" si="21"/>
        <v>0</v>
      </c>
      <c r="M45" s="7">
        <f t="shared" si="15"/>
        <v>0</v>
      </c>
      <c r="N45" s="7">
        <f t="shared" si="9"/>
        <v>0</v>
      </c>
      <c r="O45" s="7">
        <f>D45/25*F45*0.25</f>
        <v>0</v>
      </c>
      <c r="P45" s="7">
        <f t="shared" si="16"/>
        <v>0</v>
      </c>
      <c r="Q45" s="7">
        <v>0</v>
      </c>
      <c r="R45" s="7">
        <f t="shared" si="17"/>
        <v>0</v>
      </c>
      <c r="S45" s="7">
        <f t="shared" si="18"/>
        <v>0</v>
      </c>
      <c r="U45" s="8"/>
      <c r="W45" s="7">
        <v>1</v>
      </c>
      <c r="X45" s="6" t="s">
        <v>59</v>
      </c>
      <c r="Y45" s="6" t="s">
        <v>60</v>
      </c>
      <c r="Z45" s="6">
        <v>2</v>
      </c>
      <c r="AA45" s="6">
        <v>350</v>
      </c>
      <c r="AB45" s="6">
        <f t="shared" ref="AB45:AB56" si="22">Z45*AA45</f>
        <v>700</v>
      </c>
    </row>
    <row r="46" spans="1:28" x14ac:dyDescent="0.25">
      <c r="A46" s="6">
        <f t="shared" si="10"/>
        <v>39</v>
      </c>
      <c r="B46" s="9"/>
      <c r="C46" s="10"/>
      <c r="D46" s="10"/>
      <c r="E46" s="9"/>
      <c r="F46" s="9"/>
      <c r="G46" s="6"/>
      <c r="H46" s="6"/>
      <c r="I46" s="6">
        <f t="shared" si="19"/>
        <v>0</v>
      </c>
      <c r="J46" s="6">
        <f t="shared" si="1"/>
        <v>0</v>
      </c>
      <c r="K46" s="6">
        <f t="shared" si="20"/>
        <v>0</v>
      </c>
      <c r="L46" s="6">
        <f t="shared" si="21"/>
        <v>0</v>
      </c>
      <c r="M46" s="7">
        <f t="shared" si="15"/>
        <v>0</v>
      </c>
      <c r="N46" s="7">
        <f t="shared" si="9"/>
        <v>0</v>
      </c>
      <c r="O46" s="7">
        <v>0</v>
      </c>
      <c r="P46" s="7">
        <f t="shared" si="16"/>
        <v>0</v>
      </c>
      <c r="Q46" s="7">
        <v>0</v>
      </c>
      <c r="R46" s="7">
        <f t="shared" si="17"/>
        <v>0</v>
      </c>
      <c r="S46" s="7">
        <f t="shared" si="18"/>
        <v>0</v>
      </c>
      <c r="U46" s="8"/>
      <c r="W46" s="7">
        <f t="shared" ref="W46:W56" si="23">W45+1</f>
        <v>2</v>
      </c>
      <c r="X46" s="6" t="s">
        <v>61</v>
      </c>
      <c r="Y46" s="6" t="s">
        <v>62</v>
      </c>
      <c r="Z46" s="6">
        <v>1</v>
      </c>
      <c r="AA46" s="6">
        <v>350</v>
      </c>
      <c r="AB46" s="6">
        <f t="shared" si="22"/>
        <v>350</v>
      </c>
    </row>
    <row r="47" spans="1:28" x14ac:dyDescent="0.25">
      <c r="A47" s="6">
        <f t="shared" si="10"/>
        <v>40</v>
      </c>
      <c r="B47" s="9" t="s">
        <v>63</v>
      </c>
      <c r="C47" s="10">
        <v>300</v>
      </c>
      <c r="D47" s="10">
        <v>600</v>
      </c>
      <c r="E47" s="9">
        <v>2</v>
      </c>
      <c r="F47" s="9">
        <v>0</v>
      </c>
      <c r="G47" s="6"/>
      <c r="H47" s="6"/>
      <c r="I47" s="6">
        <f t="shared" si="19"/>
        <v>0</v>
      </c>
      <c r="J47" s="6">
        <f t="shared" si="1"/>
        <v>0</v>
      </c>
      <c r="K47" s="6">
        <f t="shared" si="20"/>
        <v>0</v>
      </c>
      <c r="L47" s="6">
        <f t="shared" si="21"/>
        <v>0</v>
      </c>
      <c r="M47" s="7">
        <f t="shared" si="15"/>
        <v>0</v>
      </c>
      <c r="N47" s="7">
        <f t="shared" si="9"/>
        <v>0</v>
      </c>
      <c r="O47" s="7">
        <v>0</v>
      </c>
      <c r="P47" s="7">
        <f t="shared" si="16"/>
        <v>0</v>
      </c>
      <c r="Q47" s="7">
        <v>0</v>
      </c>
      <c r="R47" s="7">
        <f t="shared" si="17"/>
        <v>0</v>
      </c>
      <c r="S47" s="7">
        <f t="shared" si="18"/>
        <v>0</v>
      </c>
      <c r="U47" s="8"/>
      <c r="W47" s="7">
        <f t="shared" si="23"/>
        <v>3</v>
      </c>
      <c r="X47" s="6" t="s">
        <v>64</v>
      </c>
      <c r="Y47" s="6" t="s">
        <v>65</v>
      </c>
      <c r="Z47" s="6">
        <v>1</v>
      </c>
      <c r="AA47" s="6">
        <v>300</v>
      </c>
      <c r="AB47" s="6">
        <f t="shared" si="22"/>
        <v>300</v>
      </c>
    </row>
    <row r="48" spans="1:28" x14ac:dyDescent="0.25">
      <c r="A48" s="6">
        <f t="shared" si="10"/>
        <v>41</v>
      </c>
      <c r="B48" s="9" t="s">
        <v>66</v>
      </c>
      <c r="C48" s="10"/>
      <c r="D48" s="10"/>
      <c r="E48" s="9"/>
      <c r="F48" s="9">
        <f>F47+F23</f>
        <v>0</v>
      </c>
      <c r="G48" s="6"/>
      <c r="H48" s="6"/>
      <c r="I48" s="6">
        <f t="shared" si="19"/>
        <v>0</v>
      </c>
      <c r="J48" s="6">
        <f t="shared" si="1"/>
        <v>0</v>
      </c>
      <c r="K48" s="6">
        <f t="shared" si="20"/>
        <v>0</v>
      </c>
      <c r="L48" s="6">
        <f t="shared" si="21"/>
        <v>0</v>
      </c>
      <c r="M48" s="7">
        <f t="shared" si="15"/>
        <v>0</v>
      </c>
      <c r="N48" s="7">
        <f t="shared" si="9"/>
        <v>0</v>
      </c>
      <c r="O48" s="7">
        <v>0</v>
      </c>
      <c r="P48" s="7">
        <f t="shared" si="16"/>
        <v>0</v>
      </c>
      <c r="Q48" s="7">
        <f>F48*450</f>
        <v>0</v>
      </c>
      <c r="R48" s="7">
        <f t="shared" si="17"/>
        <v>0</v>
      </c>
      <c r="S48" s="7">
        <f t="shared" si="18"/>
        <v>0</v>
      </c>
      <c r="U48" s="8"/>
      <c r="W48" s="7">
        <f t="shared" si="23"/>
        <v>4</v>
      </c>
      <c r="X48" s="11" t="s">
        <v>67</v>
      </c>
      <c r="Y48" s="9" t="s">
        <v>68</v>
      </c>
      <c r="Z48" s="6">
        <v>1</v>
      </c>
      <c r="AA48" s="6">
        <v>650</v>
      </c>
      <c r="AB48" s="6">
        <f t="shared" si="22"/>
        <v>650</v>
      </c>
    </row>
    <row r="49" spans="1:28" x14ac:dyDescent="0.25">
      <c r="A49" s="6">
        <f t="shared" si="10"/>
        <v>42</v>
      </c>
      <c r="B49" s="9" t="s">
        <v>69</v>
      </c>
      <c r="C49" s="10">
        <f>100+50</f>
        <v>150</v>
      </c>
      <c r="D49" s="10">
        <v>600</v>
      </c>
      <c r="E49" s="9">
        <v>2</v>
      </c>
      <c r="F49" s="9">
        <f>F47*2</f>
        <v>0</v>
      </c>
      <c r="G49" s="6"/>
      <c r="H49" s="6"/>
      <c r="I49" s="6">
        <f t="shared" si="19"/>
        <v>0</v>
      </c>
      <c r="J49" s="6">
        <f t="shared" si="1"/>
        <v>0</v>
      </c>
      <c r="K49" s="6">
        <f t="shared" si="20"/>
        <v>0</v>
      </c>
      <c r="L49" s="6">
        <f t="shared" si="21"/>
        <v>0</v>
      </c>
      <c r="M49" s="7">
        <f t="shared" si="15"/>
        <v>0</v>
      </c>
      <c r="N49" s="7">
        <f t="shared" si="9"/>
        <v>0</v>
      </c>
      <c r="O49" s="7">
        <v>0</v>
      </c>
      <c r="P49" s="7">
        <f t="shared" si="16"/>
        <v>0</v>
      </c>
      <c r="Q49" s="7">
        <v>0</v>
      </c>
      <c r="R49" s="7">
        <f t="shared" si="17"/>
        <v>0</v>
      </c>
      <c r="S49" s="7">
        <f t="shared" si="18"/>
        <v>0</v>
      </c>
      <c r="U49" s="8"/>
      <c r="W49" s="7">
        <f t="shared" si="23"/>
        <v>5</v>
      </c>
      <c r="X49" s="6" t="s">
        <v>70</v>
      </c>
      <c r="Y49" s="9" t="s">
        <v>71</v>
      </c>
      <c r="Z49" s="6">
        <v>8</v>
      </c>
      <c r="AA49" s="6">
        <v>10</v>
      </c>
      <c r="AB49" s="6">
        <f t="shared" si="22"/>
        <v>80</v>
      </c>
    </row>
    <row r="50" spans="1:28" x14ac:dyDescent="0.25">
      <c r="A50" s="6">
        <f t="shared" si="10"/>
        <v>43</v>
      </c>
      <c r="B50" s="6" t="s">
        <v>72</v>
      </c>
      <c r="C50" s="6">
        <f>B4-100</f>
        <v>700</v>
      </c>
      <c r="D50" s="6">
        <v>250</v>
      </c>
      <c r="E50" s="6">
        <v>1.6</v>
      </c>
      <c r="F50" s="6">
        <v>0</v>
      </c>
      <c r="G50" s="6"/>
      <c r="H50" s="6"/>
      <c r="I50" s="6">
        <f t="shared" si="19"/>
        <v>0</v>
      </c>
      <c r="J50" s="6">
        <f t="shared" si="1"/>
        <v>0</v>
      </c>
      <c r="K50" s="6">
        <f t="shared" si="20"/>
        <v>0</v>
      </c>
      <c r="L50" s="6">
        <f t="shared" si="21"/>
        <v>0</v>
      </c>
      <c r="M50" s="7">
        <f t="shared" si="15"/>
        <v>0</v>
      </c>
      <c r="N50" s="7">
        <f t="shared" si="9"/>
        <v>0</v>
      </c>
      <c r="O50" s="7">
        <v>0</v>
      </c>
      <c r="P50" s="7">
        <f t="shared" si="16"/>
        <v>0</v>
      </c>
      <c r="Q50" s="7">
        <v>0</v>
      </c>
      <c r="R50" s="7">
        <f t="shared" si="17"/>
        <v>0</v>
      </c>
      <c r="S50" s="7">
        <f t="shared" si="18"/>
        <v>0</v>
      </c>
      <c r="U50" s="8"/>
      <c r="W50" s="7">
        <f t="shared" si="23"/>
        <v>6</v>
      </c>
      <c r="X50" s="6" t="s">
        <v>73</v>
      </c>
      <c r="Y50" s="9" t="s">
        <v>71</v>
      </c>
      <c r="Z50" s="6">
        <v>3</v>
      </c>
      <c r="AA50" s="6">
        <v>75</v>
      </c>
      <c r="AB50" s="6">
        <f t="shared" si="22"/>
        <v>225</v>
      </c>
    </row>
    <row r="51" spans="1:28" x14ac:dyDescent="0.25">
      <c r="A51" s="6">
        <f t="shared" si="10"/>
        <v>44</v>
      </c>
      <c r="B51" s="6" t="s">
        <v>74</v>
      </c>
      <c r="C51" s="6">
        <f>15*2+50</f>
        <v>80</v>
      </c>
      <c r="D51" s="6">
        <f>B4</f>
        <v>800</v>
      </c>
      <c r="E51" s="6">
        <v>2</v>
      </c>
      <c r="F51" s="6">
        <v>0</v>
      </c>
      <c r="G51" s="6"/>
      <c r="H51" s="6"/>
      <c r="I51" s="6">
        <f t="shared" si="19"/>
        <v>0</v>
      </c>
      <c r="J51" s="6">
        <f t="shared" si="1"/>
        <v>0</v>
      </c>
      <c r="K51" s="6">
        <f t="shared" si="20"/>
        <v>0</v>
      </c>
      <c r="L51" s="6">
        <f t="shared" si="21"/>
        <v>0</v>
      </c>
      <c r="M51" s="7">
        <f t="shared" si="15"/>
        <v>0</v>
      </c>
      <c r="N51" s="7">
        <f t="shared" si="9"/>
        <v>0</v>
      </c>
      <c r="O51" s="7">
        <v>0</v>
      </c>
      <c r="P51" s="7">
        <f t="shared" si="16"/>
        <v>0</v>
      </c>
      <c r="Q51" s="7">
        <v>0</v>
      </c>
      <c r="R51" s="7">
        <f t="shared" si="17"/>
        <v>0</v>
      </c>
      <c r="S51" s="7">
        <f t="shared" si="18"/>
        <v>0</v>
      </c>
      <c r="U51" s="8"/>
      <c r="W51" s="7">
        <f t="shared" si="23"/>
        <v>7</v>
      </c>
      <c r="X51" s="6" t="s">
        <v>75</v>
      </c>
      <c r="Y51" s="9" t="s">
        <v>71</v>
      </c>
      <c r="Z51" s="6">
        <v>2</v>
      </c>
      <c r="AA51" s="6">
        <v>12</v>
      </c>
      <c r="AB51" s="6">
        <f t="shared" si="22"/>
        <v>24</v>
      </c>
    </row>
    <row r="52" spans="1:28" x14ac:dyDescent="0.25">
      <c r="A52" s="6">
        <f t="shared" si="10"/>
        <v>45</v>
      </c>
      <c r="B52" s="6" t="s">
        <v>76</v>
      </c>
      <c r="C52" s="6">
        <v>69</v>
      </c>
      <c r="D52" s="6">
        <f>D4-150</f>
        <v>575</v>
      </c>
      <c r="E52" s="6">
        <v>2</v>
      </c>
      <c r="F52" s="6">
        <v>0</v>
      </c>
      <c r="G52" s="6"/>
      <c r="H52" s="6"/>
      <c r="I52" s="6">
        <f t="shared" si="19"/>
        <v>0</v>
      </c>
      <c r="J52" s="6">
        <f t="shared" si="1"/>
        <v>0</v>
      </c>
      <c r="K52" s="6">
        <f t="shared" si="20"/>
        <v>0</v>
      </c>
      <c r="L52" s="6">
        <f t="shared" si="21"/>
        <v>0</v>
      </c>
      <c r="M52" s="7">
        <f t="shared" si="15"/>
        <v>0</v>
      </c>
      <c r="N52" s="7">
        <f t="shared" si="9"/>
        <v>0</v>
      </c>
      <c r="O52" s="7">
        <f>D52/25*F52*0.1</f>
        <v>0</v>
      </c>
      <c r="P52" s="7">
        <f t="shared" si="16"/>
        <v>0</v>
      </c>
      <c r="Q52" s="7">
        <v>0</v>
      </c>
      <c r="R52" s="7">
        <f t="shared" si="17"/>
        <v>0</v>
      </c>
      <c r="S52" s="7">
        <f t="shared" si="18"/>
        <v>0</v>
      </c>
      <c r="U52" s="8"/>
      <c r="W52" s="7">
        <f t="shared" si="23"/>
        <v>8</v>
      </c>
      <c r="X52" s="6" t="s">
        <v>77</v>
      </c>
      <c r="Y52" s="9" t="s">
        <v>71</v>
      </c>
      <c r="Z52" s="6">
        <v>1</v>
      </c>
      <c r="AA52" s="6">
        <v>12</v>
      </c>
      <c r="AB52" s="6">
        <f t="shared" si="22"/>
        <v>12</v>
      </c>
    </row>
    <row r="53" spans="1:28" x14ac:dyDescent="0.25">
      <c r="A53" s="6">
        <f t="shared" si="10"/>
        <v>46</v>
      </c>
      <c r="B53" s="6" t="s">
        <v>78</v>
      </c>
      <c r="C53" s="6">
        <v>69</v>
      </c>
      <c r="D53" s="6">
        <f>B4-160</f>
        <v>640</v>
      </c>
      <c r="E53" s="6">
        <v>2</v>
      </c>
      <c r="F53" s="6">
        <v>0</v>
      </c>
      <c r="G53" s="6"/>
      <c r="H53" s="6"/>
      <c r="I53" s="6">
        <f t="shared" si="19"/>
        <v>0</v>
      </c>
      <c r="J53" s="6">
        <f t="shared" si="1"/>
        <v>0</v>
      </c>
      <c r="K53" s="6">
        <f t="shared" si="20"/>
        <v>0</v>
      </c>
      <c r="L53" s="6">
        <f t="shared" si="21"/>
        <v>0</v>
      </c>
      <c r="M53" s="7">
        <f t="shared" si="15"/>
        <v>0</v>
      </c>
      <c r="N53" s="7">
        <f t="shared" si="9"/>
        <v>0</v>
      </c>
      <c r="O53" s="7">
        <f>D53/25*F53*0.1</f>
        <v>0</v>
      </c>
      <c r="P53" s="7">
        <f t="shared" si="16"/>
        <v>0</v>
      </c>
      <c r="Q53" s="7">
        <v>0</v>
      </c>
      <c r="R53" s="7">
        <f t="shared" si="17"/>
        <v>0</v>
      </c>
      <c r="S53" s="7">
        <f t="shared" si="18"/>
        <v>0</v>
      </c>
      <c r="U53" s="8"/>
      <c r="W53" s="7">
        <f t="shared" si="23"/>
        <v>9</v>
      </c>
      <c r="X53" s="9" t="s">
        <v>79</v>
      </c>
      <c r="Y53" s="9" t="s">
        <v>71</v>
      </c>
      <c r="Z53" s="6">
        <v>10</v>
      </c>
      <c r="AA53" s="6">
        <v>9</v>
      </c>
      <c r="AB53" s="6">
        <f t="shared" si="22"/>
        <v>90</v>
      </c>
    </row>
    <row r="54" spans="1:28" x14ac:dyDescent="0.25">
      <c r="A54" s="6">
        <f t="shared" si="10"/>
        <v>47</v>
      </c>
      <c r="B54" s="6" t="s">
        <v>80</v>
      </c>
      <c r="C54" s="6"/>
      <c r="D54" s="6"/>
      <c r="E54" s="6"/>
      <c r="F54" s="6">
        <v>0</v>
      </c>
      <c r="G54" s="6"/>
      <c r="H54" s="6"/>
      <c r="I54" s="6">
        <f t="shared" si="19"/>
        <v>0</v>
      </c>
      <c r="J54" s="6">
        <f t="shared" si="1"/>
        <v>0</v>
      </c>
      <c r="K54" s="6">
        <f t="shared" si="20"/>
        <v>0</v>
      </c>
      <c r="L54" s="6">
        <f t="shared" si="21"/>
        <v>0</v>
      </c>
      <c r="M54" s="7">
        <f t="shared" si="15"/>
        <v>0</v>
      </c>
      <c r="N54" s="7">
        <f t="shared" si="9"/>
        <v>0</v>
      </c>
      <c r="O54" s="7">
        <v>0</v>
      </c>
      <c r="P54" s="7">
        <f t="shared" si="16"/>
        <v>0</v>
      </c>
      <c r="Q54" s="7">
        <v>0</v>
      </c>
      <c r="R54" s="7">
        <f t="shared" si="17"/>
        <v>0</v>
      </c>
      <c r="S54" s="7">
        <f t="shared" si="18"/>
        <v>0</v>
      </c>
      <c r="U54" s="8"/>
      <c r="W54" s="7">
        <f t="shared" si="23"/>
        <v>10</v>
      </c>
      <c r="X54" s="6" t="s">
        <v>81</v>
      </c>
      <c r="Y54" s="6"/>
      <c r="Z54" s="6">
        <v>1</v>
      </c>
      <c r="AA54" s="6">
        <v>150</v>
      </c>
      <c r="AB54" s="6">
        <f t="shared" si="22"/>
        <v>150</v>
      </c>
    </row>
    <row r="55" spans="1:28" x14ac:dyDescent="0.25">
      <c r="A55" s="6">
        <f t="shared" si="10"/>
        <v>48</v>
      </c>
      <c r="B55" s="6" t="s">
        <v>82</v>
      </c>
      <c r="C55" s="6"/>
      <c r="D55" s="6"/>
      <c r="E55" s="6"/>
      <c r="F55" s="6">
        <v>0</v>
      </c>
      <c r="G55" s="6"/>
      <c r="H55" s="6"/>
      <c r="I55" s="6">
        <f t="shared" si="19"/>
        <v>0</v>
      </c>
      <c r="J55" s="6">
        <f t="shared" si="1"/>
        <v>0</v>
      </c>
      <c r="K55" s="6">
        <f t="shared" si="20"/>
        <v>0</v>
      </c>
      <c r="L55" s="6">
        <f t="shared" si="21"/>
        <v>0</v>
      </c>
      <c r="M55" s="7">
        <f t="shared" si="15"/>
        <v>0</v>
      </c>
      <c r="N55" s="7">
        <f t="shared" si="9"/>
        <v>0</v>
      </c>
      <c r="O55" s="7">
        <v>0</v>
      </c>
      <c r="P55" s="7">
        <f t="shared" si="16"/>
        <v>0</v>
      </c>
      <c r="Q55" s="7">
        <f>150*F55</f>
        <v>0</v>
      </c>
      <c r="R55" s="7">
        <f t="shared" si="17"/>
        <v>0</v>
      </c>
      <c r="S55" s="7">
        <f t="shared" si="18"/>
        <v>0</v>
      </c>
      <c r="U55" s="8"/>
      <c r="W55" s="7">
        <f t="shared" si="23"/>
        <v>11</v>
      </c>
      <c r="X55" s="6" t="s">
        <v>83</v>
      </c>
      <c r="Y55" s="9" t="s">
        <v>71</v>
      </c>
      <c r="Z55" s="6">
        <v>2</v>
      </c>
      <c r="AA55" s="6">
        <v>0</v>
      </c>
      <c r="AB55" s="6">
        <f t="shared" si="22"/>
        <v>0</v>
      </c>
    </row>
    <row r="56" spans="1:28" x14ac:dyDescent="0.25">
      <c r="A56" s="6">
        <f t="shared" si="10"/>
        <v>49</v>
      </c>
      <c r="B56" s="6" t="s">
        <v>84</v>
      </c>
      <c r="C56" s="6">
        <v>0</v>
      </c>
      <c r="D56" s="6">
        <v>0</v>
      </c>
      <c r="E56" s="6">
        <v>0</v>
      </c>
      <c r="F56" s="6">
        <f>((C37*2/1000)+(D37*3/1000))*F37</f>
        <v>15.2</v>
      </c>
      <c r="G56" s="6"/>
      <c r="H56" s="6"/>
      <c r="I56" s="6">
        <f t="shared" si="19"/>
        <v>0</v>
      </c>
      <c r="J56" s="6">
        <f t="shared" si="1"/>
        <v>0</v>
      </c>
      <c r="K56" s="6">
        <f t="shared" si="20"/>
        <v>0</v>
      </c>
      <c r="L56" s="6">
        <f t="shared" si="21"/>
        <v>0</v>
      </c>
      <c r="M56" s="7">
        <f t="shared" si="15"/>
        <v>0</v>
      </c>
      <c r="N56" s="7">
        <f t="shared" si="9"/>
        <v>0</v>
      </c>
      <c r="O56" s="7">
        <v>0</v>
      </c>
      <c r="P56" s="7">
        <f t="shared" si="16"/>
        <v>0</v>
      </c>
      <c r="Q56" s="7">
        <f>F56*35</f>
        <v>532</v>
      </c>
      <c r="R56" s="7">
        <f t="shared" si="17"/>
        <v>532</v>
      </c>
      <c r="S56" s="7">
        <f t="shared" si="18"/>
        <v>709.33333333333337</v>
      </c>
      <c r="U56" s="8"/>
      <c r="W56" s="7">
        <f t="shared" si="23"/>
        <v>12</v>
      </c>
      <c r="X56" s="6" t="s">
        <v>85</v>
      </c>
      <c r="Y56" s="6"/>
      <c r="Z56" s="6">
        <v>2</v>
      </c>
      <c r="AA56" s="6">
        <v>425</v>
      </c>
      <c r="AB56" s="6">
        <f t="shared" si="22"/>
        <v>850</v>
      </c>
    </row>
    <row r="57" spans="1:28" x14ac:dyDescent="0.25">
      <c r="A57" s="6">
        <f t="shared" si="10"/>
        <v>50</v>
      </c>
      <c r="B57" s="6" t="s">
        <v>86</v>
      </c>
      <c r="C57" s="6">
        <v>0</v>
      </c>
      <c r="D57" s="6">
        <v>0</v>
      </c>
      <c r="E57" s="6">
        <v>0</v>
      </c>
      <c r="F57" s="6">
        <f>((C11/1000*2+D11/1000*2)*F11)</f>
        <v>0</v>
      </c>
      <c r="G57" s="6"/>
      <c r="H57" s="6"/>
      <c r="I57" s="6">
        <f t="shared" si="19"/>
        <v>0</v>
      </c>
      <c r="J57" s="6">
        <f t="shared" si="1"/>
        <v>0</v>
      </c>
      <c r="K57" s="6">
        <f t="shared" si="20"/>
        <v>0</v>
      </c>
      <c r="L57" s="6">
        <f t="shared" si="21"/>
        <v>0</v>
      </c>
      <c r="M57" s="7">
        <f t="shared" si="15"/>
        <v>0</v>
      </c>
      <c r="N57" s="7">
        <f t="shared" si="9"/>
        <v>0</v>
      </c>
      <c r="O57" s="7">
        <v>0</v>
      </c>
      <c r="P57" s="7">
        <f t="shared" si="16"/>
        <v>0</v>
      </c>
      <c r="Q57" s="7">
        <f>F57*12</f>
        <v>0</v>
      </c>
      <c r="R57" s="7">
        <f t="shared" si="17"/>
        <v>0</v>
      </c>
      <c r="S57" s="7">
        <f t="shared" si="18"/>
        <v>0</v>
      </c>
      <c r="U57" s="8"/>
      <c r="W57" s="7"/>
      <c r="X57" s="6"/>
      <c r="Y57" s="6"/>
      <c r="Z57" s="6"/>
      <c r="AA57" s="6" t="s">
        <v>58</v>
      </c>
      <c r="AB57" s="6">
        <f>SUM(AB45:AB56)</f>
        <v>3431</v>
      </c>
    </row>
    <row r="58" spans="1:28" x14ac:dyDescent="0.25">
      <c r="A58" s="6">
        <f t="shared" si="10"/>
        <v>51</v>
      </c>
      <c r="B58" s="6" t="s">
        <v>87</v>
      </c>
      <c r="C58" s="6">
        <v>0</v>
      </c>
      <c r="D58" s="6">
        <v>0</v>
      </c>
      <c r="E58" s="6">
        <v>0</v>
      </c>
      <c r="F58" s="7">
        <f>F37*1+1</f>
        <v>5</v>
      </c>
      <c r="G58" s="6"/>
      <c r="H58" s="6"/>
      <c r="I58" s="6">
        <f t="shared" si="19"/>
        <v>0</v>
      </c>
      <c r="J58" s="6">
        <f t="shared" si="1"/>
        <v>0</v>
      </c>
      <c r="K58" s="6">
        <f t="shared" si="20"/>
        <v>0</v>
      </c>
      <c r="L58" s="6">
        <f t="shared" si="21"/>
        <v>0</v>
      </c>
      <c r="M58" s="7">
        <f t="shared" si="15"/>
        <v>0</v>
      </c>
      <c r="N58" s="7">
        <f t="shared" si="9"/>
        <v>0</v>
      </c>
      <c r="O58" s="7">
        <v>0</v>
      </c>
      <c r="P58" s="7">
        <f t="shared" si="16"/>
        <v>0</v>
      </c>
      <c r="Q58" s="7">
        <f>65*F$58</f>
        <v>325</v>
      </c>
      <c r="R58" s="7">
        <f t="shared" si="17"/>
        <v>325</v>
      </c>
      <c r="S58" s="7">
        <f t="shared" si="18"/>
        <v>433.33333333333331</v>
      </c>
      <c r="U58" s="8"/>
      <c r="W58" s="7"/>
      <c r="X58" s="6"/>
      <c r="Y58" s="6"/>
      <c r="Z58" s="6" t="s">
        <v>88</v>
      </c>
      <c r="AA58" s="12">
        <v>0.3</v>
      </c>
      <c r="AB58" s="7">
        <f>AB57*AA58</f>
        <v>1029.3</v>
      </c>
    </row>
    <row r="59" spans="1:28" x14ac:dyDescent="0.25">
      <c r="A59" s="6">
        <f t="shared" si="10"/>
        <v>52</v>
      </c>
      <c r="B59" s="6" t="s">
        <v>89</v>
      </c>
      <c r="C59" s="6">
        <v>0</v>
      </c>
      <c r="D59" s="6">
        <v>0</v>
      </c>
      <c r="E59" s="6">
        <v>0</v>
      </c>
      <c r="F59" s="6">
        <v>0</v>
      </c>
      <c r="G59" s="6"/>
      <c r="H59" s="6"/>
      <c r="I59" s="6">
        <f t="shared" si="19"/>
        <v>0</v>
      </c>
      <c r="J59" s="6">
        <f t="shared" si="1"/>
        <v>0</v>
      </c>
      <c r="K59" s="6">
        <f t="shared" si="20"/>
        <v>0</v>
      </c>
      <c r="L59" s="6">
        <f t="shared" si="21"/>
        <v>0</v>
      </c>
      <c r="M59" s="7">
        <f t="shared" si="15"/>
        <v>0</v>
      </c>
      <c r="N59" s="7">
        <f t="shared" si="9"/>
        <v>0</v>
      </c>
      <c r="O59" s="7">
        <v>0</v>
      </c>
      <c r="P59" s="7">
        <f t="shared" si="16"/>
        <v>0</v>
      </c>
      <c r="Q59" s="7">
        <f>45*F$59</f>
        <v>0</v>
      </c>
      <c r="R59" s="7">
        <f t="shared" si="17"/>
        <v>0</v>
      </c>
      <c r="S59" s="7">
        <f t="shared" si="18"/>
        <v>0</v>
      </c>
      <c r="U59" s="8"/>
      <c r="W59" s="7"/>
      <c r="X59" s="6"/>
      <c r="Y59" s="6"/>
      <c r="Z59" s="6"/>
      <c r="AA59" s="13" t="s">
        <v>90</v>
      </c>
      <c r="AB59" s="7">
        <f>SUM(AB57:AB58)</f>
        <v>4460.3</v>
      </c>
    </row>
    <row r="60" spans="1:28" x14ac:dyDescent="0.25">
      <c r="A60" s="6">
        <f t="shared" si="10"/>
        <v>53</v>
      </c>
      <c r="B60" s="6" t="s">
        <v>91</v>
      </c>
      <c r="C60" s="6"/>
      <c r="D60" s="6"/>
      <c r="E60" s="6"/>
      <c r="F60" s="6">
        <v>0</v>
      </c>
      <c r="G60" s="6"/>
      <c r="H60" s="6"/>
      <c r="I60" s="6">
        <f t="shared" si="19"/>
        <v>0</v>
      </c>
      <c r="J60" s="6">
        <f t="shared" si="1"/>
        <v>0</v>
      </c>
      <c r="K60" s="6">
        <f t="shared" si="20"/>
        <v>0</v>
      </c>
      <c r="L60" s="6">
        <f t="shared" si="21"/>
        <v>0</v>
      </c>
      <c r="M60" s="7">
        <f t="shared" si="15"/>
        <v>0</v>
      </c>
      <c r="N60" s="7">
        <f t="shared" si="9"/>
        <v>0</v>
      </c>
      <c r="O60" s="7">
        <v>0</v>
      </c>
      <c r="P60" s="7">
        <f t="shared" si="16"/>
        <v>0</v>
      </c>
      <c r="Q60" s="7">
        <v>200</v>
      </c>
      <c r="R60" s="7">
        <f t="shared" si="17"/>
        <v>200</v>
      </c>
      <c r="S60" s="7">
        <f t="shared" si="18"/>
        <v>266.66666666666669</v>
      </c>
      <c r="U60" s="8"/>
    </row>
    <row r="61" spans="1:28" x14ac:dyDescent="0.25">
      <c r="A61" s="6">
        <f t="shared" si="10"/>
        <v>54</v>
      </c>
      <c r="B61" s="6" t="s">
        <v>92</v>
      </c>
      <c r="C61" s="6"/>
      <c r="D61" s="6"/>
      <c r="E61" s="6"/>
      <c r="F61" s="7">
        <v>2</v>
      </c>
      <c r="G61" s="6"/>
      <c r="H61" s="6"/>
      <c r="I61" s="6">
        <f t="shared" si="19"/>
        <v>0</v>
      </c>
      <c r="J61" s="6">
        <f t="shared" si="1"/>
        <v>0</v>
      </c>
      <c r="K61" s="6">
        <f t="shared" si="20"/>
        <v>0</v>
      </c>
      <c r="L61" s="6">
        <f t="shared" si="21"/>
        <v>0</v>
      </c>
      <c r="M61" s="7">
        <f t="shared" si="15"/>
        <v>0</v>
      </c>
      <c r="N61" s="7">
        <f t="shared" si="9"/>
        <v>0</v>
      </c>
      <c r="O61" s="7">
        <v>0</v>
      </c>
      <c r="P61" s="7">
        <f t="shared" si="16"/>
        <v>0</v>
      </c>
      <c r="Q61" s="7">
        <f>150*F61</f>
        <v>300</v>
      </c>
      <c r="R61" s="7">
        <f t="shared" si="17"/>
        <v>300</v>
      </c>
      <c r="S61" s="7">
        <f t="shared" si="18"/>
        <v>400</v>
      </c>
      <c r="U61" s="8"/>
    </row>
    <row r="62" spans="1:28" x14ac:dyDescent="0.25">
      <c r="A62" s="6">
        <f t="shared" si="10"/>
        <v>55</v>
      </c>
      <c r="B62" s="6" t="s">
        <v>93</v>
      </c>
      <c r="C62" s="6"/>
      <c r="D62" s="6"/>
      <c r="E62" s="6"/>
      <c r="F62" s="7">
        <v>0</v>
      </c>
      <c r="G62" s="6"/>
      <c r="H62" s="6"/>
      <c r="I62" s="6"/>
      <c r="J62" s="6">
        <f t="shared" si="1"/>
        <v>0</v>
      </c>
      <c r="K62" s="6"/>
      <c r="L62" s="6"/>
      <c r="M62" s="7">
        <f t="shared" si="15"/>
        <v>0</v>
      </c>
      <c r="N62" s="7">
        <f t="shared" si="9"/>
        <v>0</v>
      </c>
      <c r="O62" s="7"/>
      <c r="P62" s="7"/>
      <c r="Q62" s="7">
        <f>F62*350</f>
        <v>0</v>
      </c>
      <c r="R62" s="7">
        <f t="shared" si="17"/>
        <v>0</v>
      </c>
      <c r="S62" s="7">
        <f t="shared" si="18"/>
        <v>0</v>
      </c>
      <c r="U62" s="8"/>
    </row>
    <row r="63" spans="1:28" x14ac:dyDescent="0.25">
      <c r="A63" s="6">
        <f t="shared" si="10"/>
        <v>56</v>
      </c>
      <c r="B63" s="6" t="s">
        <v>94</v>
      </c>
      <c r="C63" s="6">
        <v>0</v>
      </c>
      <c r="D63" s="6">
        <v>0</v>
      </c>
      <c r="E63" s="6">
        <v>0</v>
      </c>
      <c r="F63" s="6">
        <f>3*F37</f>
        <v>12</v>
      </c>
      <c r="G63" s="6"/>
      <c r="H63" s="6"/>
      <c r="I63" s="6">
        <f>C63/1000*D63/1000*E63*F63*8</f>
        <v>0</v>
      </c>
      <c r="J63" s="6">
        <f t="shared" si="1"/>
        <v>0</v>
      </c>
      <c r="K63" s="6">
        <f>I63*K$5</f>
        <v>0</v>
      </c>
      <c r="L63" s="6">
        <f>K63*L$5</f>
        <v>0</v>
      </c>
      <c r="M63" s="7">
        <f t="shared" si="15"/>
        <v>0</v>
      </c>
      <c r="N63" s="7">
        <f t="shared" si="9"/>
        <v>0</v>
      </c>
      <c r="O63" s="7">
        <v>0</v>
      </c>
      <c r="P63" s="7">
        <f>J63*P$5</f>
        <v>0</v>
      </c>
      <c r="Q63" s="7">
        <f>45*F63</f>
        <v>540</v>
      </c>
      <c r="R63" s="7">
        <f t="shared" si="17"/>
        <v>540</v>
      </c>
      <c r="S63" s="7">
        <f t="shared" si="18"/>
        <v>720</v>
      </c>
      <c r="U63" s="8"/>
    </row>
    <row r="64" spans="1:28" x14ac:dyDescent="0.25">
      <c r="A64" s="6">
        <f t="shared" si="10"/>
        <v>57</v>
      </c>
      <c r="B64" s="6" t="s">
        <v>95</v>
      </c>
      <c r="C64" s="6">
        <v>0</v>
      </c>
      <c r="D64" s="6">
        <v>0</v>
      </c>
      <c r="E64" s="6">
        <v>0</v>
      </c>
      <c r="F64" s="6">
        <f>E$4</f>
        <v>1</v>
      </c>
      <c r="G64" s="6"/>
      <c r="H64" s="6"/>
      <c r="I64" s="6">
        <f>C64/1000*D64/1000*E64*F64*8</f>
        <v>0</v>
      </c>
      <c r="J64" s="6">
        <f t="shared" si="1"/>
        <v>0</v>
      </c>
      <c r="K64" s="6">
        <f>I64*K$5</f>
        <v>0</v>
      </c>
      <c r="L64" s="6">
        <f>K64*L$5</f>
        <v>0</v>
      </c>
      <c r="M64" s="7">
        <f t="shared" si="15"/>
        <v>0</v>
      </c>
      <c r="N64" s="7">
        <f t="shared" si="9"/>
        <v>0</v>
      </c>
      <c r="O64" s="7">
        <v>0</v>
      </c>
      <c r="P64" s="7">
        <f>J64*P$5</f>
        <v>0</v>
      </c>
      <c r="Q64" s="7">
        <f>(350)*F64</f>
        <v>350</v>
      </c>
      <c r="R64" s="7">
        <f t="shared" si="17"/>
        <v>350</v>
      </c>
      <c r="S64" s="7">
        <f t="shared" si="18"/>
        <v>466.66666666666669</v>
      </c>
      <c r="U64" s="8"/>
    </row>
    <row r="65" spans="1:29" x14ac:dyDescent="0.25">
      <c r="A65" s="6">
        <f t="shared" si="10"/>
        <v>58</v>
      </c>
      <c r="B65" s="6" t="s">
        <v>96</v>
      </c>
      <c r="C65" s="6"/>
      <c r="D65" s="6"/>
      <c r="E65" s="6"/>
      <c r="F65" s="6">
        <f>E$4</f>
        <v>1</v>
      </c>
      <c r="G65" s="6"/>
      <c r="H65" s="6"/>
      <c r="I65" s="6">
        <f>C65/1000*D65/1000*E65*F65*8</f>
        <v>0</v>
      </c>
      <c r="J65" s="6">
        <f t="shared" si="1"/>
        <v>0</v>
      </c>
      <c r="K65" s="6">
        <f>I65*K$5</f>
        <v>0</v>
      </c>
      <c r="L65" s="6">
        <f>K65*L$5</f>
        <v>0</v>
      </c>
      <c r="M65" s="7">
        <f t="shared" si="15"/>
        <v>0</v>
      </c>
      <c r="N65" s="7">
        <f t="shared" si="9"/>
        <v>0</v>
      </c>
      <c r="O65" s="7">
        <v>0</v>
      </c>
      <c r="P65" s="7">
        <f>J65*P$5</f>
        <v>0</v>
      </c>
      <c r="Q65" s="7">
        <f>(B4/3)*F65</f>
        <v>266.66666666666669</v>
      </c>
      <c r="R65" s="7">
        <f t="shared" si="17"/>
        <v>266.66666666666669</v>
      </c>
      <c r="S65" s="7">
        <f t="shared" si="18"/>
        <v>355.5555555555556</v>
      </c>
      <c r="U65" s="8"/>
    </row>
    <row r="66" spans="1:29" x14ac:dyDescent="0.25">
      <c r="A66" s="6">
        <f t="shared" si="10"/>
        <v>59</v>
      </c>
      <c r="B66" s="6" t="s">
        <v>97</v>
      </c>
      <c r="C66" s="6">
        <v>0</v>
      </c>
      <c r="D66" s="6">
        <v>0</v>
      </c>
      <c r="E66" s="6">
        <v>0</v>
      </c>
      <c r="F66" s="6">
        <f>E$4</f>
        <v>1</v>
      </c>
      <c r="G66" s="6"/>
      <c r="H66" s="6"/>
      <c r="I66" s="6">
        <f>C66/1000*D66/1000*E66*F66*8</f>
        <v>0</v>
      </c>
      <c r="J66" s="6">
        <f t="shared" si="1"/>
        <v>0</v>
      </c>
      <c r="K66" s="6">
        <f>I66*K$5</f>
        <v>0</v>
      </c>
      <c r="L66" s="6">
        <f>K66*L$5</f>
        <v>0</v>
      </c>
      <c r="M66" s="7">
        <f t="shared" si="15"/>
        <v>0</v>
      </c>
      <c r="N66" s="7">
        <f t="shared" si="9"/>
        <v>0</v>
      </c>
      <c r="O66" s="7">
        <v>0</v>
      </c>
      <c r="P66" s="7">
        <f>J66*P$5</f>
        <v>0</v>
      </c>
      <c r="Q66" s="7">
        <f>F66*350</f>
        <v>350</v>
      </c>
      <c r="R66" s="7">
        <f t="shared" si="17"/>
        <v>350</v>
      </c>
      <c r="S66" s="7">
        <f t="shared" si="18"/>
        <v>466.66666666666669</v>
      </c>
    </row>
    <row r="67" spans="1:29" x14ac:dyDescent="0.25">
      <c r="F67" s="8">
        <f t="shared" ref="F67:S67" si="24">SUM(F7:F66)</f>
        <v>81.2</v>
      </c>
      <c r="G67" s="8">
        <f t="shared" si="24"/>
        <v>0</v>
      </c>
      <c r="H67" s="8">
        <f t="shared" si="24"/>
        <v>0</v>
      </c>
      <c r="I67" s="8">
        <f t="shared" si="24"/>
        <v>103.8014752</v>
      </c>
      <c r="J67" s="8">
        <f t="shared" si="24"/>
        <v>155.32716790399999</v>
      </c>
      <c r="K67" s="8">
        <f t="shared" si="24"/>
        <v>7785.110639999999</v>
      </c>
      <c r="L67" s="8">
        <f t="shared" si="24"/>
        <v>778.51106400000015</v>
      </c>
      <c r="M67" s="8">
        <f t="shared" si="24"/>
        <v>2076.0295039999996</v>
      </c>
      <c r="N67" s="8">
        <f t="shared" si="24"/>
        <v>1038.0147519999998</v>
      </c>
      <c r="O67" s="8">
        <f t="shared" si="24"/>
        <v>16</v>
      </c>
      <c r="P67" s="8">
        <f t="shared" si="24"/>
        <v>2019.2531827519999</v>
      </c>
      <c r="Q67" s="8">
        <f t="shared" si="24"/>
        <v>2863.6666666666665</v>
      </c>
      <c r="R67" s="8">
        <f t="shared" si="24"/>
        <v>16576.585809418662</v>
      </c>
      <c r="S67" s="8">
        <f t="shared" si="24"/>
        <v>22102.114412558221</v>
      </c>
      <c r="T67" s="8"/>
    </row>
    <row r="68" spans="1:29" x14ac:dyDescent="0.25">
      <c r="N68" s="8"/>
      <c r="P68" s="18">
        <f>P67/I67</f>
        <v>19.453029726806811</v>
      </c>
      <c r="R68" s="14"/>
      <c r="S68" s="8"/>
    </row>
    <row r="69" spans="1:29" x14ac:dyDescent="0.25">
      <c r="H69" s="4"/>
      <c r="R69" s="4">
        <v>0.15</v>
      </c>
      <c r="S69" s="8">
        <f>S67-S67*R69</f>
        <v>18786.797250674488</v>
      </c>
    </row>
    <row r="70" spans="1:29" x14ac:dyDescent="0.25">
      <c r="G70" s="3"/>
      <c r="R70" s="14"/>
      <c r="S70" s="8"/>
    </row>
    <row r="71" spans="1:29" x14ac:dyDescent="0.25">
      <c r="S71" s="8"/>
    </row>
    <row r="72" spans="1:29" x14ac:dyDescent="0.25">
      <c r="K72" s="4"/>
    </row>
    <row r="73" spans="1:29" x14ac:dyDescent="0.25">
      <c r="K73" s="14"/>
      <c r="V73" t="s">
        <v>98</v>
      </c>
    </row>
    <row r="74" spans="1:29" x14ac:dyDescent="0.25">
      <c r="V74" t="s">
        <v>99</v>
      </c>
      <c r="W74" t="s">
        <v>100</v>
      </c>
      <c r="X74" t="s">
        <v>101</v>
      </c>
      <c r="Y74" t="s">
        <v>102</v>
      </c>
      <c r="Z74" t="s">
        <v>103</v>
      </c>
      <c r="AA74" t="s">
        <v>104</v>
      </c>
      <c r="AB74" t="s">
        <v>105</v>
      </c>
    </row>
    <row r="75" spans="1:29" x14ac:dyDescent="0.25">
      <c r="C75" s="8"/>
      <c r="D75" s="8"/>
      <c r="V75">
        <v>21</v>
      </c>
      <c r="W75" t="s">
        <v>106</v>
      </c>
      <c r="X75">
        <v>745.6</v>
      </c>
      <c r="Y75">
        <v>520.6</v>
      </c>
      <c r="Z75">
        <v>1.5</v>
      </c>
      <c r="AA75">
        <v>1</v>
      </c>
      <c r="AB75" t="s">
        <v>107</v>
      </c>
      <c r="AC75">
        <f>X75/1000*Y75/1000*Z75*AA75*7.85</f>
        <v>4.5705764640000011</v>
      </c>
    </row>
    <row r="76" spans="1:29" x14ac:dyDescent="0.25">
      <c r="D76" s="4"/>
      <c r="V76">
        <v>22</v>
      </c>
      <c r="W76" t="s">
        <v>108</v>
      </c>
      <c r="X76">
        <v>598.6</v>
      </c>
      <c r="Y76">
        <v>536.4</v>
      </c>
      <c r="Z76">
        <v>1.5</v>
      </c>
      <c r="AA76">
        <v>1</v>
      </c>
      <c r="AB76" t="s">
        <v>107</v>
      </c>
      <c r="AC76">
        <f t="shared" ref="AC76:AC105" si="25">X76/1000*Y76/1000*Z76*AA76*7.85</f>
        <v>3.7808234459999999</v>
      </c>
    </row>
    <row r="77" spans="1:29" x14ac:dyDescent="0.25">
      <c r="V77">
        <v>23</v>
      </c>
      <c r="W77" t="s">
        <v>109</v>
      </c>
      <c r="X77">
        <v>745.6</v>
      </c>
      <c r="Y77">
        <v>536.4</v>
      </c>
      <c r="Z77">
        <v>1.5</v>
      </c>
      <c r="AA77">
        <v>1</v>
      </c>
      <c r="AB77" t="s">
        <v>107</v>
      </c>
      <c r="AC77">
        <f t="shared" si="25"/>
        <v>4.7092916159999998</v>
      </c>
    </row>
    <row r="78" spans="1:29" x14ac:dyDescent="0.25">
      <c r="V78">
        <v>20</v>
      </c>
      <c r="W78" t="s">
        <v>110</v>
      </c>
      <c r="X78">
        <v>58.5</v>
      </c>
      <c r="Y78">
        <v>234</v>
      </c>
      <c r="Z78">
        <v>2</v>
      </c>
      <c r="AA78">
        <v>1</v>
      </c>
      <c r="AB78" t="s">
        <v>107</v>
      </c>
      <c r="AC78">
        <f t="shared" si="25"/>
        <v>0.21491729999999998</v>
      </c>
    </row>
    <row r="79" spans="1:29" x14ac:dyDescent="0.25">
      <c r="V79">
        <v>17</v>
      </c>
      <c r="W79" t="s">
        <v>111</v>
      </c>
      <c r="X79">
        <v>58.5</v>
      </c>
      <c r="Y79">
        <v>473</v>
      </c>
      <c r="Z79">
        <v>2</v>
      </c>
      <c r="AA79">
        <v>1</v>
      </c>
      <c r="AB79" t="s">
        <v>107</v>
      </c>
      <c r="AC79">
        <f t="shared" si="25"/>
        <v>0.43442684999999998</v>
      </c>
    </row>
    <row r="80" spans="1:29" x14ac:dyDescent="0.25">
      <c r="V80">
        <v>18</v>
      </c>
      <c r="W80" t="s">
        <v>112</v>
      </c>
      <c r="X80">
        <v>58.5</v>
      </c>
      <c r="Y80">
        <v>473</v>
      </c>
      <c r="Z80">
        <v>2</v>
      </c>
      <c r="AA80">
        <v>1</v>
      </c>
      <c r="AB80" t="s">
        <v>107</v>
      </c>
      <c r="AC80">
        <f t="shared" si="25"/>
        <v>0.43442684999999998</v>
      </c>
    </row>
    <row r="81" spans="22:29" x14ac:dyDescent="0.25">
      <c r="V81">
        <v>19</v>
      </c>
      <c r="W81" t="s">
        <v>113</v>
      </c>
      <c r="X81">
        <v>58.5</v>
      </c>
      <c r="Y81">
        <v>234</v>
      </c>
      <c r="Z81">
        <v>2</v>
      </c>
      <c r="AA81">
        <v>1</v>
      </c>
      <c r="AB81" t="s">
        <v>107</v>
      </c>
      <c r="AC81">
        <f t="shared" si="25"/>
        <v>0.21491729999999998</v>
      </c>
    </row>
    <row r="82" spans="22:29" x14ac:dyDescent="0.25">
      <c r="V82">
        <v>24</v>
      </c>
      <c r="W82" t="s">
        <v>114</v>
      </c>
      <c r="X82">
        <v>65.5</v>
      </c>
      <c r="Y82">
        <v>350</v>
      </c>
      <c r="Z82">
        <v>2</v>
      </c>
      <c r="AA82">
        <v>2</v>
      </c>
      <c r="AB82" t="s">
        <v>107</v>
      </c>
      <c r="AC82">
        <f t="shared" si="25"/>
        <v>0.71984499999999996</v>
      </c>
    </row>
    <row r="83" spans="22:29" x14ac:dyDescent="0.25">
      <c r="V83">
        <v>29</v>
      </c>
      <c r="W83" t="s">
        <v>115</v>
      </c>
      <c r="X83">
        <v>937.6</v>
      </c>
      <c r="Y83">
        <v>354.6</v>
      </c>
      <c r="Z83">
        <v>1.5</v>
      </c>
      <c r="AA83">
        <v>1</v>
      </c>
      <c r="AB83" t="s">
        <v>107</v>
      </c>
      <c r="AC83">
        <f t="shared" si="25"/>
        <v>3.9148691039999992</v>
      </c>
    </row>
    <row r="84" spans="22:29" x14ac:dyDescent="0.25">
      <c r="V84">
        <v>30</v>
      </c>
      <c r="W84" t="s">
        <v>116</v>
      </c>
      <c r="X84">
        <v>1011.6</v>
      </c>
      <c r="Y84">
        <v>70.099999999999994</v>
      </c>
      <c r="Z84">
        <v>1.5</v>
      </c>
      <c r="AA84">
        <v>1</v>
      </c>
      <c r="AB84" t="s">
        <v>107</v>
      </c>
      <c r="AC84">
        <f t="shared" si="25"/>
        <v>0.83500245900000003</v>
      </c>
    </row>
    <row r="85" spans="22:29" x14ac:dyDescent="0.25">
      <c r="V85">
        <v>31</v>
      </c>
      <c r="W85" t="s">
        <v>117</v>
      </c>
      <c r="X85">
        <v>64.599999999999994</v>
      </c>
      <c r="Y85">
        <v>969.6</v>
      </c>
      <c r="Z85">
        <v>1.5</v>
      </c>
      <c r="AA85">
        <v>1</v>
      </c>
      <c r="AB85" t="s">
        <v>107</v>
      </c>
      <c r="AC85">
        <f t="shared" si="25"/>
        <v>0.73754078399999989</v>
      </c>
    </row>
    <row r="86" spans="22:29" x14ac:dyDescent="0.25">
      <c r="V86">
        <v>28</v>
      </c>
      <c r="W86" t="s">
        <v>118</v>
      </c>
      <c r="X86">
        <v>57</v>
      </c>
      <c r="Y86">
        <v>197</v>
      </c>
      <c r="Z86">
        <v>1.5</v>
      </c>
      <c r="AA86">
        <v>2</v>
      </c>
      <c r="AB86" t="s">
        <v>107</v>
      </c>
      <c r="AC86">
        <f t="shared" si="25"/>
        <v>0.26444295000000001</v>
      </c>
    </row>
    <row r="87" spans="22:29" x14ac:dyDescent="0.25">
      <c r="V87">
        <v>25</v>
      </c>
      <c r="W87" t="s">
        <v>119</v>
      </c>
      <c r="AA87">
        <v>2</v>
      </c>
      <c r="AB87" t="s">
        <v>107</v>
      </c>
      <c r="AC87">
        <f t="shared" si="25"/>
        <v>0</v>
      </c>
    </row>
    <row r="88" spans="22:29" x14ac:dyDescent="0.25">
      <c r="V88">
        <v>26</v>
      </c>
      <c r="W88" t="s">
        <v>120</v>
      </c>
      <c r="X88">
        <v>598.6</v>
      </c>
      <c r="Y88">
        <v>520.6</v>
      </c>
      <c r="Z88">
        <v>1.5</v>
      </c>
      <c r="AA88">
        <v>1</v>
      </c>
      <c r="AB88" t="s">
        <v>107</v>
      </c>
      <c r="AC88">
        <f t="shared" si="25"/>
        <v>3.669456909</v>
      </c>
    </row>
    <row r="89" spans="22:29" x14ac:dyDescent="0.25">
      <c r="V89">
        <v>27</v>
      </c>
      <c r="W89" t="s">
        <v>121</v>
      </c>
      <c r="X89">
        <v>151.4</v>
      </c>
      <c r="Y89">
        <v>462</v>
      </c>
      <c r="Z89">
        <v>3</v>
      </c>
      <c r="AA89">
        <v>1</v>
      </c>
      <c r="AB89" t="s">
        <v>107</v>
      </c>
      <c r="AC89">
        <f t="shared" si="25"/>
        <v>1.6472471399999997</v>
      </c>
    </row>
    <row r="90" spans="22:29" x14ac:dyDescent="0.25">
      <c r="V90">
        <v>16</v>
      </c>
      <c r="W90" t="s">
        <v>122</v>
      </c>
      <c r="X90">
        <v>39.6</v>
      </c>
      <c r="Y90">
        <v>503</v>
      </c>
      <c r="Z90">
        <v>1.5</v>
      </c>
      <c r="AA90">
        <v>4</v>
      </c>
      <c r="AB90" t="s">
        <v>107</v>
      </c>
      <c r="AC90">
        <f t="shared" si="25"/>
        <v>0.93817547999999995</v>
      </c>
    </row>
    <row r="91" spans="22:29" x14ac:dyDescent="0.25">
      <c r="V91">
        <v>5</v>
      </c>
      <c r="W91" t="s">
        <v>123</v>
      </c>
      <c r="X91">
        <v>1000</v>
      </c>
      <c r="Y91">
        <v>566.88</v>
      </c>
      <c r="Z91">
        <v>1.5</v>
      </c>
      <c r="AA91">
        <v>1</v>
      </c>
      <c r="AB91" t="s">
        <v>107</v>
      </c>
      <c r="AC91">
        <f t="shared" si="25"/>
        <v>6.6750120000000006</v>
      </c>
    </row>
    <row r="92" spans="22:29" x14ac:dyDescent="0.25">
      <c r="V92">
        <v>6</v>
      </c>
      <c r="W92" t="s">
        <v>124</v>
      </c>
      <c r="X92">
        <v>988</v>
      </c>
      <c r="Y92">
        <v>71.400000000000006</v>
      </c>
      <c r="Z92">
        <v>3</v>
      </c>
      <c r="AA92">
        <v>4</v>
      </c>
      <c r="AB92" t="s">
        <v>107</v>
      </c>
      <c r="AC92">
        <f t="shared" si="25"/>
        <v>6.6451694400000001</v>
      </c>
    </row>
    <row r="93" spans="22:29" x14ac:dyDescent="0.25">
      <c r="V93">
        <v>7</v>
      </c>
      <c r="W93" t="s">
        <v>125</v>
      </c>
      <c r="X93">
        <v>722</v>
      </c>
      <c r="Y93">
        <v>566.88</v>
      </c>
      <c r="Z93">
        <v>1.5</v>
      </c>
      <c r="AA93">
        <v>1</v>
      </c>
      <c r="AB93" t="s">
        <v>107</v>
      </c>
      <c r="AC93">
        <f t="shared" si="25"/>
        <v>4.8193586639999992</v>
      </c>
    </row>
    <row r="94" spans="22:29" x14ac:dyDescent="0.25">
      <c r="V94">
        <v>4</v>
      </c>
      <c r="W94" t="s">
        <v>126</v>
      </c>
      <c r="X94">
        <v>87.8</v>
      </c>
      <c r="Y94">
        <v>980</v>
      </c>
      <c r="Z94">
        <v>1.5</v>
      </c>
      <c r="AA94">
        <v>2</v>
      </c>
      <c r="AB94" t="s">
        <v>107</v>
      </c>
      <c r="AC94">
        <f t="shared" si="25"/>
        <v>2.0263361999999998</v>
      </c>
    </row>
    <row r="95" spans="22:29" x14ac:dyDescent="0.25">
      <c r="V95">
        <v>1</v>
      </c>
      <c r="W95" t="s">
        <v>127</v>
      </c>
      <c r="X95">
        <v>1000</v>
      </c>
      <c r="Y95">
        <v>522.94000000000005</v>
      </c>
      <c r="Z95">
        <v>1.5</v>
      </c>
      <c r="AA95">
        <v>1</v>
      </c>
      <c r="AB95" t="s">
        <v>107</v>
      </c>
      <c r="AC95">
        <f t="shared" si="25"/>
        <v>6.1576184999999999</v>
      </c>
    </row>
    <row r="96" spans="22:29" x14ac:dyDescent="0.25">
      <c r="V96">
        <v>2</v>
      </c>
      <c r="W96" t="s">
        <v>128</v>
      </c>
      <c r="X96">
        <v>722</v>
      </c>
      <c r="Y96">
        <v>566.88</v>
      </c>
      <c r="Z96">
        <v>1.5</v>
      </c>
      <c r="AA96">
        <v>1</v>
      </c>
      <c r="AB96" t="s">
        <v>107</v>
      </c>
      <c r="AC96">
        <f t="shared" si="25"/>
        <v>4.8193586639999992</v>
      </c>
    </row>
    <row r="97" spans="20:29" x14ac:dyDescent="0.25">
      <c r="V97">
        <v>3</v>
      </c>
      <c r="W97" t="s">
        <v>129</v>
      </c>
      <c r="X97">
        <v>39.6</v>
      </c>
      <c r="Y97">
        <v>425</v>
      </c>
      <c r="Z97">
        <v>1.5</v>
      </c>
      <c r="AA97">
        <v>4</v>
      </c>
      <c r="AB97" t="s">
        <v>107</v>
      </c>
      <c r="AC97">
        <f t="shared" si="25"/>
        <v>0.79269300000000009</v>
      </c>
    </row>
    <row r="98" spans="20:29" x14ac:dyDescent="0.25">
      <c r="V98">
        <v>8</v>
      </c>
      <c r="W98" t="s">
        <v>130</v>
      </c>
      <c r="X98">
        <v>998.28</v>
      </c>
      <c r="Y98">
        <v>129.12</v>
      </c>
      <c r="Z98">
        <v>1.5</v>
      </c>
      <c r="AA98">
        <v>1</v>
      </c>
      <c r="AB98" t="s">
        <v>107</v>
      </c>
      <c r="AC98">
        <f t="shared" si="25"/>
        <v>1.5177729326399998</v>
      </c>
    </row>
    <row r="99" spans="20:29" x14ac:dyDescent="0.25">
      <c r="V99">
        <v>13</v>
      </c>
      <c r="W99" t="s">
        <v>131</v>
      </c>
      <c r="X99">
        <v>164.4</v>
      </c>
      <c r="Y99">
        <v>473</v>
      </c>
      <c r="Z99">
        <v>3</v>
      </c>
      <c r="AA99">
        <v>2</v>
      </c>
      <c r="AB99" t="s">
        <v>107</v>
      </c>
      <c r="AC99">
        <f t="shared" si="25"/>
        <v>3.6625525199999998</v>
      </c>
    </row>
    <row r="100" spans="20:29" x14ac:dyDescent="0.25">
      <c r="T100" s="8"/>
      <c r="V100">
        <v>14</v>
      </c>
      <c r="W100" t="s">
        <v>132</v>
      </c>
      <c r="X100">
        <v>994</v>
      </c>
      <c r="Y100">
        <v>164.4</v>
      </c>
      <c r="Z100">
        <v>3</v>
      </c>
      <c r="AA100">
        <v>2</v>
      </c>
      <c r="AB100" t="s">
        <v>107</v>
      </c>
      <c r="AC100">
        <f t="shared" si="25"/>
        <v>7.6967805599999997</v>
      </c>
    </row>
    <row r="101" spans="20:29" x14ac:dyDescent="0.25">
      <c r="T101" s="8"/>
      <c r="V101">
        <v>15</v>
      </c>
      <c r="W101" t="s">
        <v>133</v>
      </c>
      <c r="X101">
        <v>39.6</v>
      </c>
      <c r="Y101">
        <v>425</v>
      </c>
      <c r="Z101">
        <v>1.5</v>
      </c>
      <c r="AA101">
        <v>4</v>
      </c>
      <c r="AB101" t="s">
        <v>107</v>
      </c>
      <c r="AC101">
        <f t="shared" si="25"/>
        <v>0.79269300000000009</v>
      </c>
    </row>
    <row r="102" spans="20:29" x14ac:dyDescent="0.25">
      <c r="T102" s="8"/>
      <c r="V102">
        <v>12</v>
      </c>
      <c r="W102" t="s">
        <v>134</v>
      </c>
      <c r="X102">
        <v>1044.5999999999999</v>
      </c>
      <c r="Y102">
        <v>260.10000000000002</v>
      </c>
      <c r="Z102">
        <v>1.5</v>
      </c>
      <c r="AA102">
        <v>1</v>
      </c>
      <c r="AB102" t="s">
        <v>107</v>
      </c>
      <c r="AC102">
        <f t="shared" si="25"/>
        <v>3.1992729165000005</v>
      </c>
    </row>
    <row r="103" spans="20:29" x14ac:dyDescent="0.25">
      <c r="T103" s="8"/>
      <c r="V103">
        <v>9</v>
      </c>
      <c r="W103" t="s">
        <v>135</v>
      </c>
      <c r="X103">
        <v>39.6</v>
      </c>
      <c r="Y103">
        <v>650</v>
      </c>
      <c r="Z103">
        <v>1.5</v>
      </c>
      <c r="AA103">
        <v>4</v>
      </c>
      <c r="AB103" t="s">
        <v>107</v>
      </c>
      <c r="AC103">
        <f t="shared" si="25"/>
        <v>1.2123540000000002</v>
      </c>
    </row>
    <row r="104" spans="20:29" x14ac:dyDescent="0.25">
      <c r="V104">
        <v>10</v>
      </c>
      <c r="W104" t="s">
        <v>136</v>
      </c>
      <c r="X104">
        <v>151.4</v>
      </c>
      <c r="Y104">
        <v>462</v>
      </c>
      <c r="Z104">
        <v>3</v>
      </c>
      <c r="AA104">
        <v>1</v>
      </c>
      <c r="AB104" t="s">
        <v>107</v>
      </c>
      <c r="AC104">
        <f t="shared" si="25"/>
        <v>1.6472471399999997</v>
      </c>
    </row>
    <row r="105" spans="20:29" x14ac:dyDescent="0.25">
      <c r="V105">
        <v>11</v>
      </c>
      <c r="W105" t="s">
        <v>137</v>
      </c>
      <c r="X105">
        <v>233</v>
      </c>
      <c r="Y105">
        <v>709</v>
      </c>
      <c r="Z105">
        <v>2</v>
      </c>
      <c r="AA105">
        <v>1</v>
      </c>
      <c r="AB105" t="s">
        <v>138</v>
      </c>
      <c r="AC105">
        <f t="shared" si="25"/>
        <v>2.5935929</v>
      </c>
    </row>
    <row r="106" spans="20:29" x14ac:dyDescent="0.25">
      <c r="AC106">
        <f>SUM(AC75:AC105)</f>
        <v>81.343772089140018</v>
      </c>
    </row>
    <row r="111" spans="20:29" x14ac:dyDescent="0.25">
      <c r="T111" s="8"/>
    </row>
    <row r="152" spans="1:19" ht="21" x14ac:dyDescent="0.4">
      <c r="B152" s="1"/>
      <c r="C152" s="1"/>
      <c r="D152" s="1"/>
      <c r="E152" s="1"/>
    </row>
    <row r="155" spans="1:19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B156" s="16"/>
    </row>
    <row r="157" spans="1:19" x14ac:dyDescent="0.25">
      <c r="B157" s="16"/>
    </row>
    <row r="158" spans="1:19" x14ac:dyDescent="0.25">
      <c r="B158" s="16"/>
    </row>
    <row r="159" spans="1:19" x14ac:dyDescent="0.25">
      <c r="B159" s="16"/>
    </row>
    <row r="160" spans="1:19" x14ac:dyDescent="0.25">
      <c r="B160" s="16"/>
    </row>
    <row r="161" spans="2:2" x14ac:dyDescent="0.25">
      <c r="B161" s="16"/>
    </row>
    <row r="166" spans="2:2" x14ac:dyDescent="0.25">
      <c r="B166" s="16"/>
    </row>
    <row r="167" spans="2:2" x14ac:dyDescent="0.25">
      <c r="B167" s="16"/>
    </row>
    <row r="251" spans="1:19" ht="21" x14ac:dyDescent="0.4">
      <c r="B251" s="1"/>
      <c r="C251" s="1"/>
      <c r="D251" s="1"/>
      <c r="E251" s="1"/>
    </row>
    <row r="254" spans="1:19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B255" s="16"/>
    </row>
    <row r="256" spans="1:19" x14ac:dyDescent="0.25">
      <c r="B256" s="16"/>
    </row>
    <row r="257" spans="2:2" x14ac:dyDescent="0.25">
      <c r="B257" s="16"/>
    </row>
    <row r="258" spans="2:2" x14ac:dyDescent="0.25">
      <c r="B258" s="16"/>
    </row>
    <row r="259" spans="2:2" x14ac:dyDescent="0.25">
      <c r="B259" s="16"/>
    </row>
    <row r="260" spans="2:2" x14ac:dyDescent="0.25">
      <c r="B260" s="16"/>
    </row>
    <row r="265" spans="2:2" x14ac:dyDescent="0.25">
      <c r="B265" s="16"/>
    </row>
    <row r="266" spans="2:2" x14ac:dyDescent="0.25">
      <c r="B266" s="16"/>
    </row>
    <row r="351" spans="2:24" ht="21" x14ac:dyDescent="0.4">
      <c r="B351" s="1"/>
      <c r="C351" s="1"/>
      <c r="D351" s="1"/>
      <c r="E351" s="1"/>
      <c r="T351" s="15"/>
      <c r="U351" s="15"/>
      <c r="V351" s="15"/>
      <c r="W351" s="15"/>
      <c r="X351" s="15"/>
    </row>
    <row r="354" spans="1:19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6" spans="1:19" x14ac:dyDescent="0.25">
      <c r="B356" s="16"/>
    </row>
    <row r="358" spans="1:19" x14ac:dyDescent="0.25">
      <c r="B358" s="16"/>
    </row>
    <row r="359" spans="1:19" x14ac:dyDescent="0.25">
      <c r="B359" s="16"/>
    </row>
    <row r="360" spans="1:19" x14ac:dyDescent="0.25">
      <c r="B360" s="16"/>
    </row>
    <row r="451" spans="1:19" ht="21" x14ac:dyDescent="0.4">
      <c r="B451" s="1"/>
      <c r="C451" s="1"/>
      <c r="D451" s="1"/>
      <c r="E451" s="1"/>
    </row>
    <row r="454" spans="1:19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6" spans="1:19" x14ac:dyDescent="0.25">
      <c r="B456" s="16"/>
    </row>
    <row r="458" spans="1:19" x14ac:dyDescent="0.25">
      <c r="B458" s="16"/>
    </row>
    <row r="459" spans="1:19" x14ac:dyDescent="0.25">
      <c r="B459" s="16"/>
    </row>
    <row r="460" spans="1:19" x14ac:dyDescent="0.25">
      <c r="B460" s="16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DCS DESK 800x600-1000x725+75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2021-01-14T17:56:49Z</dcterms:created>
  <dcterms:modified xsi:type="dcterms:W3CDTF">2021-01-14T18:21:52Z</dcterms:modified>
</cp:coreProperties>
</file>