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osting Sheets\"/>
    </mc:Choice>
  </mc:AlternateContent>
  <xr:revisionPtr revIDLastSave="0" documentId="13_ncr:1_{42EC790D-EDED-4B54-BDB3-3EB80F8F927E}" xr6:coauthVersionLast="46" xr6:coauthVersionMax="46" xr10:uidLastSave="{00000000-0000-0000-0000-000000000000}"/>
  <bookViews>
    <workbookView xWindow="-108" yWindow="-108" windowWidth="23256" windowHeight="12576" xr2:uid="{8FB94115-BD34-4145-A37A-FA0F98179088}"/>
  </bookViews>
  <sheets>
    <sheet name="Three Piece Desk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0" i="1" l="1"/>
  <c r="Q43" i="1"/>
  <c r="N25" i="1"/>
  <c r="N20" i="1"/>
  <c r="N11" i="1"/>
  <c r="N7" i="1"/>
  <c r="F44" i="1"/>
  <c r="F43" i="1"/>
  <c r="F42" i="1"/>
  <c r="F41" i="1"/>
  <c r="J41" i="1" s="1"/>
  <c r="P41" i="1" s="1"/>
  <c r="F40" i="1"/>
  <c r="Q40" i="1" s="1"/>
  <c r="F38" i="1"/>
  <c r="F37" i="1"/>
  <c r="F35" i="1"/>
  <c r="F34" i="1"/>
  <c r="F33" i="1"/>
  <c r="F32" i="1"/>
  <c r="F31" i="1"/>
  <c r="F30" i="1"/>
  <c r="F28" i="1"/>
  <c r="F27" i="1"/>
  <c r="F25" i="1"/>
  <c r="F23" i="1"/>
  <c r="F24" i="1"/>
  <c r="F22" i="1"/>
  <c r="F21" i="1"/>
  <c r="F20" i="1"/>
  <c r="F18" i="1"/>
  <c r="F17" i="1"/>
  <c r="F16" i="1"/>
  <c r="F15" i="1"/>
  <c r="F14" i="1"/>
  <c r="F13" i="1"/>
  <c r="F12" i="1"/>
  <c r="F11" i="1"/>
  <c r="F9" i="1"/>
  <c r="F8" i="1"/>
  <c r="F7" i="1"/>
  <c r="C9" i="1"/>
  <c r="Q41" i="1"/>
  <c r="I41" i="1"/>
  <c r="M41" i="1" s="1"/>
  <c r="K41" i="1"/>
  <c r="L41" i="1"/>
  <c r="A41" i="1"/>
  <c r="A42" i="1" s="1"/>
  <c r="D38" i="1"/>
  <c r="K5" i="1"/>
  <c r="O49" i="1"/>
  <c r="H49" i="1"/>
  <c r="G49" i="1"/>
  <c r="R48" i="1"/>
  <c r="S48" i="1" s="1"/>
  <c r="R47" i="1"/>
  <c r="S47" i="1" s="1"/>
  <c r="R46" i="1"/>
  <c r="S46" i="1" s="1"/>
  <c r="R45" i="1"/>
  <c r="S45" i="1" s="1"/>
  <c r="J43" i="1"/>
  <c r="P43" i="1" s="1"/>
  <c r="I43" i="1"/>
  <c r="M43" i="1" s="1"/>
  <c r="Q42" i="1"/>
  <c r="J42" i="1"/>
  <c r="P42" i="1" s="1"/>
  <c r="I42" i="1"/>
  <c r="C38" i="1"/>
  <c r="C37" i="1"/>
  <c r="J36" i="1"/>
  <c r="P36" i="1" s="1"/>
  <c r="I36" i="1"/>
  <c r="D35" i="1"/>
  <c r="D34" i="1"/>
  <c r="D33" i="1"/>
  <c r="C33" i="1"/>
  <c r="D32" i="1"/>
  <c r="C32" i="1"/>
  <c r="D31" i="1"/>
  <c r="C31" i="1"/>
  <c r="D30" i="1"/>
  <c r="C30" i="1"/>
  <c r="J29" i="1"/>
  <c r="P29" i="1" s="1"/>
  <c r="I29" i="1"/>
  <c r="M29" i="1" s="1"/>
  <c r="D28" i="1"/>
  <c r="D27" i="1"/>
  <c r="Q26" i="1"/>
  <c r="J26" i="1"/>
  <c r="P26" i="1" s="1"/>
  <c r="I26" i="1"/>
  <c r="M26" i="1" s="1"/>
  <c r="D25" i="1"/>
  <c r="C25" i="1"/>
  <c r="D24" i="1"/>
  <c r="C24" i="1"/>
  <c r="D23" i="1"/>
  <c r="C23" i="1"/>
  <c r="D22" i="1"/>
  <c r="C22" i="1"/>
  <c r="D21" i="1"/>
  <c r="C21" i="1"/>
  <c r="D20" i="1"/>
  <c r="C20" i="1"/>
  <c r="J19" i="1"/>
  <c r="P19" i="1" s="1"/>
  <c r="I19" i="1"/>
  <c r="D18" i="1"/>
  <c r="D17" i="1"/>
  <c r="D16" i="1"/>
  <c r="C16" i="1"/>
  <c r="D15" i="1"/>
  <c r="C15" i="1"/>
  <c r="D14" i="1"/>
  <c r="D13" i="1"/>
  <c r="C13" i="1"/>
  <c r="X12" i="1"/>
  <c r="D12" i="1"/>
  <c r="C12" i="1"/>
  <c r="D11" i="1"/>
  <c r="C11" i="1"/>
  <c r="J10" i="1"/>
  <c r="P10" i="1" s="1"/>
  <c r="I10" i="1"/>
  <c r="M10" i="1" s="1"/>
  <c r="D8" i="1"/>
  <c r="C8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D7" i="1"/>
  <c r="C7" i="1"/>
  <c r="S4" i="1"/>
  <c r="E4" i="1"/>
  <c r="R1" i="1"/>
  <c r="R41" i="1" l="1"/>
  <c r="S41" i="1" s="1"/>
  <c r="I40" i="1"/>
  <c r="M40" i="1" s="1"/>
  <c r="J40" i="1"/>
  <c r="P40" i="1" s="1"/>
  <c r="N16" i="1"/>
  <c r="J9" i="1"/>
  <c r="P9" i="1" s="1"/>
  <c r="I7" i="1"/>
  <c r="I9" i="1"/>
  <c r="M9" i="1" s="1"/>
  <c r="A43" i="1"/>
  <c r="A44" i="1" s="1"/>
  <c r="A45" i="1" s="1"/>
  <c r="A46" i="1" s="1"/>
  <c r="A47" i="1" s="1"/>
  <c r="A48" i="1" s="1"/>
  <c r="J17" i="1"/>
  <c r="P17" i="1" s="1"/>
  <c r="J18" i="1"/>
  <c r="P18" i="1" s="1"/>
  <c r="J22" i="1"/>
  <c r="P22" i="1" s="1"/>
  <c r="J11" i="1"/>
  <c r="P11" i="1" s="1"/>
  <c r="I24" i="1"/>
  <c r="M24" i="1" s="1"/>
  <c r="I27" i="1"/>
  <c r="M27" i="1" s="1"/>
  <c r="J32" i="1"/>
  <c r="P32" i="1" s="1"/>
  <c r="K36" i="1"/>
  <c r="L36" i="1" s="1"/>
  <c r="K9" i="1"/>
  <c r="L9" i="1" s="1"/>
  <c r="K26" i="1"/>
  <c r="L26" i="1" s="1"/>
  <c r="R26" i="1" s="1"/>
  <c r="S26" i="1" s="1"/>
  <c r="J7" i="1"/>
  <c r="J21" i="1"/>
  <c r="P21" i="1" s="1"/>
  <c r="J15" i="1"/>
  <c r="P15" i="1" s="1"/>
  <c r="I34" i="1"/>
  <c r="I15" i="1"/>
  <c r="J24" i="1"/>
  <c r="P24" i="1" s="1"/>
  <c r="K29" i="1"/>
  <c r="L29" i="1" s="1"/>
  <c r="R29" i="1" s="1"/>
  <c r="S29" i="1" s="1"/>
  <c r="I32" i="1"/>
  <c r="M32" i="1" s="1"/>
  <c r="M36" i="1"/>
  <c r="K10" i="1"/>
  <c r="L10" i="1" s="1"/>
  <c r="R10" i="1" s="1"/>
  <c r="S10" i="1" s="1"/>
  <c r="I21" i="1"/>
  <c r="M21" i="1" s="1"/>
  <c r="I38" i="1"/>
  <c r="J16" i="1"/>
  <c r="P16" i="1" s="1"/>
  <c r="J23" i="1"/>
  <c r="P23" i="1" s="1"/>
  <c r="N49" i="1"/>
  <c r="D37" i="1"/>
  <c r="I37" i="1" s="1"/>
  <c r="I22" i="1"/>
  <c r="M22" i="1" s="1"/>
  <c r="J31" i="1"/>
  <c r="P31" i="1" s="1"/>
  <c r="J34" i="1"/>
  <c r="P34" i="1" s="1"/>
  <c r="I13" i="1"/>
  <c r="I16" i="1"/>
  <c r="J27" i="1"/>
  <c r="P27" i="1" s="1"/>
  <c r="M7" i="1"/>
  <c r="J8" i="1"/>
  <c r="P8" i="1" s="1"/>
  <c r="I8" i="1"/>
  <c r="P7" i="1"/>
  <c r="I30" i="1"/>
  <c r="J30" i="1"/>
  <c r="P30" i="1" s="1"/>
  <c r="J35" i="1"/>
  <c r="P35" i="1" s="1"/>
  <c r="I35" i="1"/>
  <c r="J12" i="1"/>
  <c r="P12" i="1" s="1"/>
  <c r="I12" i="1"/>
  <c r="M19" i="1"/>
  <c r="K19" i="1"/>
  <c r="J33" i="1"/>
  <c r="P33" i="1" s="1"/>
  <c r="I33" i="1"/>
  <c r="J13" i="1"/>
  <c r="P13" i="1" s="1"/>
  <c r="I11" i="1"/>
  <c r="K7" i="1"/>
  <c r="J14" i="1"/>
  <c r="P14" i="1" s="1"/>
  <c r="I14" i="1"/>
  <c r="I18" i="1"/>
  <c r="J20" i="1"/>
  <c r="P20" i="1" s="1"/>
  <c r="I20" i="1"/>
  <c r="I25" i="1"/>
  <c r="M25" i="1" s="1"/>
  <c r="J25" i="1"/>
  <c r="P25" i="1" s="1"/>
  <c r="K32" i="1"/>
  <c r="J44" i="1"/>
  <c r="P44" i="1" s="1"/>
  <c r="I44" i="1"/>
  <c r="Q44" i="1"/>
  <c r="M42" i="1"/>
  <c r="K42" i="1"/>
  <c r="D39" i="1"/>
  <c r="K43" i="1"/>
  <c r="I17" i="1"/>
  <c r="I23" i="1"/>
  <c r="I31" i="1"/>
  <c r="K40" i="1" l="1"/>
  <c r="L40" i="1" s="1"/>
  <c r="R40" i="1" s="1"/>
  <c r="S40" i="1" s="1"/>
  <c r="K27" i="1"/>
  <c r="L27" i="1" s="1"/>
  <c r="R27" i="1" s="1"/>
  <c r="S27" i="1" s="1"/>
  <c r="K24" i="1"/>
  <c r="K21" i="1"/>
  <c r="L21" i="1" s="1"/>
  <c r="R21" i="1" s="1"/>
  <c r="S21" i="1" s="1"/>
  <c r="R9" i="1"/>
  <c r="S9" i="1" s="1"/>
  <c r="R36" i="1"/>
  <c r="S36" i="1" s="1"/>
  <c r="J38" i="1"/>
  <c r="P38" i="1" s="1"/>
  <c r="I28" i="1"/>
  <c r="M28" i="1" s="1"/>
  <c r="Q49" i="1"/>
  <c r="K22" i="1"/>
  <c r="M37" i="1"/>
  <c r="K37" i="1"/>
  <c r="F49" i="1"/>
  <c r="M15" i="1"/>
  <c r="K15" i="1"/>
  <c r="K34" i="1"/>
  <c r="L34" i="1" s="1"/>
  <c r="M34" i="1"/>
  <c r="J28" i="1"/>
  <c r="P28" i="1" s="1"/>
  <c r="J37" i="1"/>
  <c r="P37" i="1" s="1"/>
  <c r="J39" i="1"/>
  <c r="P39" i="1" s="1"/>
  <c r="I39" i="1"/>
  <c r="L32" i="1"/>
  <c r="R32" i="1" s="1"/>
  <c r="S32" i="1" s="1"/>
  <c r="K20" i="1"/>
  <c r="M20" i="1"/>
  <c r="K12" i="1"/>
  <c r="M12" i="1"/>
  <c r="L42" i="1"/>
  <c r="R42" i="1" s="1"/>
  <c r="S42" i="1" s="1"/>
  <c r="L24" i="1"/>
  <c r="R24" i="1" s="1"/>
  <c r="S24" i="1" s="1"/>
  <c r="M11" i="1"/>
  <c r="K11" i="1"/>
  <c r="M18" i="1"/>
  <c r="K18" i="1"/>
  <c r="M38" i="1"/>
  <c r="K38" i="1"/>
  <c r="M35" i="1"/>
  <c r="K35" i="1"/>
  <c r="K8" i="1"/>
  <c r="M8" i="1"/>
  <c r="L43" i="1"/>
  <c r="R43" i="1" s="1"/>
  <c r="S43" i="1" s="1"/>
  <c r="K31" i="1"/>
  <c r="M31" i="1"/>
  <c r="M16" i="1"/>
  <c r="K16" i="1"/>
  <c r="M14" i="1"/>
  <c r="K14" i="1"/>
  <c r="M33" i="1"/>
  <c r="K33" i="1"/>
  <c r="M13" i="1"/>
  <c r="K13" i="1"/>
  <c r="K23" i="1"/>
  <c r="M23" i="1"/>
  <c r="M30" i="1"/>
  <c r="K30" i="1"/>
  <c r="K25" i="1"/>
  <c r="K17" i="1"/>
  <c r="M17" i="1"/>
  <c r="K44" i="1"/>
  <c r="M44" i="1"/>
  <c r="L7" i="1"/>
  <c r="R7" i="1" s="1"/>
  <c r="L19" i="1"/>
  <c r="R19" i="1" s="1"/>
  <c r="S19" i="1" s="1"/>
  <c r="K28" i="1" l="1"/>
  <c r="L28" i="1" s="1"/>
  <c r="R28" i="1" s="1"/>
  <c r="S28" i="1" s="1"/>
  <c r="I49" i="1"/>
  <c r="L22" i="1"/>
  <c r="R22" i="1" s="1"/>
  <c r="S22" i="1" s="1"/>
  <c r="R34" i="1"/>
  <c r="S34" i="1" s="1"/>
  <c r="P49" i="1"/>
  <c r="L37" i="1"/>
  <c r="R37" i="1" s="1"/>
  <c r="S37" i="1" s="1"/>
  <c r="L15" i="1"/>
  <c r="R15" i="1" s="1"/>
  <c r="S15" i="1" s="1"/>
  <c r="S7" i="1"/>
  <c r="M49" i="1"/>
  <c r="L13" i="1"/>
  <c r="R13" i="1" s="1"/>
  <c r="S13" i="1" s="1"/>
  <c r="L11" i="1"/>
  <c r="R11" i="1" s="1"/>
  <c r="S11" i="1" s="1"/>
  <c r="L33" i="1"/>
  <c r="R33" i="1" s="1"/>
  <c r="S33" i="1" s="1"/>
  <c r="L16" i="1"/>
  <c r="R16" i="1" s="1"/>
  <c r="S16" i="1" s="1"/>
  <c r="L8" i="1"/>
  <c r="R8" i="1" s="1"/>
  <c r="S8" i="1" s="1"/>
  <c r="L12" i="1"/>
  <c r="L25" i="1"/>
  <c r="R25" i="1" s="1"/>
  <c r="S25" i="1" s="1"/>
  <c r="L30" i="1"/>
  <c r="R30" i="1" s="1"/>
  <c r="S30" i="1" s="1"/>
  <c r="L14" i="1"/>
  <c r="R14" i="1"/>
  <c r="S14" i="1" s="1"/>
  <c r="L20" i="1"/>
  <c r="R20" i="1" s="1"/>
  <c r="S20" i="1" s="1"/>
  <c r="L35" i="1"/>
  <c r="R35" i="1" s="1"/>
  <c r="S35" i="1" s="1"/>
  <c r="L44" i="1"/>
  <c r="R44" i="1" s="1"/>
  <c r="S44" i="1" s="1"/>
  <c r="L31" i="1"/>
  <c r="R31" i="1" s="1"/>
  <c r="S31" i="1" s="1"/>
  <c r="L38" i="1"/>
  <c r="R38" i="1" s="1"/>
  <c r="S38" i="1" s="1"/>
  <c r="J49" i="1"/>
  <c r="L17" i="1"/>
  <c r="R17" i="1" s="1"/>
  <c r="S17" i="1" s="1"/>
  <c r="L23" i="1"/>
  <c r="R23" i="1" s="1"/>
  <c r="S23" i="1" s="1"/>
  <c r="L18" i="1"/>
  <c r="R18" i="1" s="1"/>
  <c r="S18" i="1" s="1"/>
  <c r="K39" i="1"/>
  <c r="M39" i="1"/>
  <c r="R12" i="1" l="1"/>
  <c r="S12" i="1" s="1"/>
  <c r="L39" i="1"/>
  <c r="L49" i="1" s="1"/>
  <c r="K49" i="1"/>
  <c r="R39" i="1" l="1"/>
  <c r="S39" i="1" s="1"/>
  <c r="S49" i="1" s="1"/>
  <c r="R49" i="1"/>
</calcChain>
</file>

<file path=xl/sharedStrings.xml><?xml version="1.0" encoding="utf-8"?>
<sst xmlns="http://schemas.openxmlformats.org/spreadsheetml/2006/main" count="70" uniqueCount="64">
  <si>
    <t>W</t>
  </si>
  <si>
    <t>H</t>
  </si>
  <si>
    <t>B</t>
  </si>
  <si>
    <t>H1</t>
  </si>
  <si>
    <t>Sr.No.</t>
  </si>
  <si>
    <t>DESCRIPTION</t>
  </si>
  <si>
    <t>WIDTH</t>
  </si>
  <si>
    <t>LENGTH</t>
  </si>
  <si>
    <t>THK</t>
  </si>
  <si>
    <t>QTY</t>
  </si>
  <si>
    <t>SHEAR</t>
  </si>
  <si>
    <t>BEND</t>
  </si>
  <si>
    <t>WEIGHT</t>
  </si>
  <si>
    <t>AREA</t>
  </si>
  <si>
    <t>MAT. COST</t>
  </si>
  <si>
    <t>SCRAP</t>
  </si>
  <si>
    <t>LABOUR</t>
  </si>
  <si>
    <t>WELD</t>
  </si>
  <si>
    <t>HOLE</t>
  </si>
  <si>
    <t>PAINT</t>
  </si>
  <si>
    <t>OTHER</t>
  </si>
  <si>
    <t>TOTAL</t>
  </si>
  <si>
    <t>NET</t>
  </si>
  <si>
    <t>Base</t>
  </si>
  <si>
    <t>Base cover</t>
  </si>
  <si>
    <t>Plinth plates</t>
  </si>
  <si>
    <t>Bottom box sides</t>
  </si>
  <si>
    <t>Height member</t>
  </si>
  <si>
    <t>Indexing L</t>
  </si>
  <si>
    <t>Bottom Cover</t>
  </si>
  <si>
    <t>Front door</t>
  </si>
  <si>
    <t>Suport CH H</t>
  </si>
  <si>
    <t>Suport CH V</t>
  </si>
  <si>
    <t>Middle box sides</t>
  </si>
  <si>
    <t>Rear Z</t>
  </si>
  <si>
    <t>Middle Z</t>
  </si>
  <si>
    <t>Front ch</t>
  </si>
  <si>
    <t>bottom sheet</t>
  </si>
  <si>
    <t>Door</t>
  </si>
  <si>
    <t>Acrylic</t>
  </si>
  <si>
    <t>Upper box sides</t>
  </si>
  <si>
    <t>Top Z</t>
  </si>
  <si>
    <t>Rear cover</t>
  </si>
  <si>
    <t>C plate</t>
  </si>
  <si>
    <t>Stiffeners</t>
  </si>
  <si>
    <t>Filters</t>
  </si>
  <si>
    <t>Hinges</t>
  </si>
  <si>
    <t>Locks</t>
  </si>
  <si>
    <t>Gaskets</t>
  </si>
  <si>
    <t>Cutouts</t>
  </si>
  <si>
    <t>Hardware</t>
  </si>
  <si>
    <t>Assly</t>
  </si>
  <si>
    <t>Packing</t>
  </si>
  <si>
    <t xml:space="preserve">COSTING OF  Three Piece Desk </t>
  </si>
  <si>
    <t>D1 MB</t>
  </si>
  <si>
    <t>D2 LB</t>
  </si>
  <si>
    <t>Lower Box</t>
  </si>
  <si>
    <t>Middle Box</t>
  </si>
  <si>
    <t>Steel</t>
  </si>
  <si>
    <t>Bottom box Z</t>
  </si>
  <si>
    <t>Yellow Mark is SS Top if required</t>
  </si>
  <si>
    <t>Total Ht</t>
  </si>
  <si>
    <t>Lower Box Ht</t>
  </si>
  <si>
    <t>Fan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</si>
</sst>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b/>
      <sz val="6"/>
      <name val="Arial"/>
      <family val="2"/>
    </font>
    <font>
      <sz val="8"/>
      <color rgb="FFFF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B2B2B2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rgb="FF66CC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37">
    <xf numFmtId="0" fontId="0" fillId="0" borderId="0" xfId="0"/>
    <xf numFmtId="0" fontId="2" fillId="0" borderId="0" xfId="1" applyFont="1"/>
    <xf numFmtId="0" fontId="3" fillId="0" borderId="0" xfId="1" applyFont="1"/>
    <xf numFmtId="0" fontId="2" fillId="2" borderId="0" xfId="1" applyFont="1" applyFill="1"/>
    <xf numFmtId="0" fontId="2" fillId="0" borderId="0" xfId="1" applyFont="1" applyAlignment="1">
      <alignment horizontal="center"/>
    </xf>
    <xf numFmtId="9" fontId="2" fillId="0" borderId="0" xfId="1" applyNumberFormat="1" applyFont="1"/>
    <xf numFmtId="0" fontId="2" fillId="0" borderId="1" xfId="1" applyFont="1" applyBorder="1" applyAlignment="1">
      <alignment horizontal="left"/>
    </xf>
    <xf numFmtId="0" fontId="2" fillId="0" borderId="1" xfId="1" applyFont="1" applyBorder="1"/>
    <xf numFmtId="1" fontId="2" fillId="0" borderId="1" xfId="1" applyNumberFormat="1" applyFont="1" applyBorder="1"/>
    <xf numFmtId="1" fontId="2" fillId="0" borderId="0" xfId="1" applyNumberFormat="1" applyFont="1"/>
    <xf numFmtId="0" fontId="2" fillId="2" borderId="1" xfId="1" applyFont="1" applyFill="1" applyBorder="1"/>
    <xf numFmtId="1" fontId="2" fillId="2" borderId="1" xfId="1" applyNumberFormat="1" applyFont="1" applyFill="1" applyBorder="1"/>
    <xf numFmtId="10" fontId="2" fillId="0" borderId="0" xfId="1" applyNumberFormat="1" applyFont="1"/>
    <xf numFmtId="0" fontId="2" fillId="0" borderId="0" xfId="1" applyFont="1" applyAlignment="1">
      <alignment horizontal="right"/>
    </xf>
    <xf numFmtId="0" fontId="2" fillId="0" borderId="0" xfId="1" quotePrefix="1" applyFont="1"/>
    <xf numFmtId="0" fontId="2" fillId="2" borderId="0" xfId="1" applyFont="1" applyFill="1" applyAlignment="1">
      <alignment horizontal="center"/>
    </xf>
    <xf numFmtId="9" fontId="2" fillId="0" borderId="0" xfId="1" applyNumberFormat="1" applyFont="1" applyAlignment="1">
      <alignment horizontal="center"/>
    </xf>
    <xf numFmtId="0" fontId="5" fillId="0" borderId="0" xfId="1" applyFont="1"/>
    <xf numFmtId="0" fontId="6" fillId="0" borderId="0" xfId="1" applyFont="1"/>
    <xf numFmtId="0" fontId="2" fillId="3" borderId="1" xfId="1" applyFont="1" applyFill="1" applyBorder="1"/>
    <xf numFmtId="0" fontId="2" fillId="3" borderId="0" xfId="1" applyFont="1" applyFill="1" applyAlignment="1">
      <alignment horizontal="center"/>
    </xf>
    <xf numFmtId="0" fontId="3" fillId="4" borderId="0" xfId="1" applyFont="1" applyFill="1" applyAlignment="1">
      <alignment horizontal="center"/>
    </xf>
    <xf numFmtId="0" fontId="2" fillId="4" borderId="1" xfId="1" applyFont="1" applyFill="1" applyBorder="1"/>
    <xf numFmtId="0" fontId="2" fillId="5" borderId="0" xfId="1" applyFont="1" applyFill="1" applyAlignment="1">
      <alignment horizontal="center"/>
    </xf>
    <xf numFmtId="0" fontId="2" fillId="5" borderId="1" xfId="1" applyFont="1" applyFill="1" applyBorder="1"/>
    <xf numFmtId="0" fontId="2" fillId="6" borderId="0" xfId="1" applyFont="1" applyFill="1" applyAlignment="1">
      <alignment horizontal="center"/>
    </xf>
    <xf numFmtId="0" fontId="2" fillId="6" borderId="1" xfId="1" applyFont="1" applyFill="1" applyBorder="1"/>
    <xf numFmtId="0" fontId="3" fillId="7" borderId="0" xfId="1" applyFont="1" applyFill="1" applyAlignment="1">
      <alignment horizontal="center"/>
    </xf>
    <xf numFmtId="0" fontId="2" fillId="7" borderId="1" xfId="1" applyFont="1" applyFill="1" applyBorder="1"/>
    <xf numFmtId="0" fontId="2" fillId="8" borderId="0" xfId="1" applyFont="1" applyFill="1" applyAlignment="1">
      <alignment horizontal="center"/>
    </xf>
    <xf numFmtId="0" fontId="2" fillId="8" borderId="1" xfId="1" applyFont="1" applyFill="1" applyBorder="1"/>
    <xf numFmtId="0" fontId="2" fillId="0" borderId="0" xfId="1" applyFont="1" applyFill="1" applyBorder="1"/>
    <xf numFmtId="0" fontId="1" fillId="0" borderId="0" xfId="2" applyFill="1" applyBorder="1"/>
    <xf numFmtId="164" fontId="1" fillId="0" borderId="0" xfId="2" applyNumberFormat="1" applyFill="1" applyBorder="1"/>
    <xf numFmtId="0" fontId="4" fillId="0" borderId="0" xfId="2" applyFont="1" applyFill="1" applyBorder="1"/>
    <xf numFmtId="0" fontId="2" fillId="0" borderId="0" xfId="0" applyFont="1" applyFill="1" applyBorder="1"/>
    <xf numFmtId="0" fontId="3" fillId="0" borderId="0" xfId="0" applyFont="1" applyFill="1" applyBorder="1"/>
  </cellXfs>
  <cellStyles count="3">
    <cellStyle name="Normal" xfId="0" builtinId="0"/>
    <cellStyle name="Normal 2 2" xfId="1" xr:uid="{4BDF8563-CF9D-4B75-9561-DF8BF0E6E879}"/>
    <cellStyle name="Normal 2_ITW Signode" xfId="2" xr:uid="{12409B24-4227-4CB3-835A-394F8E793A8E}"/>
  </cellStyles>
  <dxfs count="0"/>
  <tableStyles count="0" defaultTableStyle="TableStyleMedium2" defaultPivotStyle="PivotStyleLight16"/>
  <colors>
    <mruColors>
      <color rgb="FF66CCFF"/>
      <color rgb="FFFF9966"/>
      <color rgb="FFFFCCFF"/>
      <color rgb="FFCCFF33"/>
      <color rgb="FFEAEAEA"/>
      <color rgb="FFF8F8F8"/>
      <color rgb="FFB2B2B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066FD-2A15-4713-8A27-8B1BC3B85941}">
  <dimension ref="A1:X436"/>
  <sheetViews>
    <sheetView tabSelected="1" workbookViewId="0">
      <pane xSplit="2" ySplit="6" topLeftCell="C7" activePane="bottomRight" state="frozen"/>
      <selection activeCell="Q50" sqref="Q50"/>
      <selection pane="topRight" activeCell="Q50" sqref="Q50"/>
      <selection pane="bottomLeft" activeCell="Q50" sqref="Q50"/>
      <selection pane="bottomRight" activeCell="V51" sqref="V51"/>
    </sheetView>
  </sheetViews>
  <sheetFormatPr defaultColWidth="9.109375" defaultRowHeight="10.199999999999999" x14ac:dyDescent="0.2"/>
  <cols>
    <col min="1" max="1" width="3.109375" style="1" customWidth="1"/>
    <col min="2" max="2" width="12.109375" style="1" bestFit="1" customWidth="1"/>
    <col min="3" max="3" width="7.77734375" style="1" customWidth="1"/>
    <col min="4" max="4" width="6.77734375" style="1" customWidth="1"/>
    <col min="5" max="5" width="7" style="1" customWidth="1"/>
    <col min="6" max="6" width="4" style="1" customWidth="1"/>
    <col min="7" max="8" width="4.5546875" style="1" customWidth="1"/>
    <col min="9" max="9" width="5.33203125" style="1" customWidth="1"/>
    <col min="10" max="10" width="6.44140625" style="1" customWidth="1"/>
    <col min="11" max="11" width="7.109375" style="1" customWidth="1"/>
    <col min="12" max="12" width="6.5546875" style="1" customWidth="1"/>
    <col min="13" max="13" width="4.88671875" style="1" customWidth="1"/>
    <col min="14" max="14" width="4.5546875" style="1" customWidth="1"/>
    <col min="15" max="15" width="4.6640625" style="1" customWidth="1"/>
    <col min="16" max="16" width="5" style="1" customWidth="1"/>
    <col min="17" max="17" width="5.109375" style="1" customWidth="1"/>
    <col min="18" max="18" width="6.33203125" style="1" customWidth="1"/>
    <col min="19" max="19" width="6.44140625" style="1" customWidth="1"/>
    <col min="20" max="20" width="5.88671875" style="1" customWidth="1"/>
    <col min="21" max="16384" width="9.109375" style="1"/>
  </cols>
  <sheetData>
    <row r="1" spans="1:24" x14ac:dyDescent="0.2">
      <c r="C1" s="2" t="s">
        <v>53</v>
      </c>
      <c r="D1" s="2"/>
      <c r="E1" s="2"/>
      <c r="I1" s="18" t="s">
        <v>58</v>
      </c>
      <c r="J1" s="18">
        <v>75</v>
      </c>
      <c r="R1" s="1">
        <f>1/S5</f>
        <v>1.4285714285714286</v>
      </c>
    </row>
    <row r="2" spans="1:24" x14ac:dyDescent="0.2">
      <c r="C2" s="2"/>
      <c r="D2" s="2"/>
      <c r="E2" s="2"/>
      <c r="K2" s="3" t="s">
        <v>60</v>
      </c>
      <c r="L2" s="3"/>
      <c r="M2" s="3"/>
      <c r="N2" s="3"/>
    </row>
    <row r="3" spans="1:24" x14ac:dyDescent="0.2">
      <c r="C3" s="17" t="s">
        <v>57</v>
      </c>
      <c r="D3" s="17" t="s">
        <v>56</v>
      </c>
      <c r="E3" s="2" t="s">
        <v>61</v>
      </c>
      <c r="H3" s="1" t="s">
        <v>62</v>
      </c>
      <c r="K3" s="4">
        <v>250</v>
      </c>
      <c r="M3" s="4">
        <v>50</v>
      </c>
      <c r="N3" s="4">
        <v>300</v>
      </c>
      <c r="P3" s="4">
        <v>45</v>
      </c>
    </row>
    <row r="4" spans="1:24" x14ac:dyDescent="0.2">
      <c r="B4" s="25">
        <v>800</v>
      </c>
      <c r="C4" s="23">
        <v>830</v>
      </c>
      <c r="D4" s="21">
        <v>430</v>
      </c>
      <c r="E4" s="29">
        <f>655+H4</f>
        <v>1330</v>
      </c>
      <c r="F4" s="20">
        <v>100</v>
      </c>
      <c r="G4" s="4">
        <v>1</v>
      </c>
      <c r="H4" s="27">
        <v>675</v>
      </c>
      <c r="I4" s="4"/>
      <c r="J4" s="4"/>
      <c r="K4" s="15">
        <v>75</v>
      </c>
      <c r="L4" s="15"/>
      <c r="M4" s="15">
        <v>20</v>
      </c>
      <c r="N4" s="15">
        <v>100</v>
      </c>
      <c r="O4" s="15"/>
      <c r="P4" s="15">
        <v>13</v>
      </c>
      <c r="Q4" s="4"/>
      <c r="R4" s="4"/>
      <c r="S4" s="13">
        <f>1/S5</f>
        <v>1.4285714285714286</v>
      </c>
    </row>
    <row r="5" spans="1:24" x14ac:dyDescent="0.2">
      <c r="B5" s="4" t="s">
        <v>0</v>
      </c>
      <c r="C5" s="4" t="s">
        <v>54</v>
      </c>
      <c r="D5" s="4" t="s">
        <v>55</v>
      </c>
      <c r="E5" s="4" t="s">
        <v>1</v>
      </c>
      <c r="F5" s="4" t="s">
        <v>2</v>
      </c>
      <c r="G5" s="4"/>
      <c r="H5" s="4" t="s">
        <v>3</v>
      </c>
      <c r="I5" s="4"/>
      <c r="J5" s="4"/>
      <c r="K5" s="4">
        <f>J1</f>
        <v>75</v>
      </c>
      <c r="L5" s="16">
        <v>0.1</v>
      </c>
      <c r="M5" s="4">
        <v>20</v>
      </c>
      <c r="N5" s="4">
        <v>100</v>
      </c>
      <c r="O5" s="4"/>
      <c r="P5" s="4">
        <v>13</v>
      </c>
      <c r="Q5" s="4"/>
      <c r="R5" s="4"/>
      <c r="S5" s="13">
        <v>0.7</v>
      </c>
    </row>
    <row r="6" spans="1:24" x14ac:dyDescent="0.2">
      <c r="A6" s="6" t="s">
        <v>4</v>
      </c>
      <c r="B6" s="6" t="s">
        <v>5</v>
      </c>
      <c r="C6" s="6" t="s">
        <v>6</v>
      </c>
      <c r="D6" s="6" t="s">
        <v>7</v>
      </c>
      <c r="E6" s="6" t="s">
        <v>8</v>
      </c>
      <c r="F6" s="6" t="s">
        <v>9</v>
      </c>
      <c r="G6" s="6" t="s">
        <v>10</v>
      </c>
      <c r="H6" s="6" t="s">
        <v>11</v>
      </c>
      <c r="I6" s="6" t="s">
        <v>12</v>
      </c>
      <c r="J6" s="6" t="s">
        <v>13</v>
      </c>
      <c r="K6" s="6" t="s">
        <v>14</v>
      </c>
      <c r="L6" s="6" t="s">
        <v>15</v>
      </c>
      <c r="M6" s="6" t="s">
        <v>16</v>
      </c>
      <c r="N6" s="6" t="s">
        <v>17</v>
      </c>
      <c r="O6" s="6" t="s">
        <v>18</v>
      </c>
      <c r="P6" s="6" t="s">
        <v>19</v>
      </c>
      <c r="Q6" s="6" t="s">
        <v>20</v>
      </c>
      <c r="R6" s="6" t="s">
        <v>21</v>
      </c>
      <c r="S6" s="6" t="s">
        <v>22</v>
      </c>
    </row>
    <row r="7" spans="1:24" x14ac:dyDescent="0.2">
      <c r="A7" s="7">
        <v>1</v>
      </c>
      <c r="B7" s="7" t="s">
        <v>23</v>
      </c>
      <c r="C7" s="19">
        <f>F4+90-2.65*4</f>
        <v>179.4</v>
      </c>
      <c r="D7" s="22">
        <f>D4-29*2+120*2-2.65*4</f>
        <v>601.4</v>
      </c>
      <c r="E7" s="7">
        <v>3</v>
      </c>
      <c r="F7" s="7">
        <f>G4*2</f>
        <v>2</v>
      </c>
      <c r="G7" s="7"/>
      <c r="H7" s="7"/>
      <c r="I7" s="7">
        <f t="shared" ref="I7:I44" si="0">C7/1000*D7/1000*E7*F7*8</f>
        <v>5.1787756800000002</v>
      </c>
      <c r="J7" s="7">
        <f>C7/1000*D7/1000*2*10.76*F7</f>
        <v>4.6436355263999998</v>
      </c>
      <c r="K7" s="7">
        <f>I7*K$5</f>
        <v>388.40817600000003</v>
      </c>
      <c r="L7" s="7">
        <f>K7*L$5</f>
        <v>38.840817600000008</v>
      </c>
      <c r="M7" s="8">
        <f>(I7+I7*10%)*M$5</f>
        <v>113.93306496000001</v>
      </c>
      <c r="N7" s="8">
        <f>50*F7</f>
        <v>100</v>
      </c>
      <c r="O7" s="8">
        <v>0</v>
      </c>
      <c r="P7" s="8">
        <f>J7*P$5</f>
        <v>60.367261843199998</v>
      </c>
      <c r="Q7" s="8">
        <v>0</v>
      </c>
      <c r="R7" s="8">
        <f t="shared" ref="R7:R48" si="1">K7+L7+M7+N7+O7+P7+Q7</f>
        <v>701.54932040320011</v>
      </c>
      <c r="S7" s="8">
        <f t="shared" ref="S7:S48" si="2">R7/S$5</f>
        <v>1002.2133148617145</v>
      </c>
    </row>
    <row r="8" spans="1:24" x14ac:dyDescent="0.2">
      <c r="A8" s="7">
        <f t="shared" ref="A8:A43" si="3">A7+1</f>
        <v>2</v>
      </c>
      <c r="B8" s="7" t="s">
        <v>24</v>
      </c>
      <c r="C8" s="19">
        <f>F4-5+44</f>
        <v>139</v>
      </c>
      <c r="D8" s="26">
        <f>B4-121*2</f>
        <v>558</v>
      </c>
      <c r="E8" s="7">
        <v>2</v>
      </c>
      <c r="F8" s="7">
        <f>F7</f>
        <v>2</v>
      </c>
      <c r="G8" s="7"/>
      <c r="H8" s="7"/>
      <c r="I8" s="7">
        <f t="shared" si="0"/>
        <v>2.4819840000000002</v>
      </c>
      <c r="J8" s="7">
        <f t="shared" ref="J8:J44" si="4">C8/1000*D8/1000*2*10.76*F8</f>
        <v>3.33826848</v>
      </c>
      <c r="K8" s="7">
        <f t="shared" ref="K8:K38" si="5">I8*K$5</f>
        <v>186.14880000000002</v>
      </c>
      <c r="L8" s="7">
        <f t="shared" ref="L8:L44" si="6">K8*L$5</f>
        <v>18.614880000000003</v>
      </c>
      <c r="M8" s="8">
        <f>(I8+I8*10%)*M$5</f>
        <v>54.603648000000007</v>
      </c>
      <c r="N8" s="8">
        <v>0</v>
      </c>
      <c r="O8" s="8">
        <v>0</v>
      </c>
      <c r="P8" s="8">
        <f t="shared" ref="P8:P44" si="7">J8*P$5</f>
        <v>43.397490239999996</v>
      </c>
      <c r="Q8" s="8">
        <v>0</v>
      </c>
      <c r="R8" s="8">
        <f t="shared" si="1"/>
        <v>302.76481824000007</v>
      </c>
      <c r="S8" s="8">
        <f t="shared" si="2"/>
        <v>432.52116891428585</v>
      </c>
    </row>
    <row r="9" spans="1:24" x14ac:dyDescent="0.2">
      <c r="A9" s="7">
        <f t="shared" si="3"/>
        <v>3</v>
      </c>
      <c r="B9" s="7" t="s">
        <v>25</v>
      </c>
      <c r="C9" s="19">
        <f>F4-15</f>
        <v>85</v>
      </c>
      <c r="D9" s="7">
        <v>85</v>
      </c>
      <c r="E9" s="7">
        <v>3</v>
      </c>
      <c r="F9" s="7">
        <f>F7*2</f>
        <v>4</v>
      </c>
      <c r="G9" s="7"/>
      <c r="H9" s="7"/>
      <c r="I9" s="7">
        <f t="shared" si="0"/>
        <v>0.69359999999999999</v>
      </c>
      <c r="J9" s="7">
        <f t="shared" si="4"/>
        <v>0.62192800000000004</v>
      </c>
      <c r="K9" s="7">
        <f t="shared" si="5"/>
        <v>52.019999999999996</v>
      </c>
      <c r="L9" s="7">
        <f t="shared" si="6"/>
        <v>5.202</v>
      </c>
      <c r="M9" s="8">
        <f>(I9+I9*10%)*M$5</f>
        <v>15.2592</v>
      </c>
      <c r="N9" s="8">
        <v>0</v>
      </c>
      <c r="O9" s="8">
        <v>0</v>
      </c>
      <c r="P9" s="8">
        <f t="shared" si="7"/>
        <v>8.0850640000000009</v>
      </c>
      <c r="Q9" s="8">
        <v>0</v>
      </c>
      <c r="R9" s="8">
        <f t="shared" si="1"/>
        <v>80.566264000000004</v>
      </c>
      <c r="S9" s="8">
        <f t="shared" si="2"/>
        <v>115.09466285714286</v>
      </c>
      <c r="T9" s="9"/>
    </row>
    <row r="10" spans="1:24" x14ac:dyDescent="0.2">
      <c r="A10" s="7">
        <f t="shared" si="3"/>
        <v>4</v>
      </c>
      <c r="B10" s="7"/>
      <c r="C10" s="7"/>
      <c r="D10" s="7"/>
      <c r="E10" s="7"/>
      <c r="F10" s="7"/>
      <c r="G10" s="7"/>
      <c r="H10" s="7"/>
      <c r="I10" s="7">
        <f t="shared" si="0"/>
        <v>0</v>
      </c>
      <c r="J10" s="7">
        <f t="shared" si="4"/>
        <v>0</v>
      </c>
      <c r="K10" s="7">
        <f t="shared" si="5"/>
        <v>0</v>
      </c>
      <c r="L10" s="7">
        <f t="shared" si="6"/>
        <v>0</v>
      </c>
      <c r="M10" s="8">
        <f>(I10+I10*10%)*M$5</f>
        <v>0</v>
      </c>
      <c r="N10" s="8">
        <v>0</v>
      </c>
      <c r="O10" s="8">
        <v>0</v>
      </c>
      <c r="P10" s="8">
        <f t="shared" si="7"/>
        <v>0</v>
      </c>
      <c r="Q10" s="8">
        <v>0</v>
      </c>
      <c r="R10" s="8">
        <f t="shared" si="1"/>
        <v>0</v>
      </c>
      <c r="S10" s="8">
        <f t="shared" si="2"/>
        <v>0</v>
      </c>
      <c r="T10" s="9"/>
    </row>
    <row r="11" spans="1:24" x14ac:dyDescent="0.2">
      <c r="A11" s="7">
        <f t="shared" si="3"/>
        <v>5</v>
      </c>
      <c r="B11" s="7" t="s">
        <v>26</v>
      </c>
      <c r="C11" s="22">
        <f>D4-50+43+43+48</f>
        <v>514</v>
      </c>
      <c r="D11" s="7">
        <f>H4+43+43</f>
        <v>761</v>
      </c>
      <c r="E11" s="7">
        <v>2</v>
      </c>
      <c r="F11" s="7">
        <f>G4*2</f>
        <v>2</v>
      </c>
      <c r="G11" s="7"/>
      <c r="H11" s="7"/>
      <c r="I11" s="7">
        <f t="shared" si="0"/>
        <v>12.516928</v>
      </c>
      <c r="J11" s="7">
        <f t="shared" si="4"/>
        <v>16.835268159999998</v>
      </c>
      <c r="K11" s="7">
        <f t="shared" si="5"/>
        <v>938.76959999999997</v>
      </c>
      <c r="L11" s="7">
        <f t="shared" si="6"/>
        <v>93.876959999999997</v>
      </c>
      <c r="M11" s="8">
        <f>(I11+I11*10%)*M$5</f>
        <v>275.37241600000004</v>
      </c>
      <c r="N11" s="8">
        <f>150*F11</f>
        <v>300</v>
      </c>
      <c r="O11" s="8">
        <v>0</v>
      </c>
      <c r="P11" s="8">
        <f t="shared" si="7"/>
        <v>218.85848607999998</v>
      </c>
      <c r="Q11" s="8">
        <v>0</v>
      </c>
      <c r="R11" s="8">
        <f t="shared" si="1"/>
        <v>1826.8774620799998</v>
      </c>
      <c r="S11" s="8">
        <f t="shared" si="2"/>
        <v>2609.8249458285713</v>
      </c>
    </row>
    <row r="12" spans="1:24" x14ac:dyDescent="0.2">
      <c r="A12" s="7">
        <f t="shared" si="3"/>
        <v>6</v>
      </c>
      <c r="B12" s="7" t="s">
        <v>59</v>
      </c>
      <c r="C12" s="7">
        <f>25+43+43</f>
        <v>111</v>
      </c>
      <c r="D12" s="26">
        <f>B4-43-43</f>
        <v>714</v>
      </c>
      <c r="E12" s="7">
        <v>2</v>
      </c>
      <c r="F12" s="7">
        <f>F11*2</f>
        <v>4</v>
      </c>
      <c r="G12" s="7"/>
      <c r="H12" s="7"/>
      <c r="I12" s="7">
        <f t="shared" si="0"/>
        <v>5.0722560000000003</v>
      </c>
      <c r="J12" s="7">
        <f t="shared" si="4"/>
        <v>6.8221843199999999</v>
      </c>
      <c r="K12" s="7">
        <f t="shared" si="5"/>
        <v>380.41920000000005</v>
      </c>
      <c r="L12" s="7">
        <f t="shared" si="6"/>
        <v>38.041920000000005</v>
      </c>
      <c r="M12" s="8">
        <f>(I12+I12*10%)*M$5</f>
        <v>111.58963200000001</v>
      </c>
      <c r="N12" s="8">
        <v>0</v>
      </c>
      <c r="O12" s="8">
        <v>0</v>
      </c>
      <c r="P12" s="8">
        <f t="shared" si="7"/>
        <v>88.688396159999996</v>
      </c>
      <c r="Q12" s="8">
        <v>0</v>
      </c>
      <c r="R12" s="8">
        <f t="shared" si="1"/>
        <v>618.73914816000013</v>
      </c>
      <c r="S12" s="8">
        <f t="shared" si="2"/>
        <v>883.91306880000025</v>
      </c>
      <c r="X12" s="1">
        <f>1330-655</f>
        <v>675</v>
      </c>
    </row>
    <row r="13" spans="1:24" x14ac:dyDescent="0.2">
      <c r="A13" s="7">
        <f t="shared" si="3"/>
        <v>7</v>
      </c>
      <c r="B13" s="7" t="s">
        <v>27</v>
      </c>
      <c r="C13" s="7">
        <f>26*2+86-1.75*4</f>
        <v>131</v>
      </c>
      <c r="D13" s="28">
        <f>H4-43*2</f>
        <v>589</v>
      </c>
      <c r="E13" s="7">
        <v>2</v>
      </c>
      <c r="F13" s="7">
        <f>F11</f>
        <v>2</v>
      </c>
      <c r="G13" s="7"/>
      <c r="H13" s="7"/>
      <c r="I13" s="7">
        <f>C13/1000*D13/1000*E13*F13*8</f>
        <v>2.4690880000000002</v>
      </c>
      <c r="J13" s="7">
        <f>C13/1000*D13/1000*2*10.76*F13</f>
        <v>3.3209233600000001</v>
      </c>
      <c r="K13" s="7">
        <f>I13*K$5</f>
        <v>185.1816</v>
      </c>
      <c r="L13" s="7">
        <f t="shared" si="6"/>
        <v>18.518160000000002</v>
      </c>
      <c r="M13" s="8">
        <f>(I13+I13*10%)*M$5</f>
        <v>54.319935999999998</v>
      </c>
      <c r="N13" s="8">
        <v>0</v>
      </c>
      <c r="O13" s="8">
        <v>0</v>
      </c>
      <c r="P13" s="8">
        <f t="shared" si="7"/>
        <v>43.172003680000003</v>
      </c>
      <c r="Q13" s="8">
        <v>0</v>
      </c>
      <c r="R13" s="8">
        <f>K13+L13+M13+N13+O13+P13+Q13</f>
        <v>301.19169968</v>
      </c>
      <c r="S13" s="8">
        <f t="shared" si="2"/>
        <v>430.27385668571429</v>
      </c>
    </row>
    <row r="14" spans="1:24" x14ac:dyDescent="0.2">
      <c r="A14" s="7">
        <f t="shared" si="3"/>
        <v>8</v>
      </c>
      <c r="B14" s="7" t="s">
        <v>28</v>
      </c>
      <c r="C14" s="7">
        <v>53</v>
      </c>
      <c r="D14" s="28">
        <f>H4</f>
        <v>675</v>
      </c>
      <c r="E14" s="7">
        <v>2</v>
      </c>
      <c r="F14" s="7">
        <f>F11*2</f>
        <v>4</v>
      </c>
      <c r="G14" s="7"/>
      <c r="H14" s="7"/>
      <c r="I14" s="7">
        <f t="shared" si="0"/>
        <v>2.2896000000000001</v>
      </c>
      <c r="J14" s="7">
        <f t="shared" si="4"/>
        <v>3.0795120000000002</v>
      </c>
      <c r="K14" s="7">
        <f t="shared" si="5"/>
        <v>171.72</v>
      </c>
      <c r="L14" s="7">
        <f t="shared" si="6"/>
        <v>17.172000000000001</v>
      </c>
      <c r="M14" s="8">
        <f>(I14+I14*10%)*M$5</f>
        <v>50.371200000000002</v>
      </c>
      <c r="N14" s="8">
        <v>0</v>
      </c>
      <c r="O14" s="8">
        <v>0</v>
      </c>
      <c r="P14" s="8">
        <f t="shared" si="7"/>
        <v>40.033656000000001</v>
      </c>
      <c r="Q14" s="8">
        <v>0</v>
      </c>
      <c r="R14" s="8">
        <f t="shared" si="1"/>
        <v>279.29685599999999</v>
      </c>
      <c r="S14" s="8">
        <f t="shared" si="2"/>
        <v>398.99550857142856</v>
      </c>
    </row>
    <row r="15" spans="1:24" x14ac:dyDescent="0.2">
      <c r="A15" s="7">
        <f t="shared" si="3"/>
        <v>9</v>
      </c>
      <c r="B15" s="7" t="s">
        <v>29</v>
      </c>
      <c r="C15" s="7">
        <f>B4/2-100</f>
        <v>300</v>
      </c>
      <c r="D15" s="22">
        <f>D4-29*2-100</f>
        <v>272</v>
      </c>
      <c r="E15" s="7">
        <v>2</v>
      </c>
      <c r="F15" s="7">
        <f>F11</f>
        <v>2</v>
      </c>
      <c r="G15" s="7"/>
      <c r="H15" s="7"/>
      <c r="I15" s="7">
        <f t="shared" si="0"/>
        <v>2.6111999999999997</v>
      </c>
      <c r="J15" s="7">
        <f t="shared" si="4"/>
        <v>3.5120639999999996</v>
      </c>
      <c r="K15" s="7">
        <f t="shared" si="5"/>
        <v>195.83999999999997</v>
      </c>
      <c r="L15" s="7">
        <f t="shared" si="6"/>
        <v>19.584</v>
      </c>
      <c r="M15" s="8">
        <f>(I15+I15*10%)*M$5</f>
        <v>57.446399999999997</v>
      </c>
      <c r="N15" s="8">
        <v>0</v>
      </c>
      <c r="O15" s="8">
        <v>0</v>
      </c>
      <c r="P15" s="8">
        <f t="shared" si="7"/>
        <v>45.656831999999994</v>
      </c>
      <c r="Q15" s="8">
        <v>0</v>
      </c>
      <c r="R15" s="8">
        <f t="shared" si="1"/>
        <v>318.52723199999997</v>
      </c>
      <c r="S15" s="8">
        <f t="shared" si="2"/>
        <v>455.03890285714283</v>
      </c>
    </row>
    <row r="16" spans="1:24" x14ac:dyDescent="0.2">
      <c r="A16" s="7">
        <f t="shared" si="3"/>
        <v>10</v>
      </c>
      <c r="B16" s="7" t="s">
        <v>30</v>
      </c>
      <c r="C16" s="26">
        <f>B4/2+50</f>
        <v>450</v>
      </c>
      <c r="D16" s="28">
        <f>H4+40</f>
        <v>715</v>
      </c>
      <c r="E16" s="7">
        <v>2</v>
      </c>
      <c r="F16" s="7">
        <f>F11</f>
        <v>2</v>
      </c>
      <c r="G16" s="7"/>
      <c r="H16" s="7"/>
      <c r="I16" s="7">
        <f t="shared" si="0"/>
        <v>10.295999999999999</v>
      </c>
      <c r="J16" s="7">
        <f t="shared" si="4"/>
        <v>13.84812</v>
      </c>
      <c r="K16" s="7">
        <f t="shared" si="5"/>
        <v>772.19999999999993</v>
      </c>
      <c r="L16" s="7">
        <f t="shared" si="6"/>
        <v>77.22</v>
      </c>
      <c r="M16" s="8">
        <f>(I16+I16*10%)*M$5</f>
        <v>226.512</v>
      </c>
      <c r="N16" s="8">
        <f>F16*100</f>
        <v>200</v>
      </c>
      <c r="O16" s="8">
        <v>0</v>
      </c>
      <c r="P16" s="8">
        <f t="shared" si="7"/>
        <v>180.02555999999998</v>
      </c>
      <c r="Q16" s="8">
        <v>0</v>
      </c>
      <c r="R16" s="8">
        <f t="shared" si="1"/>
        <v>1455.9575600000001</v>
      </c>
      <c r="S16" s="8">
        <f t="shared" si="2"/>
        <v>2079.9393714285716</v>
      </c>
    </row>
    <row r="17" spans="1:20" x14ac:dyDescent="0.2">
      <c r="A17" s="7">
        <f t="shared" si="3"/>
        <v>11</v>
      </c>
      <c r="B17" s="7" t="s">
        <v>31</v>
      </c>
      <c r="C17" s="7">
        <v>69</v>
      </c>
      <c r="D17" s="26">
        <f>(B4/2)-100</f>
        <v>300</v>
      </c>
      <c r="E17" s="7">
        <v>1.6</v>
      </c>
      <c r="F17" s="7">
        <f>F16*2</f>
        <v>4</v>
      </c>
      <c r="G17" s="7"/>
      <c r="H17" s="7"/>
      <c r="I17" s="7">
        <f t="shared" si="0"/>
        <v>1.0598400000000001</v>
      </c>
      <c r="J17" s="7">
        <f t="shared" si="4"/>
        <v>1.7818560000000003</v>
      </c>
      <c r="K17" s="7">
        <f t="shared" si="5"/>
        <v>79.488000000000014</v>
      </c>
      <c r="L17" s="7">
        <f t="shared" si="6"/>
        <v>7.9488000000000021</v>
      </c>
      <c r="M17" s="8">
        <f>(I17+I17*10%)*M$5</f>
        <v>23.316480000000006</v>
      </c>
      <c r="N17" s="8">
        <v>0</v>
      </c>
      <c r="O17" s="8">
        <v>0</v>
      </c>
      <c r="P17" s="8">
        <f t="shared" si="7"/>
        <v>23.164128000000005</v>
      </c>
      <c r="Q17" s="8">
        <v>0</v>
      </c>
      <c r="R17" s="8">
        <f t="shared" si="1"/>
        <v>133.91740800000002</v>
      </c>
      <c r="S17" s="8">
        <f t="shared" si="2"/>
        <v>191.31058285714289</v>
      </c>
    </row>
    <row r="18" spans="1:20" x14ac:dyDescent="0.2">
      <c r="A18" s="7">
        <f t="shared" si="3"/>
        <v>12</v>
      </c>
      <c r="B18" s="7" t="s">
        <v>32</v>
      </c>
      <c r="C18" s="7">
        <v>69</v>
      </c>
      <c r="D18" s="28">
        <f>H4-100</f>
        <v>575</v>
      </c>
      <c r="E18" s="7">
        <v>1.6</v>
      </c>
      <c r="F18" s="7">
        <f>F17</f>
        <v>4</v>
      </c>
      <c r="G18" s="7"/>
      <c r="H18" s="7"/>
      <c r="I18" s="7">
        <f t="shared" si="0"/>
        <v>2.0313600000000003</v>
      </c>
      <c r="J18" s="7">
        <f t="shared" si="4"/>
        <v>3.4152240000000003</v>
      </c>
      <c r="K18" s="7">
        <f t="shared" si="5"/>
        <v>152.35200000000003</v>
      </c>
      <c r="L18" s="7">
        <f t="shared" si="6"/>
        <v>15.235200000000004</v>
      </c>
      <c r="M18" s="8">
        <f>(I18+I18*10%)*M$5</f>
        <v>44.689920000000008</v>
      </c>
      <c r="N18" s="8">
        <v>0</v>
      </c>
      <c r="O18" s="8">
        <v>0</v>
      </c>
      <c r="P18" s="8">
        <f t="shared" si="7"/>
        <v>44.397912000000005</v>
      </c>
      <c r="Q18" s="8">
        <v>0</v>
      </c>
      <c r="R18" s="8">
        <f t="shared" si="1"/>
        <v>256.67503200000004</v>
      </c>
      <c r="S18" s="8">
        <f t="shared" si="2"/>
        <v>366.67861714285721</v>
      </c>
    </row>
    <row r="19" spans="1:20" x14ac:dyDescent="0.2">
      <c r="A19" s="7">
        <f t="shared" si="3"/>
        <v>13</v>
      </c>
      <c r="B19" s="7"/>
      <c r="C19" s="7"/>
      <c r="D19" s="7"/>
      <c r="E19" s="7"/>
      <c r="F19" s="7"/>
      <c r="G19" s="7"/>
      <c r="H19" s="7"/>
      <c r="I19" s="7">
        <f t="shared" si="0"/>
        <v>0</v>
      </c>
      <c r="J19" s="7">
        <f t="shared" si="4"/>
        <v>0</v>
      </c>
      <c r="K19" s="7">
        <f t="shared" si="5"/>
        <v>0</v>
      </c>
      <c r="L19" s="7">
        <f t="shared" si="6"/>
        <v>0</v>
      </c>
      <c r="M19" s="8">
        <f>(I19+I19*10%)*M$5</f>
        <v>0</v>
      </c>
      <c r="N19" s="8">
        <v>0</v>
      </c>
      <c r="O19" s="8">
        <v>0</v>
      </c>
      <c r="P19" s="8">
        <f t="shared" si="7"/>
        <v>0</v>
      </c>
      <c r="Q19" s="8">
        <v>0</v>
      </c>
      <c r="R19" s="8">
        <f t="shared" si="1"/>
        <v>0</v>
      </c>
      <c r="S19" s="8">
        <f t="shared" si="2"/>
        <v>0</v>
      </c>
      <c r="T19" s="9"/>
    </row>
    <row r="20" spans="1:20" x14ac:dyDescent="0.2">
      <c r="A20" s="7">
        <f t="shared" si="3"/>
        <v>14</v>
      </c>
      <c r="B20" s="7" t="s">
        <v>33</v>
      </c>
      <c r="C20" s="7">
        <f>235+43+43+25</f>
        <v>346</v>
      </c>
      <c r="D20" s="24">
        <f>C4+43+25</f>
        <v>898</v>
      </c>
      <c r="E20" s="7">
        <v>2</v>
      </c>
      <c r="F20" s="7">
        <f>G4*2</f>
        <v>2</v>
      </c>
      <c r="G20" s="7"/>
      <c r="H20" s="7"/>
      <c r="I20" s="7">
        <f t="shared" si="0"/>
        <v>9.9426559999999995</v>
      </c>
      <c r="J20" s="7">
        <f t="shared" si="4"/>
        <v>13.372872319999999</v>
      </c>
      <c r="K20" s="7">
        <f t="shared" si="5"/>
        <v>745.69920000000002</v>
      </c>
      <c r="L20" s="7">
        <f t="shared" si="6"/>
        <v>74.56992000000001</v>
      </c>
      <c r="M20" s="8">
        <f>(I20+I20*10%)*M$5</f>
        <v>218.73843199999999</v>
      </c>
      <c r="N20" s="8">
        <f>150*F20</f>
        <v>300</v>
      </c>
      <c r="O20" s="8">
        <v>0</v>
      </c>
      <c r="P20" s="8">
        <f t="shared" si="7"/>
        <v>173.84734015999999</v>
      </c>
      <c r="Q20" s="8">
        <v>0</v>
      </c>
      <c r="R20" s="8">
        <f t="shared" si="1"/>
        <v>1512.85489216</v>
      </c>
      <c r="S20" s="8">
        <f t="shared" si="2"/>
        <v>2161.2212745142856</v>
      </c>
    </row>
    <row r="21" spans="1:20" x14ac:dyDescent="0.2">
      <c r="A21" s="7">
        <f t="shared" si="3"/>
        <v>15</v>
      </c>
      <c r="B21" s="7" t="s">
        <v>34</v>
      </c>
      <c r="C21" s="7">
        <f>25+43+43</f>
        <v>111</v>
      </c>
      <c r="D21" s="26">
        <f>B4-43-43</f>
        <v>714</v>
      </c>
      <c r="E21" s="7">
        <v>2</v>
      </c>
      <c r="F21" s="7">
        <f>F20</f>
        <v>2</v>
      </c>
      <c r="G21" s="7"/>
      <c r="H21" s="7"/>
      <c r="I21" s="7">
        <f t="shared" si="0"/>
        <v>2.5361280000000002</v>
      </c>
      <c r="J21" s="7">
        <f t="shared" si="4"/>
        <v>3.4110921599999999</v>
      </c>
      <c r="K21" s="7">
        <f t="shared" si="5"/>
        <v>190.20960000000002</v>
      </c>
      <c r="L21" s="7">
        <f t="shared" si="6"/>
        <v>19.020960000000002</v>
      </c>
      <c r="M21" s="8">
        <f>(I21+I21*10%)*M$5</f>
        <v>55.794816000000004</v>
      </c>
      <c r="N21" s="8">
        <v>0</v>
      </c>
      <c r="O21" s="8">
        <v>0</v>
      </c>
      <c r="P21" s="8">
        <f t="shared" si="7"/>
        <v>44.344198079999998</v>
      </c>
      <c r="Q21" s="8">
        <v>0</v>
      </c>
      <c r="R21" s="8">
        <f t="shared" si="1"/>
        <v>309.36957408000006</v>
      </c>
      <c r="S21" s="8">
        <f t="shared" si="2"/>
        <v>441.95653440000012</v>
      </c>
    </row>
    <row r="22" spans="1:20" x14ac:dyDescent="0.2">
      <c r="A22" s="7">
        <f t="shared" si="3"/>
        <v>16</v>
      </c>
      <c r="B22" s="7" t="s">
        <v>35</v>
      </c>
      <c r="C22" s="7">
        <f>25+25+43+43+43</f>
        <v>179</v>
      </c>
      <c r="D22" s="26">
        <f>B4</f>
        <v>800</v>
      </c>
      <c r="E22" s="7">
        <v>2</v>
      </c>
      <c r="F22" s="7">
        <f>G$4</f>
        <v>1</v>
      </c>
      <c r="G22" s="7"/>
      <c r="H22" s="7"/>
      <c r="I22" s="7">
        <f t="shared" si="0"/>
        <v>2.2911999999999999</v>
      </c>
      <c r="J22" s="7">
        <f t="shared" si="4"/>
        <v>3.081664</v>
      </c>
      <c r="K22" s="7">
        <f t="shared" si="5"/>
        <v>171.84</v>
      </c>
      <c r="L22" s="7">
        <f t="shared" si="6"/>
        <v>17.184000000000001</v>
      </c>
      <c r="M22" s="8">
        <f>(I22+I22*10%)*M$5</f>
        <v>50.406399999999998</v>
      </c>
      <c r="N22" s="8">
        <v>0</v>
      </c>
      <c r="O22" s="8">
        <v>0</v>
      </c>
      <c r="P22" s="8">
        <f t="shared" si="7"/>
        <v>40.061632000000003</v>
      </c>
      <c r="Q22" s="8">
        <v>0</v>
      </c>
      <c r="R22" s="8">
        <f t="shared" si="1"/>
        <v>279.49203199999999</v>
      </c>
      <c r="S22" s="8">
        <f t="shared" si="2"/>
        <v>399.27433142857143</v>
      </c>
    </row>
    <row r="23" spans="1:20" x14ac:dyDescent="0.2">
      <c r="A23" s="7">
        <f t="shared" si="3"/>
        <v>17</v>
      </c>
      <c r="B23" s="7" t="s">
        <v>36</v>
      </c>
      <c r="C23" s="7">
        <f>24+43+75+43</f>
        <v>185</v>
      </c>
      <c r="D23" s="26">
        <f>B4</f>
        <v>800</v>
      </c>
      <c r="E23" s="7">
        <v>2</v>
      </c>
      <c r="F23" s="7">
        <f t="shared" ref="F23:F24" si="8">G$4</f>
        <v>1</v>
      </c>
      <c r="G23" s="7"/>
      <c r="H23" s="7"/>
      <c r="I23" s="7">
        <f t="shared" si="0"/>
        <v>2.3679999999999999</v>
      </c>
      <c r="J23" s="7">
        <f t="shared" si="4"/>
        <v>3.1849599999999998</v>
      </c>
      <c r="K23" s="7">
        <f t="shared" si="5"/>
        <v>177.6</v>
      </c>
      <c r="L23" s="7">
        <f t="shared" si="6"/>
        <v>17.760000000000002</v>
      </c>
      <c r="M23" s="8">
        <f>(I23+I23*10%)*M$5</f>
        <v>52.096000000000004</v>
      </c>
      <c r="N23" s="8">
        <v>0</v>
      </c>
      <c r="O23" s="8">
        <v>0</v>
      </c>
      <c r="P23" s="8">
        <f t="shared" si="7"/>
        <v>41.40448</v>
      </c>
      <c r="Q23" s="8">
        <v>0</v>
      </c>
      <c r="R23" s="8">
        <f t="shared" si="1"/>
        <v>288.86048</v>
      </c>
      <c r="S23" s="8">
        <f t="shared" si="2"/>
        <v>412.65782857142858</v>
      </c>
      <c r="T23" s="9"/>
    </row>
    <row r="24" spans="1:20" x14ac:dyDescent="0.2">
      <c r="A24" s="7">
        <f t="shared" si="3"/>
        <v>18</v>
      </c>
      <c r="B24" s="7" t="s">
        <v>37</v>
      </c>
      <c r="C24" s="26">
        <f>B4</f>
        <v>800</v>
      </c>
      <c r="D24" s="24">
        <f>C4-D4</f>
        <v>400</v>
      </c>
      <c r="E24" s="7">
        <v>2</v>
      </c>
      <c r="F24" s="7">
        <f t="shared" si="8"/>
        <v>1</v>
      </c>
      <c r="G24" s="7"/>
      <c r="H24" s="7"/>
      <c r="I24" s="7">
        <f t="shared" si="0"/>
        <v>5.12</v>
      </c>
      <c r="J24" s="7">
        <f t="shared" si="4"/>
        <v>6.8864000000000001</v>
      </c>
      <c r="K24" s="7">
        <f t="shared" si="5"/>
        <v>384</v>
      </c>
      <c r="L24" s="7">
        <f t="shared" si="6"/>
        <v>38.400000000000006</v>
      </c>
      <c r="M24" s="8">
        <f>(I24+I24*10%)*M$5</f>
        <v>112.63999999999999</v>
      </c>
      <c r="N24" s="8">
        <v>0</v>
      </c>
      <c r="O24" s="8">
        <v>0</v>
      </c>
      <c r="P24" s="8">
        <f t="shared" si="7"/>
        <v>89.523200000000003</v>
      </c>
      <c r="Q24" s="8">
        <v>0</v>
      </c>
      <c r="R24" s="8">
        <f t="shared" si="1"/>
        <v>624.56319999999994</v>
      </c>
      <c r="S24" s="8">
        <f t="shared" si="2"/>
        <v>892.23314285714287</v>
      </c>
    </row>
    <row r="25" spans="1:20" x14ac:dyDescent="0.2">
      <c r="A25" s="7">
        <f t="shared" si="3"/>
        <v>19</v>
      </c>
      <c r="B25" s="7" t="s">
        <v>38</v>
      </c>
      <c r="C25" s="10">
        <f>B4+40</f>
        <v>840</v>
      </c>
      <c r="D25" s="10">
        <f>570+40</f>
        <v>610</v>
      </c>
      <c r="E25" s="10">
        <v>2</v>
      </c>
      <c r="F25" s="10">
        <f>G4</f>
        <v>1</v>
      </c>
      <c r="G25" s="10"/>
      <c r="H25" s="10"/>
      <c r="I25" s="10">
        <f t="shared" si="0"/>
        <v>8.1983999999999995</v>
      </c>
      <c r="J25" s="10">
        <f t="shared" si="4"/>
        <v>11.026847999999999</v>
      </c>
      <c r="K25" s="10">
        <f>I25*K4</f>
        <v>614.88</v>
      </c>
      <c r="L25" s="10">
        <f t="shared" si="6"/>
        <v>61.488</v>
      </c>
      <c r="M25" s="11">
        <f>(I25+I25*10%)*M$4</f>
        <v>180.36479999999997</v>
      </c>
      <c r="N25" s="11">
        <f>F25*N4</f>
        <v>100</v>
      </c>
      <c r="O25" s="11">
        <v>0</v>
      </c>
      <c r="P25" s="11">
        <f>J25*P$4</f>
        <v>143.34902399999999</v>
      </c>
      <c r="Q25" s="11">
        <v>0</v>
      </c>
      <c r="R25" s="11">
        <f t="shared" si="1"/>
        <v>1100.0818239999999</v>
      </c>
      <c r="S25" s="11">
        <f t="shared" si="2"/>
        <v>1571.5454628571429</v>
      </c>
    </row>
    <row r="26" spans="1:20" x14ac:dyDescent="0.2">
      <c r="A26" s="7">
        <f t="shared" si="3"/>
        <v>20</v>
      </c>
      <c r="B26" s="7" t="s">
        <v>39</v>
      </c>
      <c r="C26" s="7">
        <v>800</v>
      </c>
      <c r="D26" s="7">
        <v>400</v>
      </c>
      <c r="E26" s="7"/>
      <c r="F26" s="7">
        <v>0</v>
      </c>
      <c r="G26" s="7"/>
      <c r="H26" s="7"/>
      <c r="I26" s="7">
        <f t="shared" si="0"/>
        <v>0</v>
      </c>
      <c r="J26" s="7">
        <f t="shared" si="4"/>
        <v>0</v>
      </c>
      <c r="K26" s="7">
        <f t="shared" si="5"/>
        <v>0</v>
      </c>
      <c r="L26" s="7">
        <f t="shared" si="6"/>
        <v>0</v>
      </c>
      <c r="M26" s="8">
        <f>(I26+I26*10%)*M$5</f>
        <v>0</v>
      </c>
      <c r="N26" s="8">
        <v>0</v>
      </c>
      <c r="O26" s="8">
        <v>0</v>
      </c>
      <c r="P26" s="8">
        <f t="shared" si="7"/>
        <v>0</v>
      </c>
      <c r="Q26" s="8">
        <f>(C26/304*D26/304*80*2)*F26</f>
        <v>0</v>
      </c>
      <c r="R26" s="8">
        <f t="shared" si="1"/>
        <v>0</v>
      </c>
      <c r="S26" s="8">
        <f t="shared" si="2"/>
        <v>0</v>
      </c>
    </row>
    <row r="27" spans="1:20" x14ac:dyDescent="0.2">
      <c r="A27" s="7">
        <f t="shared" si="3"/>
        <v>21</v>
      </c>
      <c r="B27" s="7" t="s">
        <v>31</v>
      </c>
      <c r="C27" s="10">
        <v>69</v>
      </c>
      <c r="D27" s="26">
        <f>(B4)-140</f>
        <v>660</v>
      </c>
      <c r="E27" s="10">
        <v>1.6</v>
      </c>
      <c r="F27" s="10">
        <f>F25*3</f>
        <v>3</v>
      </c>
      <c r="G27" s="10"/>
      <c r="H27" s="10"/>
      <c r="I27" s="10">
        <f t="shared" si="0"/>
        <v>1.7487360000000003</v>
      </c>
      <c r="J27" s="10">
        <f t="shared" si="4"/>
        <v>2.9400624</v>
      </c>
      <c r="K27" s="10">
        <f>I27*K$4</f>
        <v>131.15520000000001</v>
      </c>
      <c r="L27" s="10">
        <f t="shared" si="6"/>
        <v>13.115520000000002</v>
      </c>
      <c r="M27" s="11">
        <f>(I27+I27*10%)*M$4</f>
        <v>38.472192000000007</v>
      </c>
      <c r="N27" s="11">
        <v>0</v>
      </c>
      <c r="O27" s="11">
        <v>0</v>
      </c>
      <c r="P27" s="11">
        <f>J27*P$4</f>
        <v>38.2208112</v>
      </c>
      <c r="Q27" s="11">
        <v>0</v>
      </c>
      <c r="R27" s="11">
        <f t="shared" si="1"/>
        <v>220.9637232</v>
      </c>
      <c r="S27" s="11">
        <f t="shared" si="2"/>
        <v>315.66246171428571</v>
      </c>
    </row>
    <row r="28" spans="1:20" x14ac:dyDescent="0.2">
      <c r="A28" s="7">
        <f t="shared" si="3"/>
        <v>22</v>
      </c>
      <c r="B28" s="7" t="s">
        <v>32</v>
      </c>
      <c r="C28" s="10">
        <v>69</v>
      </c>
      <c r="D28" s="10">
        <f>C4-140</f>
        <v>690</v>
      </c>
      <c r="E28" s="10">
        <v>1.6</v>
      </c>
      <c r="F28" s="10">
        <f>F25*2</f>
        <v>2</v>
      </c>
      <c r="G28" s="10"/>
      <c r="H28" s="10"/>
      <c r="I28" s="10">
        <f t="shared" si="0"/>
        <v>1.2188160000000003</v>
      </c>
      <c r="J28" s="10">
        <f t="shared" si="4"/>
        <v>2.0491344000000002</v>
      </c>
      <c r="K28" s="10">
        <f>I28*K$4</f>
        <v>91.411200000000022</v>
      </c>
      <c r="L28" s="10">
        <f t="shared" si="6"/>
        <v>9.1411200000000026</v>
      </c>
      <c r="M28" s="11">
        <f>(I28+I28*10%)*M$4</f>
        <v>26.813952000000008</v>
      </c>
      <c r="N28" s="11">
        <v>0</v>
      </c>
      <c r="O28" s="11">
        <v>0</v>
      </c>
      <c r="P28" s="11">
        <f>J28*P$4</f>
        <v>26.638747200000005</v>
      </c>
      <c r="Q28" s="11">
        <v>0</v>
      </c>
      <c r="R28" s="11">
        <f t="shared" si="1"/>
        <v>154.00501920000005</v>
      </c>
      <c r="S28" s="11">
        <f t="shared" si="2"/>
        <v>220.00717028571438</v>
      </c>
    </row>
    <row r="29" spans="1:20" x14ac:dyDescent="0.2">
      <c r="A29" s="7">
        <f t="shared" si="3"/>
        <v>23</v>
      </c>
      <c r="B29" s="7"/>
      <c r="C29" s="7"/>
      <c r="D29" s="7"/>
      <c r="E29" s="7"/>
      <c r="F29" s="7"/>
      <c r="G29" s="7"/>
      <c r="H29" s="7"/>
      <c r="I29" s="7">
        <f t="shared" si="0"/>
        <v>0</v>
      </c>
      <c r="J29" s="7">
        <f t="shared" si="4"/>
        <v>0</v>
      </c>
      <c r="K29" s="7">
        <f t="shared" si="5"/>
        <v>0</v>
      </c>
      <c r="L29" s="7">
        <f t="shared" si="6"/>
        <v>0</v>
      </c>
      <c r="M29" s="8">
        <f>(I29+I29*10%)*M$5</f>
        <v>0</v>
      </c>
      <c r="N29" s="8">
        <v>0</v>
      </c>
      <c r="O29" s="8">
        <v>0</v>
      </c>
      <c r="P29" s="8">
        <f t="shared" si="7"/>
        <v>0</v>
      </c>
      <c r="Q29" s="8">
        <v>0</v>
      </c>
      <c r="R29" s="8">
        <f t="shared" si="1"/>
        <v>0</v>
      </c>
      <c r="S29" s="8">
        <f t="shared" si="2"/>
        <v>0</v>
      </c>
    </row>
    <row r="30" spans="1:20" x14ac:dyDescent="0.2">
      <c r="A30" s="7">
        <f t="shared" si="3"/>
        <v>24</v>
      </c>
      <c r="B30" s="7" t="s">
        <v>40</v>
      </c>
      <c r="C30" s="7">
        <f>300+43+43+25+25</f>
        <v>436</v>
      </c>
      <c r="D30" s="7">
        <f>605+43</f>
        <v>648</v>
      </c>
      <c r="E30" s="7">
        <v>2</v>
      </c>
      <c r="F30" s="7">
        <f>G4*2</f>
        <v>2</v>
      </c>
      <c r="G30" s="7"/>
      <c r="H30" s="7"/>
      <c r="I30" s="7">
        <f t="shared" si="0"/>
        <v>9.040896</v>
      </c>
      <c r="J30" s="7">
        <f t="shared" si="4"/>
        <v>12.160005119999999</v>
      </c>
      <c r="K30" s="7">
        <f t="shared" si="5"/>
        <v>678.06719999999996</v>
      </c>
      <c r="L30" s="7">
        <f t="shared" si="6"/>
        <v>67.806719999999999</v>
      </c>
      <c r="M30" s="8">
        <f>(I30+I30*10%)*M$5</f>
        <v>198.89971200000002</v>
      </c>
      <c r="N30" s="8">
        <f>150*F30</f>
        <v>300</v>
      </c>
      <c r="O30" s="8">
        <v>0</v>
      </c>
      <c r="P30" s="8">
        <f t="shared" si="7"/>
        <v>158.08006655999998</v>
      </c>
      <c r="Q30" s="8">
        <v>0</v>
      </c>
      <c r="R30" s="8">
        <f t="shared" si="1"/>
        <v>1402.8536985599999</v>
      </c>
      <c r="S30" s="8">
        <f t="shared" si="2"/>
        <v>2004.0767122285713</v>
      </c>
    </row>
    <row r="31" spans="1:20" x14ac:dyDescent="0.2">
      <c r="A31" s="7">
        <f t="shared" si="3"/>
        <v>25</v>
      </c>
      <c r="B31" s="7" t="s">
        <v>41</v>
      </c>
      <c r="C31" s="7">
        <f>24+24+43+43+150</f>
        <v>284</v>
      </c>
      <c r="D31" s="26">
        <f>B4</f>
        <v>800</v>
      </c>
      <c r="E31" s="7">
        <v>2</v>
      </c>
      <c r="F31" s="7">
        <f>G4</f>
        <v>1</v>
      </c>
      <c r="G31" s="7"/>
      <c r="H31" s="7"/>
      <c r="I31" s="7">
        <f t="shared" si="0"/>
        <v>3.6351999999999998</v>
      </c>
      <c r="J31" s="7">
        <f t="shared" si="4"/>
        <v>4.8893439999999995</v>
      </c>
      <c r="K31" s="7">
        <f t="shared" si="5"/>
        <v>272.64</v>
      </c>
      <c r="L31" s="7">
        <f t="shared" si="6"/>
        <v>27.263999999999999</v>
      </c>
      <c r="M31" s="8">
        <f>(I31+I31*10%)*M$5</f>
        <v>79.974399999999989</v>
      </c>
      <c r="N31" s="8">
        <v>0</v>
      </c>
      <c r="O31" s="8">
        <v>0</v>
      </c>
      <c r="P31" s="8">
        <f t="shared" si="7"/>
        <v>63.561471999999995</v>
      </c>
      <c r="Q31" s="8">
        <v>0</v>
      </c>
      <c r="R31" s="8">
        <f t="shared" si="1"/>
        <v>443.43987199999998</v>
      </c>
      <c r="S31" s="8">
        <f t="shared" si="2"/>
        <v>633.48553142857145</v>
      </c>
    </row>
    <row r="32" spans="1:20" x14ac:dyDescent="0.2">
      <c r="A32" s="7">
        <f t="shared" si="3"/>
        <v>26</v>
      </c>
      <c r="B32" s="7" t="s">
        <v>34</v>
      </c>
      <c r="C32" s="7">
        <f>25+43+43</f>
        <v>111</v>
      </c>
      <c r="D32" s="26">
        <f>B4</f>
        <v>800</v>
      </c>
      <c r="E32" s="7">
        <v>2</v>
      </c>
      <c r="F32" s="7">
        <f>F30</f>
        <v>2</v>
      </c>
      <c r="G32" s="7"/>
      <c r="H32" s="7"/>
      <c r="I32" s="7">
        <f t="shared" si="0"/>
        <v>2.8416000000000001</v>
      </c>
      <c r="J32" s="7">
        <f t="shared" si="4"/>
        <v>3.821952</v>
      </c>
      <c r="K32" s="7">
        <f t="shared" si="5"/>
        <v>213.12</v>
      </c>
      <c r="L32" s="7">
        <f t="shared" si="6"/>
        <v>21.312000000000001</v>
      </c>
      <c r="M32" s="8">
        <f>(I32+I32*10%)*M$5</f>
        <v>62.5152</v>
      </c>
      <c r="N32" s="8">
        <v>0</v>
      </c>
      <c r="O32" s="8">
        <v>0</v>
      </c>
      <c r="P32" s="8">
        <f t="shared" si="7"/>
        <v>49.685375999999998</v>
      </c>
      <c r="Q32" s="8">
        <v>0</v>
      </c>
      <c r="R32" s="8">
        <f t="shared" si="1"/>
        <v>346.63257600000003</v>
      </c>
      <c r="S32" s="8">
        <f t="shared" si="2"/>
        <v>495.18939428571434</v>
      </c>
    </row>
    <row r="33" spans="1:20" x14ac:dyDescent="0.2">
      <c r="A33" s="7">
        <f t="shared" si="3"/>
        <v>27</v>
      </c>
      <c r="B33" s="7" t="s">
        <v>38</v>
      </c>
      <c r="C33" s="26">
        <f>B4+40</f>
        <v>840</v>
      </c>
      <c r="D33" s="7">
        <f>650+40</f>
        <v>690</v>
      </c>
      <c r="E33" s="7">
        <v>2</v>
      </c>
      <c r="F33" s="7">
        <f>G4</f>
        <v>1</v>
      </c>
      <c r="G33" s="7"/>
      <c r="H33" s="7"/>
      <c r="I33" s="7">
        <f t="shared" si="0"/>
        <v>9.2736000000000001</v>
      </c>
      <c r="J33" s="7">
        <f t="shared" si="4"/>
        <v>12.472992</v>
      </c>
      <c r="K33" s="7">
        <f t="shared" si="5"/>
        <v>695.52</v>
      </c>
      <c r="L33" s="7">
        <f t="shared" si="6"/>
        <v>69.552000000000007</v>
      </c>
      <c r="M33" s="8">
        <f>(I33+I33*10%)*M$5</f>
        <v>204.01920000000001</v>
      </c>
      <c r="N33" s="8">
        <v>0</v>
      </c>
      <c r="O33" s="8">
        <v>0</v>
      </c>
      <c r="P33" s="8">
        <f t="shared" si="7"/>
        <v>162.14889600000001</v>
      </c>
      <c r="Q33" s="8">
        <v>0</v>
      </c>
      <c r="R33" s="8">
        <f t="shared" si="1"/>
        <v>1131.240096</v>
      </c>
      <c r="S33" s="8">
        <f t="shared" si="2"/>
        <v>1616.05728</v>
      </c>
    </row>
    <row r="34" spans="1:20" x14ac:dyDescent="0.2">
      <c r="A34" s="7">
        <f t="shared" si="3"/>
        <v>28</v>
      </c>
      <c r="B34" s="7" t="s">
        <v>31</v>
      </c>
      <c r="C34" s="7">
        <v>69</v>
      </c>
      <c r="D34" s="26">
        <f>(B4)-140</f>
        <v>660</v>
      </c>
      <c r="E34" s="7">
        <v>1.6</v>
      </c>
      <c r="F34" s="7">
        <f>F33*3</f>
        <v>3</v>
      </c>
      <c r="G34" s="7"/>
      <c r="H34" s="7"/>
      <c r="I34" s="7">
        <f t="shared" si="0"/>
        <v>1.7487360000000003</v>
      </c>
      <c r="J34" s="7">
        <f t="shared" si="4"/>
        <v>2.9400624</v>
      </c>
      <c r="K34" s="7">
        <f t="shared" si="5"/>
        <v>131.15520000000001</v>
      </c>
      <c r="L34" s="7">
        <f t="shared" si="6"/>
        <v>13.115520000000002</v>
      </c>
      <c r="M34" s="8">
        <f>(I34+I34*10%)*M$5</f>
        <v>38.472192000000007</v>
      </c>
      <c r="N34" s="8">
        <v>0</v>
      </c>
      <c r="O34" s="8">
        <v>0</v>
      </c>
      <c r="P34" s="8">
        <f t="shared" si="7"/>
        <v>38.2208112</v>
      </c>
      <c r="Q34" s="8">
        <v>0</v>
      </c>
      <c r="R34" s="8">
        <f t="shared" si="1"/>
        <v>220.9637232</v>
      </c>
      <c r="S34" s="8">
        <f t="shared" si="2"/>
        <v>315.66246171428571</v>
      </c>
    </row>
    <row r="35" spans="1:20" x14ac:dyDescent="0.2">
      <c r="A35" s="7">
        <f t="shared" si="3"/>
        <v>29</v>
      </c>
      <c r="B35" s="7" t="s">
        <v>32</v>
      </c>
      <c r="C35" s="7">
        <v>69</v>
      </c>
      <c r="D35" s="7">
        <f>485-140</f>
        <v>345</v>
      </c>
      <c r="E35" s="7">
        <v>1.6</v>
      </c>
      <c r="F35" s="7">
        <f>F33*2</f>
        <v>2</v>
      </c>
      <c r="G35" s="7"/>
      <c r="H35" s="7"/>
      <c r="I35" s="7">
        <f t="shared" si="0"/>
        <v>0.60940800000000017</v>
      </c>
      <c r="J35" s="7">
        <f t="shared" si="4"/>
        <v>1.0245672000000001</v>
      </c>
      <c r="K35" s="7">
        <f t="shared" si="5"/>
        <v>45.705600000000011</v>
      </c>
      <c r="L35" s="7">
        <f t="shared" si="6"/>
        <v>4.5705600000000013</v>
      </c>
      <c r="M35" s="8">
        <f>(I35+I35*10%)*M$5</f>
        <v>13.406976000000004</v>
      </c>
      <c r="N35" s="8">
        <v>0</v>
      </c>
      <c r="O35" s="8">
        <v>0</v>
      </c>
      <c r="P35" s="8">
        <f t="shared" si="7"/>
        <v>13.319373600000002</v>
      </c>
      <c r="Q35" s="8">
        <v>0</v>
      </c>
      <c r="R35" s="8">
        <f t="shared" si="1"/>
        <v>77.002509600000025</v>
      </c>
      <c r="S35" s="8">
        <f t="shared" si="2"/>
        <v>110.00358514285719</v>
      </c>
    </row>
    <row r="36" spans="1:20" x14ac:dyDescent="0.2">
      <c r="A36" s="7">
        <f t="shared" si="3"/>
        <v>30</v>
      </c>
      <c r="B36" s="7"/>
      <c r="C36" s="7"/>
      <c r="D36" s="7"/>
      <c r="E36" s="7"/>
      <c r="F36" s="7"/>
      <c r="G36" s="7"/>
      <c r="H36" s="7"/>
      <c r="I36" s="7">
        <f t="shared" si="0"/>
        <v>0</v>
      </c>
      <c r="J36" s="7">
        <f t="shared" si="4"/>
        <v>0</v>
      </c>
      <c r="K36" s="7">
        <f t="shared" si="5"/>
        <v>0</v>
      </c>
      <c r="L36" s="7">
        <f t="shared" si="6"/>
        <v>0</v>
      </c>
      <c r="M36" s="8">
        <f>(I36+I36*10%)*M$5</f>
        <v>0</v>
      </c>
      <c r="N36" s="8">
        <v>0</v>
      </c>
      <c r="O36" s="8">
        <v>0</v>
      </c>
      <c r="P36" s="8">
        <f t="shared" si="7"/>
        <v>0</v>
      </c>
      <c r="Q36" s="8">
        <v>0</v>
      </c>
      <c r="R36" s="8">
        <f t="shared" si="1"/>
        <v>0</v>
      </c>
      <c r="S36" s="8">
        <f t="shared" si="2"/>
        <v>0</v>
      </c>
    </row>
    <row r="37" spans="1:20" x14ac:dyDescent="0.2">
      <c r="A37" s="7">
        <f t="shared" si="3"/>
        <v>31</v>
      </c>
      <c r="B37" s="7" t="s">
        <v>42</v>
      </c>
      <c r="C37" s="26">
        <f>B4+40</f>
        <v>840</v>
      </c>
      <c r="D37" s="30">
        <f>E4+40</f>
        <v>1370</v>
      </c>
      <c r="E37" s="7">
        <v>1.6</v>
      </c>
      <c r="F37" s="7">
        <f>G4</f>
        <v>1</v>
      </c>
      <c r="G37" s="7"/>
      <c r="H37" s="7"/>
      <c r="I37" s="7">
        <f t="shared" si="0"/>
        <v>14.730240000000002</v>
      </c>
      <c r="J37" s="7">
        <f t="shared" si="4"/>
        <v>24.765215999999999</v>
      </c>
      <c r="K37" s="7">
        <f t="shared" si="5"/>
        <v>1104.7680000000003</v>
      </c>
      <c r="L37" s="7">
        <f t="shared" si="6"/>
        <v>110.47680000000003</v>
      </c>
      <c r="M37" s="8">
        <f>(I37+I37*10%)*M$5</f>
        <v>324.06528000000003</v>
      </c>
      <c r="N37" s="8">
        <v>0</v>
      </c>
      <c r="O37" s="8">
        <v>0</v>
      </c>
      <c r="P37" s="8">
        <f>J37*P$5</f>
        <v>321.94780800000001</v>
      </c>
      <c r="Q37" s="8">
        <v>0</v>
      </c>
      <c r="R37" s="8">
        <f>K37+L37+M37+N37+O37+P37+Q37</f>
        <v>1861.2578880000005</v>
      </c>
      <c r="S37" s="8">
        <f t="shared" si="2"/>
        <v>2658.9398400000009</v>
      </c>
    </row>
    <row r="38" spans="1:20" x14ac:dyDescent="0.2">
      <c r="A38" s="7">
        <f t="shared" si="3"/>
        <v>32</v>
      </c>
      <c r="B38" s="7" t="s">
        <v>43</v>
      </c>
      <c r="C38" s="26">
        <f>B4</f>
        <v>800</v>
      </c>
      <c r="D38" s="30">
        <f>E4-100</f>
        <v>1230</v>
      </c>
      <c r="E38" s="7">
        <v>2</v>
      </c>
      <c r="F38" s="7">
        <f>G4</f>
        <v>1</v>
      </c>
      <c r="G38" s="7"/>
      <c r="H38" s="7"/>
      <c r="I38" s="7">
        <f t="shared" si="0"/>
        <v>15.744</v>
      </c>
      <c r="J38" s="7">
        <f t="shared" si="4"/>
        <v>21.17568</v>
      </c>
      <c r="K38" s="7">
        <f t="shared" si="5"/>
        <v>1180.8</v>
      </c>
      <c r="L38" s="7">
        <f t="shared" si="6"/>
        <v>118.08</v>
      </c>
      <c r="M38" s="8">
        <f>(I38+I38*10%)*M$5</f>
        <v>346.36799999999999</v>
      </c>
      <c r="N38" s="8">
        <v>0</v>
      </c>
      <c r="O38" s="8">
        <v>0</v>
      </c>
      <c r="P38" s="8">
        <f>J38*P$5</f>
        <v>275.28384</v>
      </c>
      <c r="Q38" s="8">
        <v>0</v>
      </c>
      <c r="R38" s="8">
        <f>K38+L38+M38+N38+O38+P38+Q38</f>
        <v>1920.5318399999999</v>
      </c>
      <c r="S38" s="8">
        <f t="shared" si="2"/>
        <v>2743.6169142857143</v>
      </c>
    </row>
    <row r="39" spans="1:20" x14ac:dyDescent="0.2">
      <c r="A39" s="7">
        <f t="shared" si="3"/>
        <v>33</v>
      </c>
      <c r="B39" s="7" t="s">
        <v>44</v>
      </c>
      <c r="C39" s="7">
        <v>69</v>
      </c>
      <c r="D39" s="30">
        <f>E4</f>
        <v>1330</v>
      </c>
      <c r="E39" s="7">
        <v>1.6</v>
      </c>
      <c r="F39" s="7">
        <v>0</v>
      </c>
      <c r="G39" s="7"/>
      <c r="H39" s="7"/>
      <c r="I39" s="7">
        <f t="shared" si="0"/>
        <v>0</v>
      </c>
      <c r="J39" s="7">
        <f t="shared" si="4"/>
        <v>0</v>
      </c>
      <c r="K39" s="7">
        <f>I39*K$5</f>
        <v>0</v>
      </c>
      <c r="L39" s="7">
        <f t="shared" si="6"/>
        <v>0</v>
      </c>
      <c r="M39" s="8">
        <f>(I39+I39*10%)*M$5</f>
        <v>0</v>
      </c>
      <c r="N39" s="8">
        <v>0</v>
      </c>
      <c r="O39" s="8">
        <v>0</v>
      </c>
      <c r="P39" s="8">
        <f t="shared" si="7"/>
        <v>0</v>
      </c>
      <c r="Q39" s="8">
        <v>0</v>
      </c>
      <c r="R39" s="8">
        <f t="shared" si="1"/>
        <v>0</v>
      </c>
      <c r="S39" s="8">
        <f t="shared" si="2"/>
        <v>0</v>
      </c>
    </row>
    <row r="40" spans="1:20" x14ac:dyDescent="0.2">
      <c r="A40" s="7">
        <f t="shared" si="3"/>
        <v>34</v>
      </c>
      <c r="B40" s="7" t="s">
        <v>45</v>
      </c>
      <c r="C40" s="7"/>
      <c r="D40" s="7"/>
      <c r="E40" s="7"/>
      <c r="F40" s="8">
        <f>G4*4</f>
        <v>4</v>
      </c>
      <c r="G40" s="7"/>
      <c r="H40" s="7"/>
      <c r="I40" s="7">
        <f t="shared" si="0"/>
        <v>0</v>
      </c>
      <c r="J40" s="7">
        <f t="shared" si="4"/>
        <v>0</v>
      </c>
      <c r="K40" s="7">
        <f>I40*K$5</f>
        <v>0</v>
      </c>
      <c r="L40" s="7">
        <f t="shared" si="6"/>
        <v>0</v>
      </c>
      <c r="M40" s="8">
        <f>(I40+I40*10%)*M$5</f>
        <v>0</v>
      </c>
      <c r="N40" s="8">
        <v>0</v>
      </c>
      <c r="O40" s="8">
        <v>0</v>
      </c>
      <c r="P40" s="8">
        <f t="shared" si="7"/>
        <v>0</v>
      </c>
      <c r="Q40" s="8">
        <f>F40*120</f>
        <v>480</v>
      </c>
      <c r="R40" s="8">
        <f t="shared" si="1"/>
        <v>480</v>
      </c>
      <c r="S40" s="8">
        <f t="shared" si="2"/>
        <v>685.71428571428578</v>
      </c>
      <c r="T40" s="9"/>
    </row>
    <row r="41" spans="1:20" x14ac:dyDescent="0.2">
      <c r="A41" s="7">
        <f t="shared" si="3"/>
        <v>35</v>
      </c>
      <c r="B41" s="7" t="s">
        <v>63</v>
      </c>
      <c r="C41" s="7"/>
      <c r="D41" s="7"/>
      <c r="E41" s="7"/>
      <c r="F41" s="8">
        <f>G4*2</f>
        <v>2</v>
      </c>
      <c r="G41" s="7"/>
      <c r="H41" s="7"/>
      <c r="I41" s="7">
        <f t="shared" si="0"/>
        <v>0</v>
      </c>
      <c r="J41" s="7">
        <f t="shared" si="4"/>
        <v>0</v>
      </c>
      <c r="K41" s="7">
        <f>I41*K$5</f>
        <v>0</v>
      </c>
      <c r="L41" s="7">
        <f t="shared" si="6"/>
        <v>0</v>
      </c>
      <c r="M41" s="8">
        <f>(I41+I41*10%)*M$5</f>
        <v>0</v>
      </c>
      <c r="N41" s="8"/>
      <c r="O41" s="8"/>
      <c r="P41" s="8">
        <f t="shared" si="7"/>
        <v>0</v>
      </c>
      <c r="Q41" s="8">
        <f>350*F41</f>
        <v>700</v>
      </c>
      <c r="R41" s="8">
        <f t="shared" ref="R41" si="9">K41+L41+M41+N41+O41+P41+Q41</f>
        <v>700</v>
      </c>
      <c r="S41" s="8">
        <f t="shared" ref="S41" si="10">R41/S$5</f>
        <v>1000.0000000000001</v>
      </c>
      <c r="T41" s="9"/>
    </row>
    <row r="42" spans="1:20" x14ac:dyDescent="0.2">
      <c r="A42" s="7">
        <f t="shared" si="3"/>
        <v>36</v>
      </c>
      <c r="B42" s="7" t="s">
        <v>46</v>
      </c>
      <c r="C42" s="7"/>
      <c r="D42" s="7"/>
      <c r="E42" s="7"/>
      <c r="F42" s="7">
        <f>F16*2+F25*3+F33*3</f>
        <v>10</v>
      </c>
      <c r="G42" s="7"/>
      <c r="H42" s="7"/>
      <c r="I42" s="7">
        <f t="shared" si="0"/>
        <v>0</v>
      </c>
      <c r="J42" s="7">
        <f t="shared" si="4"/>
        <v>0</v>
      </c>
      <c r="K42" s="7">
        <f>I42*K$5</f>
        <v>0</v>
      </c>
      <c r="L42" s="7">
        <f t="shared" si="6"/>
        <v>0</v>
      </c>
      <c r="M42" s="8">
        <f>(I42+I42*10%)*M$5</f>
        <v>0</v>
      </c>
      <c r="N42" s="8">
        <v>0</v>
      </c>
      <c r="O42" s="8">
        <v>0</v>
      </c>
      <c r="P42" s="8">
        <f t="shared" si="7"/>
        <v>0</v>
      </c>
      <c r="Q42" s="8">
        <f>60*F42</f>
        <v>600</v>
      </c>
      <c r="R42" s="8">
        <f t="shared" si="1"/>
        <v>600</v>
      </c>
      <c r="S42" s="8">
        <f t="shared" si="2"/>
        <v>857.14285714285722</v>
      </c>
    </row>
    <row r="43" spans="1:20" x14ac:dyDescent="0.2">
      <c r="A43" s="7">
        <f t="shared" si="3"/>
        <v>37</v>
      </c>
      <c r="B43" s="7" t="s">
        <v>47</v>
      </c>
      <c r="C43" s="7"/>
      <c r="D43" s="7"/>
      <c r="E43" s="7"/>
      <c r="F43" s="7">
        <f>G4*10</f>
        <v>10</v>
      </c>
      <c r="G43" s="7"/>
      <c r="H43" s="7"/>
      <c r="I43" s="7">
        <f t="shared" si="0"/>
        <v>0</v>
      </c>
      <c r="J43" s="7">
        <f t="shared" si="4"/>
        <v>0</v>
      </c>
      <c r="K43" s="7">
        <f>I43*K$5</f>
        <v>0</v>
      </c>
      <c r="L43" s="7">
        <f t="shared" si="6"/>
        <v>0</v>
      </c>
      <c r="M43" s="8">
        <f>(I43+I43*10%)*M$5</f>
        <v>0</v>
      </c>
      <c r="N43" s="8">
        <v>0</v>
      </c>
      <c r="O43" s="8">
        <v>0</v>
      </c>
      <c r="P43" s="8">
        <f t="shared" si="7"/>
        <v>0</v>
      </c>
      <c r="Q43" s="8">
        <f>65*F43</f>
        <v>650</v>
      </c>
      <c r="R43" s="8">
        <f t="shared" si="1"/>
        <v>650</v>
      </c>
      <c r="S43" s="8">
        <f t="shared" si="2"/>
        <v>928.57142857142867</v>
      </c>
    </row>
    <row r="44" spans="1:20" x14ac:dyDescent="0.2">
      <c r="A44" s="7">
        <f>A43+1</f>
        <v>38</v>
      </c>
      <c r="B44" s="7" t="s">
        <v>48</v>
      </c>
      <c r="C44" s="7"/>
      <c r="D44" s="7"/>
      <c r="E44" s="7"/>
      <c r="F44" s="7">
        <f>(B4*10+E4*6+C4*2)/1000</f>
        <v>17.64</v>
      </c>
      <c r="G44" s="7"/>
      <c r="H44" s="7"/>
      <c r="I44" s="7">
        <f t="shared" si="0"/>
        <v>0</v>
      </c>
      <c r="J44" s="7">
        <f t="shared" si="4"/>
        <v>0</v>
      </c>
      <c r="K44" s="7">
        <f>I44*K$5</f>
        <v>0</v>
      </c>
      <c r="L44" s="7">
        <f t="shared" si="6"/>
        <v>0</v>
      </c>
      <c r="M44" s="8">
        <f>(I44+I44*10%)*M$5</f>
        <v>0</v>
      </c>
      <c r="N44" s="8">
        <v>0</v>
      </c>
      <c r="O44" s="8">
        <v>0</v>
      </c>
      <c r="P44" s="8">
        <f t="shared" si="7"/>
        <v>0</v>
      </c>
      <c r="Q44" s="8">
        <f>35*F44</f>
        <v>617.4</v>
      </c>
      <c r="R44" s="8">
        <f t="shared" si="1"/>
        <v>617.4</v>
      </c>
      <c r="S44" s="8">
        <f t="shared" si="2"/>
        <v>882</v>
      </c>
      <c r="T44" s="9"/>
    </row>
    <row r="45" spans="1:20" x14ac:dyDescent="0.2">
      <c r="A45" s="7">
        <f>A44+1</f>
        <v>39</v>
      </c>
      <c r="B45" s="7" t="s">
        <v>49</v>
      </c>
      <c r="C45" s="7"/>
      <c r="D45" s="7"/>
      <c r="E45" s="7"/>
      <c r="F45" s="7"/>
      <c r="G45" s="7"/>
      <c r="H45" s="7"/>
      <c r="I45" s="7"/>
      <c r="J45" s="7"/>
      <c r="K45" s="7"/>
      <c r="L45" s="7"/>
      <c r="M45" s="8"/>
      <c r="N45" s="8"/>
      <c r="O45" s="8"/>
      <c r="P45" s="8"/>
      <c r="Q45" s="8">
        <v>500</v>
      </c>
      <c r="R45" s="8">
        <f t="shared" si="1"/>
        <v>500</v>
      </c>
      <c r="S45" s="8">
        <f t="shared" si="2"/>
        <v>714.28571428571433</v>
      </c>
    </row>
    <row r="46" spans="1:20" x14ac:dyDescent="0.2">
      <c r="A46" s="7">
        <f>A45+1</f>
        <v>40</v>
      </c>
      <c r="B46" s="7" t="s">
        <v>50</v>
      </c>
      <c r="C46" s="7"/>
      <c r="D46" s="7"/>
      <c r="E46" s="7"/>
      <c r="F46" s="7"/>
      <c r="G46" s="7"/>
      <c r="H46" s="7"/>
      <c r="I46" s="7"/>
      <c r="J46" s="7"/>
      <c r="K46" s="7"/>
      <c r="L46" s="7"/>
      <c r="M46" s="8"/>
      <c r="N46" s="8"/>
      <c r="O46" s="8"/>
      <c r="P46" s="8"/>
      <c r="Q46" s="8">
        <v>500</v>
      </c>
      <c r="R46" s="8">
        <f t="shared" si="1"/>
        <v>500</v>
      </c>
      <c r="S46" s="8">
        <f t="shared" si="2"/>
        <v>714.28571428571433</v>
      </c>
    </row>
    <row r="47" spans="1:20" x14ac:dyDescent="0.2">
      <c r="A47" s="7">
        <f>A46+1</f>
        <v>41</v>
      </c>
      <c r="B47" s="7" t="s">
        <v>51</v>
      </c>
      <c r="C47" s="7"/>
      <c r="D47" s="7"/>
      <c r="E47" s="7"/>
      <c r="F47" s="7"/>
      <c r="G47" s="7"/>
      <c r="H47" s="7"/>
      <c r="I47" s="7"/>
      <c r="J47" s="7"/>
      <c r="K47" s="7"/>
      <c r="L47" s="7"/>
      <c r="M47" s="8"/>
      <c r="N47" s="8"/>
      <c r="O47" s="8"/>
      <c r="P47" s="8"/>
      <c r="Q47" s="8">
        <v>300</v>
      </c>
      <c r="R47" s="8">
        <f t="shared" si="1"/>
        <v>300</v>
      </c>
      <c r="S47" s="8">
        <f t="shared" si="2"/>
        <v>428.57142857142861</v>
      </c>
    </row>
    <row r="48" spans="1:20" x14ac:dyDescent="0.2">
      <c r="A48" s="7">
        <f>A47+1</f>
        <v>42</v>
      </c>
      <c r="B48" s="7" t="s">
        <v>52</v>
      </c>
      <c r="C48" s="7"/>
      <c r="D48" s="7"/>
      <c r="E48" s="7"/>
      <c r="F48" s="7"/>
      <c r="G48" s="7"/>
      <c r="H48" s="7"/>
      <c r="I48" s="7"/>
      <c r="J48" s="7"/>
      <c r="K48" s="7"/>
      <c r="L48" s="7"/>
      <c r="M48" s="8"/>
      <c r="N48" s="8"/>
      <c r="O48" s="8"/>
      <c r="P48" s="8"/>
      <c r="Q48" s="8">
        <v>350</v>
      </c>
      <c r="R48" s="8">
        <f t="shared" si="1"/>
        <v>350</v>
      </c>
      <c r="S48" s="8">
        <f t="shared" si="2"/>
        <v>500.00000000000006</v>
      </c>
      <c r="T48" s="9"/>
    </row>
    <row r="49" spans="2:22" x14ac:dyDescent="0.2">
      <c r="F49" s="9">
        <f t="shared" ref="F49:S49" si="11">SUM(F7:F48)</f>
        <v>101.64</v>
      </c>
      <c r="G49" s="9">
        <f t="shared" si="11"/>
        <v>0</v>
      </c>
      <c r="H49" s="9">
        <f t="shared" si="11"/>
        <v>0</v>
      </c>
      <c r="I49" s="9">
        <f t="shared" si="11"/>
        <v>137.74824767999999</v>
      </c>
      <c r="J49" s="9">
        <f t="shared" si="11"/>
        <v>190.4218358464</v>
      </c>
      <c r="K49" s="9">
        <f t="shared" si="11"/>
        <v>10331.118576000001</v>
      </c>
      <c r="L49" s="9">
        <f t="shared" si="11"/>
        <v>1033.1118576000001</v>
      </c>
      <c r="M49" s="9">
        <f t="shared" si="11"/>
        <v>3030.4614489600003</v>
      </c>
      <c r="N49" s="9">
        <f t="shared" si="11"/>
        <v>1300</v>
      </c>
      <c r="O49" s="9">
        <f t="shared" si="11"/>
        <v>0</v>
      </c>
      <c r="P49" s="9">
        <f t="shared" si="11"/>
        <v>2475.4838660031996</v>
      </c>
      <c r="Q49" s="9">
        <f t="shared" si="11"/>
        <v>4697.3999999999996</v>
      </c>
      <c r="R49" s="9">
        <f t="shared" si="11"/>
        <v>22867.575748563202</v>
      </c>
      <c r="S49" s="9">
        <f t="shared" si="11"/>
        <v>32667.965355090284</v>
      </c>
    </row>
    <row r="50" spans="2:22" x14ac:dyDescent="0.2">
      <c r="R50" s="12"/>
      <c r="S50" s="9"/>
      <c r="U50" s="31"/>
      <c r="V50" s="31"/>
    </row>
    <row r="51" spans="2:22" ht="13.2" x14ac:dyDescent="0.25">
      <c r="C51" s="5"/>
      <c r="K51" s="9"/>
      <c r="R51" s="12"/>
      <c r="S51" s="9"/>
      <c r="U51" s="32"/>
      <c r="V51" s="33"/>
    </row>
    <row r="52" spans="2:22" ht="13.2" x14ac:dyDescent="0.25">
      <c r="B52" s="13"/>
      <c r="R52" s="12"/>
      <c r="S52" s="9"/>
      <c r="U52" s="34"/>
      <c r="V52" s="32"/>
    </row>
    <row r="53" spans="2:22" x14ac:dyDescent="0.2">
      <c r="R53" s="12"/>
      <c r="S53" s="9"/>
      <c r="U53" s="35"/>
      <c r="V53" s="35"/>
    </row>
    <row r="54" spans="2:22" x14ac:dyDescent="0.2">
      <c r="U54" s="35"/>
      <c r="V54" s="35"/>
    </row>
    <row r="55" spans="2:22" x14ac:dyDescent="0.2">
      <c r="U55" s="36"/>
      <c r="V55" s="36"/>
    </row>
    <row r="82" spans="2:20" x14ac:dyDescent="0.2">
      <c r="T82" s="9"/>
    </row>
    <row r="83" spans="2:20" x14ac:dyDescent="0.2">
      <c r="T83" s="9"/>
    </row>
    <row r="84" spans="2:20" x14ac:dyDescent="0.2">
      <c r="T84" s="9"/>
    </row>
    <row r="85" spans="2:20" x14ac:dyDescent="0.2">
      <c r="T85" s="9"/>
    </row>
    <row r="93" spans="2:20" x14ac:dyDescent="0.2">
      <c r="T93" s="9"/>
    </row>
    <row r="96" spans="2:20" x14ac:dyDescent="0.2">
      <c r="B96" s="2"/>
      <c r="C96" s="2"/>
      <c r="D96" s="2"/>
      <c r="E96" s="2"/>
    </row>
    <row r="99" spans="2:12" x14ac:dyDescent="0.2"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</row>
    <row r="100" spans="2:12" x14ac:dyDescent="0.2">
      <c r="B100" s="14"/>
    </row>
    <row r="101" spans="2:12" x14ac:dyDescent="0.2">
      <c r="B101" s="14"/>
    </row>
    <row r="102" spans="2:12" x14ac:dyDescent="0.2">
      <c r="B102" s="14"/>
    </row>
    <row r="103" spans="2:12" x14ac:dyDescent="0.2">
      <c r="B103" s="14"/>
    </row>
    <row r="104" spans="2:12" x14ac:dyDescent="0.2">
      <c r="B104" s="14"/>
    </row>
    <row r="105" spans="2:12" x14ac:dyDescent="0.2">
      <c r="B105" s="14"/>
    </row>
    <row r="110" spans="2:12" x14ac:dyDescent="0.2">
      <c r="B110" s="14"/>
    </row>
    <row r="111" spans="2:12" x14ac:dyDescent="0.2">
      <c r="B111" s="14"/>
    </row>
    <row r="137" spans="1:19" x14ac:dyDescent="0.2">
      <c r="A137" s="4"/>
      <c r="M137" s="4"/>
      <c r="N137" s="4"/>
      <c r="O137" s="4"/>
      <c r="P137" s="4"/>
      <c r="Q137" s="4"/>
      <c r="R137" s="4"/>
      <c r="S137" s="4"/>
    </row>
    <row r="195" spans="2:12" x14ac:dyDescent="0.2">
      <c r="B195" s="2"/>
      <c r="C195" s="2"/>
      <c r="D195" s="2"/>
      <c r="E195" s="2"/>
    </row>
    <row r="198" spans="2:12" x14ac:dyDescent="0.2"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</row>
    <row r="199" spans="2:12" x14ac:dyDescent="0.2">
      <c r="B199" s="14"/>
    </row>
    <row r="200" spans="2:12" x14ac:dyDescent="0.2">
      <c r="B200" s="14"/>
    </row>
    <row r="201" spans="2:12" x14ac:dyDescent="0.2">
      <c r="B201" s="14"/>
    </row>
    <row r="202" spans="2:12" x14ac:dyDescent="0.2">
      <c r="B202" s="14"/>
    </row>
    <row r="203" spans="2:12" x14ac:dyDescent="0.2">
      <c r="B203" s="14"/>
    </row>
    <row r="204" spans="2:12" x14ac:dyDescent="0.2">
      <c r="B204" s="14"/>
    </row>
    <row r="209" spans="2:2" x14ac:dyDescent="0.2">
      <c r="B209" s="14"/>
    </row>
    <row r="210" spans="2:2" x14ac:dyDescent="0.2">
      <c r="B210" s="14"/>
    </row>
    <row r="236" spans="1:19" x14ac:dyDescent="0.2">
      <c r="A236" s="4"/>
      <c r="M236" s="4"/>
      <c r="N236" s="4"/>
      <c r="O236" s="4"/>
      <c r="P236" s="4"/>
      <c r="Q236" s="4"/>
      <c r="R236" s="4"/>
      <c r="S236" s="4"/>
    </row>
    <row r="295" spans="2:12" x14ac:dyDescent="0.2">
      <c r="B295" s="2"/>
      <c r="C295" s="2"/>
      <c r="D295" s="2"/>
      <c r="E295" s="2"/>
    </row>
    <row r="298" spans="2:12" x14ac:dyDescent="0.2"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</row>
    <row r="300" spans="2:12" x14ac:dyDescent="0.2">
      <c r="B300" s="14"/>
    </row>
    <row r="302" spans="2:12" x14ac:dyDescent="0.2">
      <c r="B302" s="14"/>
    </row>
    <row r="303" spans="2:12" x14ac:dyDescent="0.2">
      <c r="B303" s="14"/>
    </row>
    <row r="304" spans="2:12" x14ac:dyDescent="0.2">
      <c r="B304" s="14"/>
    </row>
    <row r="333" spans="1:24" x14ac:dyDescent="0.2">
      <c r="T333" s="4"/>
      <c r="U333" s="4"/>
      <c r="V333" s="4"/>
      <c r="W333" s="4"/>
      <c r="X333" s="4"/>
    </row>
    <row r="336" spans="1:24" x14ac:dyDescent="0.2">
      <c r="A336" s="4"/>
      <c r="M336" s="4"/>
      <c r="N336" s="4"/>
      <c r="O336" s="4"/>
      <c r="P336" s="4"/>
      <c r="Q336" s="4"/>
      <c r="R336" s="4"/>
      <c r="S336" s="4"/>
    </row>
    <row r="395" spans="2:12" x14ac:dyDescent="0.2">
      <c r="B395" s="2"/>
      <c r="C395" s="2"/>
      <c r="D395" s="2"/>
      <c r="E395" s="2"/>
    </row>
    <row r="398" spans="2:12" x14ac:dyDescent="0.2"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</row>
    <row r="400" spans="2:12" x14ac:dyDescent="0.2">
      <c r="B400" s="14"/>
    </row>
    <row r="402" spans="2:2" x14ac:dyDescent="0.2">
      <c r="B402" s="14"/>
    </row>
    <row r="403" spans="2:2" x14ac:dyDescent="0.2">
      <c r="B403" s="14"/>
    </row>
    <row r="404" spans="2:2" x14ac:dyDescent="0.2">
      <c r="B404" s="14"/>
    </row>
    <row r="436" spans="1:19" x14ac:dyDescent="0.2">
      <c r="A436" s="4"/>
      <c r="M436" s="4"/>
      <c r="N436" s="4"/>
      <c r="O436" s="4"/>
      <c r="P436" s="4"/>
      <c r="Q436" s="4"/>
      <c r="R436" s="4"/>
      <c r="S436" s="4"/>
    </row>
  </sheetData>
  <pageMargins left="0.75" right="0.75" top="1" bottom="1" header="0.5" footer="0.5"/>
  <pageSetup paperSize="9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Three Piece Desk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2021-01-21T06:06:50Z</dcterms:created>
  <dcterms:modified xsi:type="dcterms:W3CDTF">2021-01-21T06:49:33Z</dcterms:modified>
</cp:coreProperties>
</file>