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59B87C18-3B50-41DB-920B-1A52B4389B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50-400x100-250x300-70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C7" i="2" l="1"/>
  <c r="C6" i="2"/>
  <c r="E13" i="2" l="1"/>
  <c r="E12" i="2"/>
  <c r="E7" i="2"/>
  <c r="E6" i="2"/>
  <c r="K4" i="2"/>
  <c r="E36" i="2" l="1"/>
  <c r="E34" i="2"/>
  <c r="E33" i="2"/>
  <c r="E20" i="2"/>
  <c r="E19" i="2"/>
  <c r="E74" i="2"/>
  <c r="E73" i="2"/>
  <c r="E72" i="2"/>
  <c r="E70" i="2"/>
  <c r="D64" i="2"/>
  <c r="E64" i="2" s="1"/>
  <c r="D62" i="2"/>
  <c r="E62" i="2" s="1"/>
  <c r="E61" i="2"/>
  <c r="D60" i="2"/>
  <c r="E60" i="2" s="1"/>
  <c r="E58" i="2"/>
  <c r="D57" i="2"/>
  <c r="E57" i="2" s="1"/>
  <c r="C54" i="2"/>
  <c r="F48" i="2"/>
  <c r="E48" i="2"/>
  <c r="D48" i="2"/>
  <c r="C48" i="2"/>
  <c r="H44" i="2"/>
  <c r="G44" i="2"/>
  <c r="F43" i="2"/>
  <c r="Q43" i="2" s="1"/>
  <c r="Q42" i="2"/>
  <c r="I42" i="2"/>
  <c r="M42" i="2" s="1"/>
  <c r="F42" i="2"/>
  <c r="J42" i="2" s="1"/>
  <c r="P42" i="2" s="1"/>
  <c r="Q41" i="2"/>
  <c r="J41" i="2"/>
  <c r="P41" i="2" s="1"/>
  <c r="I41" i="2"/>
  <c r="K41" i="2" s="1"/>
  <c r="F41" i="2"/>
  <c r="F40" i="2"/>
  <c r="M39" i="2"/>
  <c r="F39" i="2"/>
  <c r="Q39" i="2" s="1"/>
  <c r="R39" i="2" s="1"/>
  <c r="S39" i="2" s="1"/>
  <c r="Q38" i="2"/>
  <c r="M38" i="2"/>
  <c r="R38" i="2" s="1"/>
  <c r="S38" i="2" s="1"/>
  <c r="Q36" i="2"/>
  <c r="N36" i="2"/>
  <c r="J36" i="2"/>
  <c r="P36" i="2" s="1"/>
  <c r="I36" i="2"/>
  <c r="M36" i="2" s="1"/>
  <c r="D36" i="2"/>
  <c r="C36" i="2"/>
  <c r="Q35" i="2"/>
  <c r="M35" i="2"/>
  <c r="R35" i="2" s="1"/>
  <c r="S35" i="2" s="1"/>
  <c r="D34" i="2"/>
  <c r="C34" i="2"/>
  <c r="J34" i="2" s="1"/>
  <c r="P34" i="2" s="1"/>
  <c r="D33" i="2"/>
  <c r="C33" i="2"/>
  <c r="F32" i="2"/>
  <c r="Q32" i="2" s="1"/>
  <c r="D32" i="2"/>
  <c r="F31" i="2"/>
  <c r="Q31" i="2" s="1"/>
  <c r="D31" i="2"/>
  <c r="C31" i="2"/>
  <c r="C32" i="2" s="1"/>
  <c r="F30" i="2"/>
  <c r="Q30" i="2" s="1"/>
  <c r="D30" i="2"/>
  <c r="C30" i="2"/>
  <c r="F29" i="2"/>
  <c r="Q29" i="2" s="1"/>
  <c r="D29" i="2"/>
  <c r="C29" i="2"/>
  <c r="F28" i="2"/>
  <c r="Q28" i="2" s="1"/>
  <c r="Q27" i="2"/>
  <c r="N27" i="2"/>
  <c r="D27" i="2"/>
  <c r="C27" i="2"/>
  <c r="I26" i="2"/>
  <c r="M26" i="2" s="1"/>
  <c r="F26" i="2"/>
  <c r="Q26" i="2" s="1"/>
  <c r="D23" i="2"/>
  <c r="O23" i="2" s="1"/>
  <c r="C23" i="2"/>
  <c r="D22" i="2"/>
  <c r="C22" i="2"/>
  <c r="Q21" i="2"/>
  <c r="F21" i="2"/>
  <c r="D21" i="2"/>
  <c r="C21" i="2"/>
  <c r="I21" i="2" s="1"/>
  <c r="O20" i="2"/>
  <c r="D19" i="2"/>
  <c r="J19" i="2" s="1"/>
  <c r="P19" i="2" s="1"/>
  <c r="F18" i="2"/>
  <c r="Q18" i="2" s="1"/>
  <c r="D18" i="2"/>
  <c r="C18" i="2"/>
  <c r="J18" i="2" s="1"/>
  <c r="P18" i="2" s="1"/>
  <c r="Q17" i="2"/>
  <c r="D17" i="2"/>
  <c r="C17" i="2"/>
  <c r="F15" i="2"/>
  <c r="Q15" i="2" s="1"/>
  <c r="D14" i="2"/>
  <c r="O14" i="2" s="1"/>
  <c r="C14" i="2"/>
  <c r="D13" i="2"/>
  <c r="F12" i="2"/>
  <c r="F13" i="2" s="1"/>
  <c r="J13" i="2" s="1"/>
  <c r="P13" i="2" s="1"/>
  <c r="D12" i="2"/>
  <c r="J12" i="2" s="1"/>
  <c r="P12" i="2" s="1"/>
  <c r="F11" i="2"/>
  <c r="N11" i="2" s="1"/>
  <c r="D11" i="2"/>
  <c r="I11" i="2" s="1"/>
  <c r="K11" i="2" s="1"/>
  <c r="C11" i="2"/>
  <c r="F10" i="2"/>
  <c r="J10" i="2"/>
  <c r="P10" i="2" s="1"/>
  <c r="C10" i="2"/>
  <c r="D9" i="2"/>
  <c r="C9" i="2"/>
  <c r="J9" i="2" s="1"/>
  <c r="P9" i="2" s="1"/>
  <c r="O8" i="2"/>
  <c r="D8" i="2"/>
  <c r="J8" i="2" s="1"/>
  <c r="P8" i="2" s="1"/>
  <c r="C8" i="2"/>
  <c r="F7" i="2"/>
  <c r="D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N6" i="2"/>
  <c r="F6" i="2"/>
  <c r="D6" i="2"/>
  <c r="J23" i="2" l="1"/>
  <c r="P23" i="2" s="1"/>
  <c r="I12" i="2"/>
  <c r="M12" i="2" s="1"/>
  <c r="M41" i="2"/>
  <c r="F16" i="2"/>
  <c r="J16" i="2" s="1"/>
  <c r="P16" i="2" s="1"/>
  <c r="I31" i="2"/>
  <c r="N31" i="2" s="1"/>
  <c r="I19" i="2"/>
  <c r="I9" i="2"/>
  <c r="J31" i="2"/>
  <c r="P31" i="2" s="1"/>
  <c r="F37" i="2"/>
  <c r="I14" i="2"/>
  <c r="I17" i="2"/>
  <c r="N17" i="2" s="1"/>
  <c r="J26" i="2"/>
  <c r="P26" i="2" s="1"/>
  <c r="I28" i="2"/>
  <c r="M28" i="2" s="1"/>
  <c r="J30" i="2"/>
  <c r="P30" i="2" s="1"/>
  <c r="I15" i="2"/>
  <c r="O44" i="2"/>
  <c r="K26" i="2"/>
  <c r="J28" i="2"/>
  <c r="P28" i="2" s="1"/>
  <c r="I10" i="2"/>
  <c r="J17" i="2"/>
  <c r="P17" i="2" s="1"/>
  <c r="C20" i="2"/>
  <c r="J20" i="2" s="1"/>
  <c r="P20" i="2" s="1"/>
  <c r="I23" i="2"/>
  <c r="K19" i="2"/>
  <c r="L19" i="2" s="1"/>
  <c r="M19" i="2"/>
  <c r="I34" i="2"/>
  <c r="N34" i="2" s="1"/>
  <c r="M10" i="2"/>
  <c r="K10" i="2"/>
  <c r="M21" i="2"/>
  <c r="K21" i="2"/>
  <c r="A21" i="2"/>
  <c r="A22" i="2" s="1"/>
  <c r="A23" i="2" s="1"/>
  <c r="A24" i="2" s="1"/>
  <c r="A20" i="2"/>
  <c r="J22" i="2"/>
  <c r="P22" i="2" s="1"/>
  <c r="I22" i="2"/>
  <c r="I6" i="2"/>
  <c r="J7" i="2"/>
  <c r="P7" i="2" s="1"/>
  <c r="I7" i="2"/>
  <c r="M11" i="2"/>
  <c r="K12" i="2"/>
  <c r="K42" i="2"/>
  <c r="L11" i="2"/>
  <c r="J29" i="2"/>
  <c r="P29" i="2" s="1"/>
  <c r="I29" i="2"/>
  <c r="D65" i="2"/>
  <c r="E65" i="2" s="1"/>
  <c r="J40" i="2"/>
  <c r="P40" i="2" s="1"/>
  <c r="L26" i="2"/>
  <c r="R26" i="2" s="1"/>
  <c r="S26" i="2" s="1"/>
  <c r="J6" i="2"/>
  <c r="I30" i="2"/>
  <c r="F25" i="2"/>
  <c r="I16" i="2"/>
  <c r="J21" i="2"/>
  <c r="P21" i="2" s="1"/>
  <c r="J27" i="2"/>
  <c r="P27" i="2" s="1"/>
  <c r="I27" i="2"/>
  <c r="K31" i="2"/>
  <c r="I40" i="2"/>
  <c r="M34" i="2"/>
  <c r="L41" i="2"/>
  <c r="R41" i="2" s="1"/>
  <c r="S41" i="2" s="1"/>
  <c r="I8" i="2"/>
  <c r="J11" i="2"/>
  <c r="P11" i="2" s="1"/>
  <c r="K17" i="2"/>
  <c r="F24" i="2"/>
  <c r="K28" i="2"/>
  <c r="Q40" i="2"/>
  <c r="I13" i="2"/>
  <c r="J33" i="2"/>
  <c r="P33" i="2" s="1"/>
  <c r="I33" i="2"/>
  <c r="K34" i="2"/>
  <c r="J43" i="2"/>
  <c r="P43" i="2" s="1"/>
  <c r="I43" i="2"/>
  <c r="J14" i="2"/>
  <c r="P14" i="2" s="1"/>
  <c r="Q16" i="2"/>
  <c r="M17" i="2"/>
  <c r="I18" i="2"/>
  <c r="J32" i="2"/>
  <c r="P32" i="2" s="1"/>
  <c r="I32" i="2"/>
  <c r="K36" i="2"/>
  <c r="I37" i="2"/>
  <c r="K15" i="2" l="1"/>
  <c r="L15" i="2" s="1"/>
  <c r="R15" i="2" s="1"/>
  <c r="M15" i="2"/>
  <c r="K9" i="2"/>
  <c r="M9" i="2"/>
  <c r="M23" i="2"/>
  <c r="K23" i="2"/>
  <c r="R14" i="2"/>
  <c r="S14" i="2" s="1"/>
  <c r="R11" i="2"/>
  <c r="S11" i="2" s="1"/>
  <c r="M31" i="2"/>
  <c r="I20" i="2"/>
  <c r="M14" i="2"/>
  <c r="K14" i="2"/>
  <c r="L14" i="2" s="1"/>
  <c r="D56" i="2"/>
  <c r="E56" i="2" s="1"/>
  <c r="Q37" i="2"/>
  <c r="J37" i="2"/>
  <c r="P37" i="2" s="1"/>
  <c r="R19" i="2"/>
  <c r="S19" i="2" s="1"/>
  <c r="S15" i="2"/>
  <c r="M20" i="2"/>
  <c r="K20" i="2"/>
  <c r="L34" i="2"/>
  <c r="R34" i="2" s="1"/>
  <c r="S34" i="2" s="1"/>
  <c r="N30" i="2"/>
  <c r="M30" i="2"/>
  <c r="K30" i="2"/>
  <c r="D59" i="2"/>
  <c r="E59" i="2" s="1"/>
  <c r="J24" i="2"/>
  <c r="P24" i="2" s="1"/>
  <c r="Q24" i="2"/>
  <c r="I24" i="2"/>
  <c r="K29" i="2"/>
  <c r="M29" i="2"/>
  <c r="L12" i="2"/>
  <c r="R12" i="2" s="1"/>
  <c r="S12" i="2" s="1"/>
  <c r="K27" i="2"/>
  <c r="M27" i="2"/>
  <c r="M7" i="2"/>
  <c r="K7" i="2"/>
  <c r="A26" i="2"/>
  <c r="A25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N32" i="2"/>
  <c r="M32" i="2"/>
  <c r="K32" i="2"/>
  <c r="L28" i="2"/>
  <c r="R28" i="2" s="1"/>
  <c r="S28" i="2" s="1"/>
  <c r="K22" i="2"/>
  <c r="M22" i="2"/>
  <c r="M40" i="2"/>
  <c r="K40" i="2"/>
  <c r="K18" i="2"/>
  <c r="N18" i="2"/>
  <c r="M18" i="2"/>
  <c r="L31" i="2"/>
  <c r="R31" i="2" s="1"/>
  <c r="S31" i="2" s="1"/>
  <c r="F44" i="2"/>
  <c r="K13" i="2"/>
  <c r="M13" i="2"/>
  <c r="M8" i="2"/>
  <c r="K8" i="2"/>
  <c r="L21" i="2"/>
  <c r="R21" i="2" s="1"/>
  <c r="S21" i="2" s="1"/>
  <c r="L36" i="2"/>
  <c r="R36" i="2" s="1"/>
  <c r="S36" i="2" s="1"/>
  <c r="J25" i="2"/>
  <c r="P25" i="2" s="1"/>
  <c r="I25" i="2"/>
  <c r="I44" i="2" s="1"/>
  <c r="C51" i="2" s="1"/>
  <c r="Q25" i="2"/>
  <c r="M33" i="2"/>
  <c r="K33" i="2"/>
  <c r="N33" i="2"/>
  <c r="P6" i="2"/>
  <c r="L10" i="2"/>
  <c r="R10" i="2" s="1"/>
  <c r="S10" i="2" s="1"/>
  <c r="L17" i="2"/>
  <c r="R17" i="2" s="1"/>
  <c r="S17" i="2" s="1"/>
  <c r="K37" i="2"/>
  <c r="M37" i="2"/>
  <c r="M43" i="2"/>
  <c r="K43" i="2"/>
  <c r="M16" i="2"/>
  <c r="K16" i="2"/>
  <c r="L42" i="2"/>
  <c r="R42" i="2" s="1"/>
  <c r="S42" i="2" s="1"/>
  <c r="M6" i="2"/>
  <c r="K6" i="2"/>
  <c r="L23" i="2" l="1"/>
  <c r="R23" i="2"/>
  <c r="S23" i="2" s="1"/>
  <c r="L9" i="2"/>
  <c r="R9" i="2"/>
  <c r="S9" i="2" s="1"/>
  <c r="Q44" i="2"/>
  <c r="L20" i="2"/>
  <c r="R20" i="2"/>
  <c r="S20" i="2" s="1"/>
  <c r="L37" i="2"/>
  <c r="R37" i="2" s="1"/>
  <c r="S37" i="2" s="1"/>
  <c r="L8" i="2"/>
  <c r="R8" i="2" s="1"/>
  <c r="S8" i="2" s="1"/>
  <c r="L32" i="2"/>
  <c r="R32" i="2" s="1"/>
  <c r="S32" i="2" s="1"/>
  <c r="L30" i="2"/>
  <c r="R30" i="2"/>
  <c r="S30" i="2" s="1"/>
  <c r="K25" i="2"/>
  <c r="M25" i="2"/>
  <c r="L13" i="2"/>
  <c r="R13" i="2" s="1"/>
  <c r="S13" i="2" s="1"/>
  <c r="D55" i="2"/>
  <c r="D69" i="2"/>
  <c r="E69" i="2" s="1"/>
  <c r="D75" i="2"/>
  <c r="E75" i="2" s="1"/>
  <c r="D54" i="2"/>
  <c r="E54" i="2" s="1"/>
  <c r="L18" i="2"/>
  <c r="R18" i="2" s="1"/>
  <c r="S18" i="2" s="1"/>
  <c r="L16" i="2"/>
  <c r="R16" i="2"/>
  <c r="L40" i="2"/>
  <c r="R40" i="2"/>
  <c r="S40" i="2" s="1"/>
  <c r="L43" i="2"/>
  <c r="R43" i="2"/>
  <c r="S43" i="2" s="1"/>
  <c r="L29" i="2"/>
  <c r="R29" i="2" s="1"/>
  <c r="S29" i="2" s="1"/>
  <c r="L33" i="2"/>
  <c r="R33" i="2"/>
  <c r="S33" i="2" s="1"/>
  <c r="N44" i="2"/>
  <c r="L27" i="2"/>
  <c r="R27" i="2"/>
  <c r="S27" i="2" s="1"/>
  <c r="J44" i="2"/>
  <c r="L6" i="2"/>
  <c r="R6" i="2" s="1"/>
  <c r="P44" i="2"/>
  <c r="P45" i="2" s="1"/>
  <c r="C55" i="2" s="1"/>
  <c r="L22" i="2"/>
  <c r="R22" i="2"/>
  <c r="S22" i="2" s="1"/>
  <c r="L7" i="2"/>
  <c r="R7" i="2" s="1"/>
  <c r="S7" i="2" s="1"/>
  <c r="M24" i="2"/>
  <c r="K24" i="2"/>
  <c r="M44" i="2" l="1"/>
  <c r="S6" i="2"/>
  <c r="E71" i="2"/>
  <c r="E55" i="2"/>
  <c r="L24" i="2"/>
  <c r="R24" i="2" s="1"/>
  <c r="L25" i="2"/>
  <c r="R25" i="2" s="1"/>
  <c r="S25" i="2" s="1"/>
  <c r="S16" i="2"/>
  <c r="C63" i="2"/>
  <c r="E63" i="2" s="1"/>
  <c r="K44" i="2"/>
  <c r="E66" i="2" l="1"/>
  <c r="E67" i="2" s="1"/>
  <c r="E68" i="2" s="1"/>
  <c r="E76" i="2" s="1"/>
  <c r="L44" i="2"/>
  <c r="S24" i="2"/>
  <c r="S44" i="2" s="1"/>
  <c r="R44" i="2"/>
  <c r="G79" i="2" l="1"/>
  <c r="G80" i="2" s="1"/>
  <c r="T44" i="2"/>
  <c r="E77" i="2"/>
  <c r="E78" i="2" s="1"/>
  <c r="E79" i="2" s="1"/>
</calcChain>
</file>

<file path=xl/sharedStrings.xml><?xml version="1.0" encoding="utf-8"?>
<sst xmlns="http://schemas.openxmlformats.org/spreadsheetml/2006/main" count="105" uniqueCount="95">
  <si>
    <t>w</t>
  </si>
  <si>
    <t>d</t>
  </si>
  <si>
    <t>h</t>
  </si>
  <si>
    <t>B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</si>
  <si>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</si>
  <si>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</si>
  <si>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</si>
  <si>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</si>
  <si>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</si>
  <si>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</si>
  <si>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</si>
  <si>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</si>
  <si>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</si>
  <si>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</si>
  <si>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</si>
  <si>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</si>
  <si>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</si>
  <si>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</si>
  <si>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</si>
  <si>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</si>
  <si>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</si>
  <si>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</si>
  <si>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</si>
  <si>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</si>
  <si>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</si>
  <si>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</si>
  <si>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</si>
  <si>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</si>
  <si>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</si>
  <si>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</si>
  <si>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</si>
  <si>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</si>
  <si>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</si>
  <si>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</si>
  <si>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</si>
  <si>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</si>
  <si>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</si>
  <si>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</si>
  <si>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</si>
  <si>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</si>
  <si>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</si>
  <si>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</si>
  <si>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</si>
  <si>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Base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</si>
  <si>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</si>
  <si>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</si>
  <si>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</si>
  <si>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</si>
  <si>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</si>
  <si>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</si>
  <si>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</si>
  <si>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</si>
  <si>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</si>
  <si>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</si>
  <si>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Lock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</si>
  <si>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</si>
  <si>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</si>
  <si>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</si>
  <si>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</si>
  <si>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</si>
  <si>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</si>
  <si>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</si>
  <si>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</si>
  <si>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</si>
  <si>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</si>
  <si>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</si>
  <si>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</si>
  <si>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</si>
  <si>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</si>
  <si>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</si>
  <si>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</si>
  <si>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</si>
  <si>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</si>
  <si>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 xml:space="preserve">Mini 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</si>
  <si>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</si>
  <si>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</si>
  <si>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</si>
  <si>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</si>
  <si>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</si>
  <si>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</si>
  <si>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</si>
  <si>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</si>
  <si>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</si>
  <si>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</si>
  <si>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</si>
  <si>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</si>
  <si>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</si>
  <si>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</si>
  <si>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</si>
  <si>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</si>
  <si>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</si>
  <si>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Max Size</t>
  </si>
  <si>
    <t>Thk</t>
  </si>
  <si>
    <t>Steel Price</t>
  </si>
  <si>
    <t>COSTING OF  WMM-23.5 (AE Box)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</si>
</sst>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2" fillId="0" borderId="0" xfId="1" applyBorder="1"/>
    <xf numFmtId="0" fontId="2" fillId="0" borderId="0" xfId="1"/>
    <xf numFmtId="0" fontId="3" fillId="0" borderId="0" xfId="1" applyFont="1"/>
    <xf numFmtId="0" fontId="2" fillId="0" borderId="0" xfId="1" applyFont="1"/>
    <xf numFmtId="9" fontId="2" fillId="0" borderId="0" xfId="1" applyNumberFormat="1"/>
    <xf numFmtId="0" fontId="2" fillId="0" borderId="1" xfId="1" applyBorder="1" applyAlignment="1">
      <alignment horizontal="left"/>
    </xf>
    <xf numFmtId="0" fontId="2" fillId="0" borderId="1" xfId="1" applyBorder="1"/>
    <xf numFmtId="1" fontId="2" fillId="0" borderId="1" xfId="1" applyNumberFormat="1" applyBorder="1"/>
    <xf numFmtId="0" fontId="2" fillId="0" borderId="1" xfId="1" applyFill="1" applyBorder="1"/>
    <xf numFmtId="1" fontId="2" fillId="0" borderId="0" xfId="1" applyNumberFormat="1"/>
    <xf numFmtId="0" fontId="2" fillId="0" borderId="1" xfId="1" applyFont="1" applyBorder="1"/>
    <xf numFmtId="0" fontId="2" fillId="0" borderId="1" xfId="2" applyBorder="1"/>
    <xf numFmtId="1" fontId="2" fillId="0" borderId="1" xfId="2" applyNumberFormat="1" applyBorder="1"/>
    <xf numFmtId="0" fontId="2" fillId="0" borderId="0" xfId="2"/>
    <xf numFmtId="1" fontId="2" fillId="0" borderId="0" xfId="2" applyNumberFormat="1"/>
    <xf numFmtId="0" fontId="2" fillId="2" borderId="1" xfId="1" applyFont="1" applyFill="1" applyBorder="1"/>
    <xf numFmtId="0" fontId="2" fillId="0" borderId="0" xfId="1" applyFill="1" applyBorder="1"/>
    <xf numFmtId="10" fontId="2" fillId="0" borderId="0" xfId="1" applyNumberFormat="1"/>
    <xf numFmtId="0" fontId="4" fillId="0" borderId="1" xfId="2" applyFont="1" applyFill="1" applyBorder="1"/>
    <xf numFmtId="0" fontId="4" fillId="0" borderId="1" xfId="2" applyFont="1" applyBorder="1"/>
    <xf numFmtId="9" fontId="2" fillId="0" borderId="0" xfId="1" applyNumberFormat="1" applyBorder="1"/>
    <xf numFmtId="0" fontId="4" fillId="0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9" fontId="2" fillId="0" borderId="0" xfId="2" applyNumberFormat="1" applyBorder="1"/>
    <xf numFmtId="0" fontId="5" fillId="0" borderId="0" xfId="1" applyFont="1"/>
    <xf numFmtId="2" fontId="4" fillId="0" borderId="1" xfId="2" applyNumberFormat="1" applyFont="1" applyFill="1" applyBorder="1"/>
    <xf numFmtId="0" fontId="2" fillId="0" borderId="0" xfId="2" applyBorder="1"/>
    <xf numFmtId="0" fontId="4" fillId="0" borderId="0" xfId="2" applyFont="1"/>
    <xf numFmtId="0" fontId="4" fillId="0" borderId="0" xfId="2" applyFont="1" applyAlignment="1">
      <alignment horizontal="center"/>
    </xf>
    <xf numFmtId="10" fontId="2" fillId="0" borderId="0" xfId="2" applyNumberFormat="1" applyBorder="1"/>
    <xf numFmtId="1" fontId="4" fillId="0" borderId="1" xfId="2" applyNumberFormat="1" applyFont="1" applyFill="1" applyBorder="1"/>
    <xf numFmtId="0" fontId="4" fillId="0" borderId="1" xfId="2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vertical="center"/>
    </xf>
    <xf numFmtId="0" fontId="4" fillId="0" borderId="1" xfId="2" applyFont="1" applyFill="1" applyBorder="1" applyAlignment="1">
      <alignment horizontal="right"/>
    </xf>
    <xf numFmtId="9" fontId="4" fillId="0" borderId="1" xfId="2" applyNumberFormat="1" applyFont="1" applyFill="1" applyBorder="1"/>
    <xf numFmtId="9" fontId="4" fillId="0" borderId="0" xfId="2" applyNumberFormat="1" applyFont="1"/>
    <xf numFmtId="9" fontId="2" fillId="0" borderId="0" xfId="2" applyNumberFormat="1"/>
    <xf numFmtId="0" fontId="4" fillId="0" borderId="0" xfId="1" applyFont="1" applyFill="1" applyBorder="1"/>
    <xf numFmtId="1" fontId="4" fillId="0" borderId="0" xfId="1" applyNumberFormat="1" applyFont="1" applyFill="1" applyBorder="1"/>
    <xf numFmtId="1" fontId="2" fillId="0" borderId="0" xfId="1" applyNumberFormat="1" applyBorder="1"/>
    <xf numFmtId="0" fontId="3" fillId="0" borderId="0" xfId="1" applyFont="1" applyBorder="1"/>
    <xf numFmtId="0" fontId="2" fillId="0" borderId="0" xfId="1" applyBorder="1" applyAlignment="1">
      <alignment horizontal="center"/>
    </xf>
    <xf numFmtId="0" fontId="2" fillId="0" borderId="0" xfId="1" quotePrefix="1" applyBorder="1"/>
    <xf numFmtId="0" fontId="2" fillId="0" borderId="0" xfId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2" applyFont="1"/>
  </cellXfs>
  <cellStyles count="27">
    <cellStyle name="Excel Built-in Normal" xfId="3" xr:uid="{00000000-0005-0000-0000-000000000000}"/>
    <cellStyle name="Hyperlink 2" xfId="4" xr:uid="{00000000-0005-0000-0000-000001000000}"/>
    <cellStyle name="Normal" xfId="0" builtinId="0"/>
    <cellStyle name="Normal 10" xfId="5" xr:uid="{00000000-0005-0000-0000-000003000000}"/>
    <cellStyle name="Normal 10 2" xfId="6" xr:uid="{00000000-0005-0000-0000-000004000000}"/>
    <cellStyle name="Normal 11" xfId="7" xr:uid="{00000000-0005-0000-0000-000005000000}"/>
    <cellStyle name="Normal 11 2" xfId="8" xr:uid="{00000000-0005-0000-0000-000006000000}"/>
    <cellStyle name="Normal 12" xfId="9" xr:uid="{00000000-0005-0000-0000-000007000000}"/>
    <cellStyle name="Normal 13" xfId="10" xr:uid="{00000000-0005-0000-0000-000008000000}"/>
    <cellStyle name="Normal 14" xfId="11" xr:uid="{00000000-0005-0000-0000-000009000000}"/>
    <cellStyle name="Normal 15" xfId="12" xr:uid="{00000000-0005-0000-0000-00000A000000}"/>
    <cellStyle name="Normal 2" xfId="1" xr:uid="{00000000-0005-0000-0000-00000B000000}"/>
    <cellStyle name="Normal 2 2" xfId="13" xr:uid="{00000000-0005-0000-0000-00000C000000}"/>
    <cellStyle name="Normal 2_ITW Signode" xfId="14" xr:uid="{00000000-0005-0000-0000-00000D000000}"/>
    <cellStyle name="Normal 3" xfId="15" xr:uid="{00000000-0005-0000-0000-00000E000000}"/>
    <cellStyle name="Normal 3 2" xfId="16" xr:uid="{00000000-0005-0000-0000-00000F000000}"/>
    <cellStyle name="Normal 3 3" xfId="17" xr:uid="{00000000-0005-0000-0000-000010000000}"/>
    <cellStyle name="Normal 4" xfId="2" xr:uid="{00000000-0005-0000-0000-000011000000}"/>
    <cellStyle name="Normal 4 2" xfId="18" xr:uid="{00000000-0005-0000-0000-000012000000}"/>
    <cellStyle name="Normal 4 3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8" xfId="23" xr:uid="{00000000-0005-0000-0000-000017000000}"/>
    <cellStyle name="Normal 8 2" xfId="24" xr:uid="{00000000-0005-0000-0000-000018000000}"/>
    <cellStyle name="Normal 9" xfId="25" xr:uid="{00000000-0005-0000-0000-000019000000}"/>
    <cellStyle name="Normal 9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301E-C1AD-41C9-ABA3-35A2F2CA001D}">
  <dimension ref="A1:X491"/>
  <sheetViews>
    <sheetView tabSelected="1" zoomScale="80" workbookViewId="0">
      <pane xSplit="4" ySplit="5" topLeftCell="E27" activePane="bottomRight" state="frozen"/>
      <selection activeCell="D3" sqref="D3"/>
      <selection pane="topRight" activeCell="D3" sqref="D3"/>
      <selection pane="bottomLeft" activeCell="D3" sqref="D3"/>
      <selection pane="bottomRight" activeCell="C54" sqref="C54"/>
    </sheetView>
  </sheetViews>
  <sheetFormatPr defaultColWidth="9.109375" defaultRowHeight="13.2" x14ac:dyDescent="0.25"/>
  <cols>
    <col min="1" max="1" width="3.109375" style="2" customWidth="1"/>
    <col min="2" max="2" width="14.33203125" style="2" customWidth="1"/>
    <col min="3" max="5" width="7" style="2" customWidth="1"/>
    <col min="6" max="6" width="7.109375" style="2" customWidth="1"/>
    <col min="7" max="7" width="7.88671875" style="2" customWidth="1"/>
    <col min="8" max="8" width="6.44140625" style="2" customWidth="1"/>
    <col min="9" max="9" width="9.88671875" style="2" bestFit="1" customWidth="1"/>
    <col min="10" max="11" width="6.44140625" style="2" customWidth="1"/>
    <col min="12" max="12" width="6.88671875" style="2" customWidth="1"/>
    <col min="13" max="13" width="5.33203125" style="2" customWidth="1"/>
    <col min="14" max="14" width="5.44140625" style="2" customWidth="1"/>
    <col min="15" max="15" width="5.33203125" style="2" customWidth="1"/>
    <col min="16" max="16" width="5.6640625" style="2" customWidth="1"/>
    <col min="17" max="17" width="5.44140625" style="2" customWidth="1"/>
    <col min="18" max="18" width="7.6640625" style="2" customWidth="1"/>
    <col min="19" max="19" width="6.44140625" style="2" customWidth="1"/>
    <col min="20" max="20" width="6.33203125" style="2" customWidth="1"/>
    <col min="21" max="21" width="9.109375" style="2"/>
    <col min="22" max="22" width="9.44140625" style="2" bestFit="1" customWidth="1"/>
    <col min="23" max="16384" width="9.109375" style="2"/>
  </cols>
  <sheetData>
    <row r="1" spans="1:21" ht="21" x14ac:dyDescent="0.4">
      <c r="A1" s="1"/>
      <c r="B1" s="3" t="s">
        <v>94</v>
      </c>
      <c r="D1" s="3"/>
      <c r="E1" s="3"/>
      <c r="I1" s="46" t="s">
        <v>93</v>
      </c>
      <c r="J1" s="46">
        <v>70</v>
      </c>
    </row>
    <row r="2" spans="1:21" x14ac:dyDescent="0.25">
      <c r="A2" s="1"/>
      <c r="B2" s="44">
        <v>400</v>
      </c>
      <c r="C2" s="44">
        <v>250</v>
      </c>
      <c r="D2" s="44">
        <v>700</v>
      </c>
      <c r="E2" s="44"/>
      <c r="F2" s="44"/>
      <c r="G2" s="2" t="s">
        <v>91</v>
      </c>
      <c r="I2" s="46" t="s">
        <v>92</v>
      </c>
      <c r="J2" s="46">
        <v>1.6</v>
      </c>
    </row>
    <row r="3" spans="1:21" x14ac:dyDescent="0.25">
      <c r="A3" s="1"/>
      <c r="B3" s="45">
        <v>300</v>
      </c>
      <c r="C3" s="45">
        <v>110</v>
      </c>
      <c r="D3" s="45">
        <v>400</v>
      </c>
      <c r="E3" s="45">
        <v>0</v>
      </c>
      <c r="F3" s="45">
        <v>1</v>
      </c>
      <c r="G3" s="45">
        <v>0</v>
      </c>
      <c r="H3" s="4"/>
      <c r="I3" s="4"/>
    </row>
    <row r="4" spans="1:21" x14ac:dyDescent="0.25">
      <c r="B4" s="45" t="s">
        <v>0</v>
      </c>
      <c r="C4" s="45" t="s">
        <v>1</v>
      </c>
      <c r="D4" s="45" t="s">
        <v>2</v>
      </c>
      <c r="E4" s="45" t="s">
        <v>3</v>
      </c>
      <c r="F4" s="45" t="s">
        <v>68</v>
      </c>
      <c r="G4" s="45" t="s">
        <v>43</v>
      </c>
      <c r="K4" s="2">
        <f>J1</f>
        <v>70</v>
      </c>
      <c r="L4" s="5">
        <v>0.1</v>
      </c>
      <c r="M4" s="2">
        <v>25</v>
      </c>
      <c r="P4" s="2">
        <v>13</v>
      </c>
      <c r="S4" s="2">
        <v>0.75</v>
      </c>
    </row>
    <row r="5" spans="1:2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21" x14ac:dyDescent="0.25">
      <c r="A6" s="7">
        <v>1</v>
      </c>
      <c r="B6" s="7" t="s">
        <v>23</v>
      </c>
      <c r="C6" s="7">
        <f>B3+(C3-20)*2+23.5+23.5+21+21</f>
        <v>569</v>
      </c>
      <c r="D6" s="7">
        <f>D3</f>
        <v>400</v>
      </c>
      <c r="E6" s="7">
        <f>J2</f>
        <v>1.6</v>
      </c>
      <c r="F6" s="7">
        <f>F$3*1</f>
        <v>1</v>
      </c>
      <c r="G6" s="7"/>
      <c r="H6" s="7"/>
      <c r="I6" s="7">
        <f t="shared" ref="I6:I43" si="0">C6/1000*D6/1000*E6*F6*8</f>
        <v>2.9132799999999999</v>
      </c>
      <c r="J6" s="7">
        <f t="shared" ref="J6:J13" si="1">C6/1000*D6/1000*2*10.76*F6</f>
        <v>4.8979519999999992</v>
      </c>
      <c r="K6" s="7">
        <f t="shared" ref="K6:K43" si="2">I6*K$4</f>
        <v>203.92959999999999</v>
      </c>
      <c r="L6" s="7">
        <f t="shared" ref="L6:L43" si="3">K6*L$4</f>
        <v>20.392960000000002</v>
      </c>
      <c r="M6" s="8">
        <f>I6*M$4</f>
        <v>72.831999999999994</v>
      </c>
      <c r="N6" s="8">
        <f>(B3/1000*2+C3/1000*4+D3/1000*1)*200</f>
        <v>288</v>
      </c>
      <c r="O6" s="8">
        <v>0</v>
      </c>
      <c r="P6" s="8">
        <f>J6*P$4</f>
        <v>63.67337599999999</v>
      </c>
      <c r="Q6" s="8">
        <v>0</v>
      </c>
      <c r="R6" s="8">
        <f t="shared" ref="R6:R43" si="4">K6+L6+M6+N6+O6+P6+Q6</f>
        <v>648.82793599999991</v>
      </c>
      <c r="S6" s="8">
        <f t="shared" ref="S6:S43" si="5">R6/S$4</f>
        <v>865.10391466666658</v>
      </c>
    </row>
    <row r="7" spans="1:21" x14ac:dyDescent="0.25">
      <c r="A7" s="7">
        <f t="shared" ref="A7:A41" si="6">A6+1</f>
        <v>2</v>
      </c>
      <c r="B7" s="7" t="s">
        <v>24</v>
      </c>
      <c r="C7" s="7">
        <f>C3-20+23.5+21</f>
        <v>134.5</v>
      </c>
      <c r="D7" s="7">
        <f>B3</f>
        <v>300</v>
      </c>
      <c r="E7" s="7">
        <f>J2</f>
        <v>1.6</v>
      </c>
      <c r="F7" s="7">
        <f>F$3*2</f>
        <v>2</v>
      </c>
      <c r="G7" s="7"/>
      <c r="H7" s="7"/>
      <c r="I7" s="7">
        <f t="shared" si="0"/>
        <v>1.0329600000000001</v>
      </c>
      <c r="J7" s="7">
        <f t="shared" si="1"/>
        <v>1.7366640000000002</v>
      </c>
      <c r="K7" s="7">
        <f t="shared" si="2"/>
        <v>72.307200000000009</v>
      </c>
      <c r="L7" s="7">
        <f t="shared" si="3"/>
        <v>7.2307200000000016</v>
      </c>
      <c r="M7" s="8">
        <f t="shared" ref="M7:M43" si="7">I7*M$4</f>
        <v>25.824000000000002</v>
      </c>
      <c r="N7" s="8">
        <v>0</v>
      </c>
      <c r="O7" s="8">
        <v>0</v>
      </c>
      <c r="P7" s="8">
        <f t="shared" ref="P7:P43" si="8">J7*P$4</f>
        <v>22.576632000000004</v>
      </c>
      <c r="Q7" s="8">
        <v>0</v>
      </c>
      <c r="R7" s="8">
        <f t="shared" si="4"/>
        <v>127.93855200000002</v>
      </c>
      <c r="S7" s="8">
        <f t="shared" si="5"/>
        <v>170.58473600000002</v>
      </c>
    </row>
    <row r="8" spans="1:21" x14ac:dyDescent="0.25">
      <c r="A8" s="7">
        <f t="shared" si="6"/>
        <v>3</v>
      </c>
      <c r="B8" s="7" t="s">
        <v>25</v>
      </c>
      <c r="C8" s="7">
        <f>43*3</f>
        <v>129</v>
      </c>
      <c r="D8" s="7">
        <f>D3</f>
        <v>400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26</v>
      </c>
      <c r="C9" s="9">
        <f>28*2-1.75*2</f>
        <v>52.5</v>
      </c>
      <c r="D9" s="9">
        <f>D3-150</f>
        <v>250</v>
      </c>
      <c r="E9" s="7">
        <v>2</v>
      </c>
      <c r="F9" s="7">
        <v>0</v>
      </c>
      <c r="G9" s="7"/>
      <c r="H9" s="7"/>
      <c r="I9" s="7">
        <f>C9/1000*D9/1000*E9*F9*8</f>
        <v>0</v>
      </c>
      <c r="J9" s="7">
        <f>C9/1000*D9/1000*2*10.76*F9</f>
        <v>0</v>
      </c>
      <c r="K9" s="7">
        <f>I9*K$4</f>
        <v>0</v>
      </c>
      <c r="L9" s="7">
        <f>K9*L$4</f>
        <v>0</v>
      </c>
      <c r="M9" s="8">
        <f t="shared" si="7"/>
        <v>0</v>
      </c>
      <c r="N9" s="8">
        <v>1</v>
      </c>
      <c r="O9" s="8">
        <v>0</v>
      </c>
      <c r="P9" s="8">
        <f>J9*P$4</f>
        <v>0</v>
      </c>
      <c r="Q9" s="8">
        <v>0</v>
      </c>
      <c r="R9" s="8">
        <f>K9+L9+M9+N9+O9+P9+Q9</f>
        <v>1</v>
      </c>
      <c r="S9" s="8">
        <f>R9/S$4</f>
        <v>1.3333333333333333</v>
      </c>
    </row>
    <row r="10" spans="1:21" x14ac:dyDescent="0.25">
      <c r="A10" s="7">
        <f t="shared" si="6"/>
        <v>5</v>
      </c>
      <c r="B10" s="7" t="s">
        <v>27</v>
      </c>
      <c r="C10" s="7">
        <f>B3-6</f>
        <v>294</v>
      </c>
      <c r="D10" s="7">
        <f>C3-26</f>
        <v>84</v>
      </c>
      <c r="E10" s="7">
        <v>2</v>
      </c>
      <c r="F10" s="7">
        <f>F3</f>
        <v>1</v>
      </c>
      <c r="G10" s="7"/>
      <c r="H10" s="7"/>
      <c r="I10" s="7">
        <f t="shared" si="0"/>
        <v>0.39513599999999999</v>
      </c>
      <c r="J10" s="7">
        <f t="shared" si="1"/>
        <v>0.53145791999999992</v>
      </c>
      <c r="K10" s="7">
        <f t="shared" si="2"/>
        <v>27.659520000000001</v>
      </c>
      <c r="L10" s="7">
        <f t="shared" si="3"/>
        <v>2.7659520000000004</v>
      </c>
      <c r="M10" s="8">
        <f t="shared" si="7"/>
        <v>9.8783999999999992</v>
      </c>
      <c r="N10" s="8">
        <v>0</v>
      </c>
      <c r="O10" s="8">
        <v>0</v>
      </c>
      <c r="P10" s="8">
        <f t="shared" si="8"/>
        <v>6.9089529599999988</v>
      </c>
      <c r="Q10" s="8">
        <v>0</v>
      </c>
      <c r="R10" s="8">
        <f t="shared" si="4"/>
        <v>47.212824959999999</v>
      </c>
      <c r="S10" s="8">
        <f t="shared" si="5"/>
        <v>62.950433279999999</v>
      </c>
      <c r="T10" s="10"/>
    </row>
    <row r="11" spans="1:21" x14ac:dyDescent="0.25">
      <c r="A11" s="7">
        <f t="shared" si="6"/>
        <v>6</v>
      </c>
      <c r="B11" s="7" t="s">
        <v>28</v>
      </c>
      <c r="C11" s="7">
        <f>B3+27</f>
        <v>327</v>
      </c>
      <c r="D11" s="7">
        <f>D3+25</f>
        <v>425</v>
      </c>
      <c r="E11" s="7">
        <v>2</v>
      </c>
      <c r="F11" s="7">
        <f>F3</f>
        <v>1</v>
      </c>
      <c r="G11" s="7"/>
      <c r="H11" s="7"/>
      <c r="I11" s="7">
        <f t="shared" si="0"/>
        <v>2.2235999999999998</v>
      </c>
      <c r="J11" s="7">
        <f t="shared" si="1"/>
        <v>2.9907419999999996</v>
      </c>
      <c r="K11" s="7">
        <f t="shared" si="2"/>
        <v>155.65199999999999</v>
      </c>
      <c r="L11" s="7">
        <f t="shared" si="3"/>
        <v>15.565199999999999</v>
      </c>
      <c r="M11" s="8">
        <f t="shared" si="7"/>
        <v>55.589999999999996</v>
      </c>
      <c r="N11" s="8">
        <f>100*F11</f>
        <v>100</v>
      </c>
      <c r="O11" s="8">
        <v>0</v>
      </c>
      <c r="P11" s="8">
        <f t="shared" si="8"/>
        <v>38.879645999999994</v>
      </c>
      <c r="Q11" s="8">
        <v>0</v>
      </c>
      <c r="R11" s="8">
        <f t="shared" si="4"/>
        <v>365.68684599999995</v>
      </c>
      <c r="S11" s="8">
        <f t="shared" si="5"/>
        <v>487.58246133333324</v>
      </c>
    </row>
    <row r="12" spans="1:21" x14ac:dyDescent="0.25">
      <c r="A12" s="7">
        <f t="shared" si="6"/>
        <v>7</v>
      </c>
      <c r="B12" s="7" t="s">
        <v>29</v>
      </c>
      <c r="C12" s="7">
        <v>45</v>
      </c>
      <c r="D12" s="7">
        <f>D3-77</f>
        <v>323</v>
      </c>
      <c r="E12" s="7">
        <f>J2</f>
        <v>1.6</v>
      </c>
      <c r="F12" s="7">
        <f>F11*2</f>
        <v>2</v>
      </c>
      <c r="G12" s="7"/>
      <c r="H12" s="7"/>
      <c r="I12" s="7">
        <f t="shared" si="0"/>
        <v>0.37209599999999998</v>
      </c>
      <c r="J12" s="7">
        <f t="shared" si="1"/>
        <v>0.62558639999999999</v>
      </c>
      <c r="K12" s="7">
        <f t="shared" si="2"/>
        <v>26.046720000000001</v>
      </c>
      <c r="L12" s="7">
        <f t="shared" si="3"/>
        <v>2.6046720000000003</v>
      </c>
      <c r="M12" s="8">
        <f t="shared" si="7"/>
        <v>9.3023999999999987</v>
      </c>
      <c r="N12" s="8">
        <v>0</v>
      </c>
      <c r="O12" s="8">
        <v>0</v>
      </c>
      <c r="P12" s="8">
        <f t="shared" si="8"/>
        <v>8.1326231999999994</v>
      </c>
      <c r="Q12" s="8">
        <v>0</v>
      </c>
      <c r="R12" s="8">
        <f t="shared" si="4"/>
        <v>46.086415199999998</v>
      </c>
      <c r="S12" s="8">
        <f t="shared" si="5"/>
        <v>61.448553599999997</v>
      </c>
    </row>
    <row r="13" spans="1:21" x14ac:dyDescent="0.25">
      <c r="A13" s="7">
        <f t="shared" si="6"/>
        <v>8</v>
      </c>
      <c r="B13" s="7" t="s">
        <v>30</v>
      </c>
      <c r="C13" s="7">
        <v>45</v>
      </c>
      <c r="D13" s="7">
        <f>(B3-77)</f>
        <v>223</v>
      </c>
      <c r="E13" s="7">
        <f>J2</f>
        <v>1.6</v>
      </c>
      <c r="F13" s="7">
        <f>F12*1</f>
        <v>2</v>
      </c>
      <c r="G13" s="7"/>
      <c r="H13" s="7"/>
      <c r="I13" s="7">
        <f t="shared" si="0"/>
        <v>0.25689600000000001</v>
      </c>
      <c r="J13" s="7">
        <f t="shared" si="1"/>
        <v>0.43190640000000002</v>
      </c>
      <c r="K13" s="7">
        <f t="shared" si="2"/>
        <v>17.98272</v>
      </c>
      <c r="L13" s="7">
        <f t="shared" si="3"/>
        <v>1.7982720000000001</v>
      </c>
      <c r="M13" s="8">
        <f t="shared" si="7"/>
        <v>6.4224000000000006</v>
      </c>
      <c r="N13" s="8">
        <v>0</v>
      </c>
      <c r="O13" s="8">
        <v>0</v>
      </c>
      <c r="P13" s="8">
        <f t="shared" si="8"/>
        <v>5.6147832000000006</v>
      </c>
      <c r="Q13" s="8">
        <v>0</v>
      </c>
      <c r="R13" s="8">
        <f t="shared" si="4"/>
        <v>31.818175200000002</v>
      </c>
      <c r="S13" s="8">
        <f t="shared" si="5"/>
        <v>42.424233600000001</v>
      </c>
      <c r="T13" s="10"/>
    </row>
    <row r="14" spans="1:21" x14ac:dyDescent="0.25">
      <c r="A14" s="7">
        <f t="shared" si="6"/>
        <v>9</v>
      </c>
      <c r="B14" s="11" t="s">
        <v>31</v>
      </c>
      <c r="C14" s="7">
        <f>28*2</f>
        <v>56</v>
      </c>
      <c r="D14" s="7">
        <f>C3-25</f>
        <v>85</v>
      </c>
      <c r="E14" s="7">
        <v>2</v>
      </c>
      <c r="F14" s="7">
        <v>0</v>
      </c>
      <c r="G14" s="7"/>
      <c r="H14" s="7"/>
      <c r="I14" s="7">
        <f>C14/1000*D14/1000*E14*F14*8</f>
        <v>0</v>
      </c>
      <c r="J14" s="7">
        <f>C14/1000*D14/1000*2*10.76*F14</f>
        <v>0</v>
      </c>
      <c r="K14" s="7">
        <f>I14*K$4</f>
        <v>0</v>
      </c>
      <c r="L14" s="7">
        <f>K14*L$4</f>
        <v>0</v>
      </c>
      <c r="M14" s="8">
        <f t="shared" si="7"/>
        <v>0</v>
      </c>
      <c r="N14" s="8">
        <v>0</v>
      </c>
      <c r="O14" s="8">
        <f>D14/25*F14*0.5</f>
        <v>0</v>
      </c>
      <c r="P14" s="8">
        <f>J14*P$4</f>
        <v>0</v>
      </c>
      <c r="Q14" s="8">
        <v>0</v>
      </c>
      <c r="R14" s="8">
        <f>K14+L14+M14+N14+O14+P14+Q14</f>
        <v>0</v>
      </c>
      <c r="S14" s="8">
        <f>R14/S$4</f>
        <v>0</v>
      </c>
      <c r="T14" s="10"/>
    </row>
    <row r="15" spans="1:21" x14ac:dyDescent="0.25">
      <c r="A15" s="7">
        <f t="shared" si="6"/>
        <v>10</v>
      </c>
      <c r="B15" s="7" t="s">
        <v>32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33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10"/>
    </row>
    <row r="17" spans="1:21" x14ac:dyDescent="0.25">
      <c r="A17" s="7">
        <f t="shared" si="6"/>
        <v>12</v>
      </c>
      <c r="B17" s="7" t="s">
        <v>34</v>
      </c>
      <c r="C17" s="7">
        <f>17+25+58-1.75*4</f>
        <v>93</v>
      </c>
      <c r="D17" s="7">
        <f>B3</f>
        <v>300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10"/>
    </row>
    <row r="18" spans="1:21" x14ac:dyDescent="0.25">
      <c r="A18" s="7">
        <f t="shared" si="6"/>
        <v>13</v>
      </c>
      <c r="B18" s="7" t="s">
        <v>35</v>
      </c>
      <c r="C18" s="7">
        <f>C17</f>
        <v>93</v>
      </c>
      <c r="D18" s="7">
        <f>D3</f>
        <v>400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10"/>
    </row>
    <row r="19" spans="1:21" x14ac:dyDescent="0.25">
      <c r="A19" s="7">
        <f t="shared" si="6"/>
        <v>14</v>
      </c>
      <c r="B19" s="7" t="s">
        <v>30</v>
      </c>
      <c r="C19" s="7">
        <v>69</v>
      </c>
      <c r="D19" s="7">
        <f>B3/2-160</f>
        <v>-10</v>
      </c>
      <c r="E19" s="7">
        <f>J2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10"/>
    </row>
    <row r="20" spans="1:21" s="14" customFormat="1" x14ac:dyDescent="0.25">
      <c r="A20" s="12">
        <f t="shared" si="6"/>
        <v>15</v>
      </c>
      <c r="B20" s="12" t="s">
        <v>36</v>
      </c>
      <c r="C20" s="12">
        <f>D19+50</f>
        <v>40</v>
      </c>
      <c r="D20" s="12">
        <v>300</v>
      </c>
      <c r="E20" s="12">
        <f>J2</f>
        <v>1.6</v>
      </c>
      <c r="F20" s="12">
        <v>0</v>
      </c>
      <c r="G20" s="12"/>
      <c r="H20" s="12"/>
      <c r="I20" s="12">
        <f t="shared" si="0"/>
        <v>0</v>
      </c>
      <c r="J20" s="12">
        <f t="shared" si="9"/>
        <v>0</v>
      </c>
      <c r="K20" s="12">
        <f t="shared" si="2"/>
        <v>0</v>
      </c>
      <c r="L20" s="12">
        <f t="shared" si="3"/>
        <v>0</v>
      </c>
      <c r="M20" s="8">
        <f t="shared" si="7"/>
        <v>0</v>
      </c>
      <c r="N20" s="13">
        <v>0</v>
      </c>
      <c r="O20" s="13">
        <f>4*F20</f>
        <v>0</v>
      </c>
      <c r="P20" s="13">
        <f>J20*P$4</f>
        <v>0</v>
      </c>
      <c r="Q20" s="13">
        <v>0</v>
      </c>
      <c r="R20" s="13">
        <f t="shared" si="4"/>
        <v>0</v>
      </c>
      <c r="S20" s="13">
        <f t="shared" si="5"/>
        <v>0</v>
      </c>
      <c r="U20" s="15"/>
    </row>
    <row r="21" spans="1:21" x14ac:dyDescent="0.25">
      <c r="A21" s="7">
        <f>A19+1</f>
        <v>15</v>
      </c>
      <c r="B21" s="7" t="s">
        <v>37</v>
      </c>
      <c r="C21" s="7">
        <f>B3-50+27</f>
        <v>277</v>
      </c>
      <c r="D21" s="7">
        <f>D3-25</f>
        <v>375</v>
      </c>
      <c r="E21" s="7">
        <v>2</v>
      </c>
      <c r="F21" s="7">
        <f>F3</f>
        <v>1</v>
      </c>
      <c r="G21" s="7"/>
      <c r="H21" s="7"/>
      <c r="I21" s="7">
        <f t="shared" si="0"/>
        <v>1.6620000000000001</v>
      </c>
      <c r="J21" s="7">
        <f t="shared" si="9"/>
        <v>2.2353900000000002</v>
      </c>
      <c r="K21" s="7">
        <f t="shared" si="2"/>
        <v>116.34</v>
      </c>
      <c r="L21" s="7">
        <f t="shared" si="3"/>
        <v>11.634</v>
      </c>
      <c r="M21" s="8">
        <f t="shared" si="7"/>
        <v>41.550000000000004</v>
      </c>
      <c r="N21" s="8">
        <v>0</v>
      </c>
      <c r="O21" s="8">
        <v>0</v>
      </c>
      <c r="P21" s="8">
        <f t="shared" si="8"/>
        <v>29.060070000000003</v>
      </c>
      <c r="Q21" s="8">
        <f>4*10*0</f>
        <v>0</v>
      </c>
      <c r="R21" s="8">
        <f t="shared" si="4"/>
        <v>198.58407</v>
      </c>
      <c r="S21" s="8">
        <f t="shared" si="5"/>
        <v>264.77875999999998</v>
      </c>
    </row>
    <row r="22" spans="1:21" x14ac:dyDescent="0.25">
      <c r="A22" s="7">
        <f t="shared" si="6"/>
        <v>16</v>
      </c>
      <c r="B22" s="7" t="s">
        <v>38</v>
      </c>
      <c r="C22" s="7">
        <f>45+45-2.65*2</f>
        <v>84.7</v>
      </c>
      <c r="D22" s="7">
        <f>C3</f>
        <v>110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39</v>
      </c>
      <c r="C23" s="7">
        <f>25*2-1.75*4</f>
        <v>43</v>
      </c>
      <c r="D23" s="7">
        <f>C3-103</f>
        <v>7</v>
      </c>
      <c r="E23" s="7">
        <v>2</v>
      </c>
      <c r="F23" s="7">
        <v>0</v>
      </c>
      <c r="G23" s="7"/>
      <c r="H23" s="7"/>
      <c r="I23" s="7">
        <f t="shared" si="0"/>
        <v>0</v>
      </c>
      <c r="J23" s="7">
        <f t="shared" si="9"/>
        <v>0</v>
      </c>
      <c r="K23" s="7">
        <f t="shared" si="2"/>
        <v>0</v>
      </c>
      <c r="L23" s="7">
        <f t="shared" si="3"/>
        <v>0</v>
      </c>
      <c r="M23" s="8">
        <f t="shared" si="7"/>
        <v>0</v>
      </c>
      <c r="N23" s="8">
        <v>0</v>
      </c>
      <c r="O23" s="8">
        <f>D23/25*0.2*F23</f>
        <v>0</v>
      </c>
      <c r="P23" s="8">
        <f t="shared" si="8"/>
        <v>0</v>
      </c>
      <c r="Q23" s="8">
        <v>0</v>
      </c>
      <c r="R23" s="8">
        <f t="shared" si="4"/>
        <v>0</v>
      </c>
      <c r="S23" s="8">
        <f t="shared" si="5"/>
        <v>0</v>
      </c>
      <c r="T23" s="10"/>
    </row>
    <row r="24" spans="1:21" x14ac:dyDescent="0.25">
      <c r="A24" s="7">
        <f t="shared" si="6"/>
        <v>18</v>
      </c>
      <c r="B24" s="7" t="s">
        <v>40</v>
      </c>
      <c r="C24" s="7">
        <v>0</v>
      </c>
      <c r="D24" s="7">
        <v>0</v>
      </c>
      <c r="E24" s="7">
        <v>0</v>
      </c>
      <c r="F24" s="7">
        <f>((C11/1000*2)+(D11/1000*3))*F11</f>
        <v>1.9289999999999998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67.515000000000001</v>
      </c>
      <c r="R24" s="8">
        <f t="shared" si="4"/>
        <v>67.515000000000001</v>
      </c>
      <c r="S24" s="8">
        <f t="shared" si="5"/>
        <v>90.02</v>
      </c>
    </row>
    <row r="25" spans="1:21" x14ac:dyDescent="0.25">
      <c r="A25" s="7">
        <f t="shared" si="6"/>
        <v>19</v>
      </c>
      <c r="B25" s="7" t="s">
        <v>41</v>
      </c>
      <c r="C25" s="7">
        <v>0</v>
      </c>
      <c r="D25" s="7">
        <v>0</v>
      </c>
      <c r="E25" s="7">
        <v>0</v>
      </c>
      <c r="F25" s="7">
        <f>((C10*2/1000)+(D10*2/1000))*2*F$10</f>
        <v>1.512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18.143999999999998</v>
      </c>
      <c r="R25" s="8">
        <f t="shared" si="4"/>
        <v>18.143999999999998</v>
      </c>
      <c r="S25" s="8">
        <f t="shared" si="5"/>
        <v>24.191999999999997</v>
      </c>
      <c r="T25" s="10"/>
    </row>
    <row r="26" spans="1:21" x14ac:dyDescent="0.25">
      <c r="A26" s="7">
        <f>A24+1</f>
        <v>19</v>
      </c>
      <c r="B26" s="7" t="s">
        <v>42</v>
      </c>
      <c r="C26" s="7">
        <v>100</v>
      </c>
      <c r="D26" s="7">
        <v>50</v>
      </c>
      <c r="E26" s="7">
        <v>3</v>
      </c>
      <c r="F26" s="7">
        <f>F3*4</f>
        <v>4</v>
      </c>
      <c r="G26" s="7"/>
      <c r="H26" s="7"/>
      <c r="I26" s="7">
        <f t="shared" si="0"/>
        <v>0.48</v>
      </c>
      <c r="J26" s="7">
        <f t="shared" si="9"/>
        <v>0.4304</v>
      </c>
      <c r="K26" s="7">
        <f t="shared" si="2"/>
        <v>33.6</v>
      </c>
      <c r="L26" s="7">
        <f>K26*L$4</f>
        <v>3.3600000000000003</v>
      </c>
      <c r="M26" s="8">
        <f t="shared" si="7"/>
        <v>12</v>
      </c>
      <c r="N26" s="8">
        <v>0</v>
      </c>
      <c r="O26" s="8">
        <v>0</v>
      </c>
      <c r="P26" s="8">
        <f t="shared" si="8"/>
        <v>5.5952000000000002</v>
      </c>
      <c r="Q26" s="8">
        <f>F26*5</f>
        <v>20</v>
      </c>
      <c r="R26" s="8">
        <f t="shared" si="4"/>
        <v>74.555199999999999</v>
      </c>
      <c r="S26" s="8">
        <f>R26/S$4</f>
        <v>99.406933333333328</v>
      </c>
      <c r="T26" s="10"/>
    </row>
    <row r="27" spans="1:21" x14ac:dyDescent="0.25">
      <c r="A27" s="7">
        <f>A25+1</f>
        <v>20</v>
      </c>
      <c r="B27" s="7" t="s">
        <v>43</v>
      </c>
      <c r="C27" s="7">
        <f>C3+120*2</f>
        <v>350</v>
      </c>
      <c r="D27" s="7">
        <f>E3+45*2</f>
        <v>90</v>
      </c>
      <c r="E27" s="7">
        <v>3</v>
      </c>
      <c r="F27" s="7">
        <v>0</v>
      </c>
      <c r="G27" s="7"/>
      <c r="H27" s="7"/>
      <c r="I27" s="7">
        <f t="shared" si="0"/>
        <v>0</v>
      </c>
      <c r="J27" s="7">
        <f t="shared" si="9"/>
        <v>0</v>
      </c>
      <c r="K27" s="7">
        <f t="shared" si="2"/>
        <v>0</v>
      </c>
      <c r="L27" s="7">
        <f t="shared" si="3"/>
        <v>0</v>
      </c>
      <c r="M27" s="8">
        <f t="shared" si="7"/>
        <v>0</v>
      </c>
      <c r="N27" s="8">
        <f>F27*50</f>
        <v>0</v>
      </c>
      <c r="O27" s="8">
        <v>0</v>
      </c>
      <c r="P27" s="8">
        <f t="shared" si="8"/>
        <v>0</v>
      </c>
      <c r="Q27" s="8">
        <f t="shared" ref="Q27:Q29" si="10">F27*12</f>
        <v>0</v>
      </c>
      <c r="R27" s="8">
        <f t="shared" si="4"/>
        <v>0</v>
      </c>
      <c r="S27" s="8">
        <f t="shared" si="5"/>
        <v>0</v>
      </c>
      <c r="T27" s="10"/>
    </row>
    <row r="28" spans="1:21" x14ac:dyDescent="0.25">
      <c r="A28" s="7">
        <f t="shared" si="6"/>
        <v>21</v>
      </c>
      <c r="B28" s="7" t="s">
        <v>44</v>
      </c>
      <c r="C28" s="7">
        <v>85</v>
      </c>
      <c r="D28" s="7">
        <v>85</v>
      </c>
      <c r="E28" s="7">
        <v>2</v>
      </c>
      <c r="F28" s="7">
        <f>F27*2</f>
        <v>0</v>
      </c>
      <c r="G28" s="7"/>
      <c r="H28" s="7"/>
      <c r="I28" s="7">
        <f t="shared" si="0"/>
        <v>0</v>
      </c>
      <c r="J28" s="7">
        <f t="shared" si="9"/>
        <v>0</v>
      </c>
      <c r="K28" s="7">
        <f t="shared" si="2"/>
        <v>0</v>
      </c>
      <c r="L28" s="7">
        <f t="shared" si="3"/>
        <v>0</v>
      </c>
      <c r="M28" s="8">
        <f t="shared" si="7"/>
        <v>0</v>
      </c>
      <c r="N28" s="8">
        <v>0</v>
      </c>
      <c r="O28" s="8">
        <v>0</v>
      </c>
      <c r="P28" s="8">
        <f t="shared" si="8"/>
        <v>0</v>
      </c>
      <c r="Q28" s="8">
        <f t="shared" si="10"/>
        <v>0</v>
      </c>
      <c r="R28" s="8">
        <f t="shared" si="4"/>
        <v>0</v>
      </c>
      <c r="S28" s="8">
        <f t="shared" si="5"/>
        <v>0</v>
      </c>
      <c r="T28" s="10"/>
    </row>
    <row r="29" spans="1:21" x14ac:dyDescent="0.25">
      <c r="A29" s="7">
        <f t="shared" si="6"/>
        <v>22</v>
      </c>
      <c r="B29" s="7" t="s">
        <v>45</v>
      </c>
      <c r="C29" s="7">
        <f>B3-121*2</f>
        <v>58</v>
      </c>
      <c r="D29" s="7">
        <f>E3+25*2</f>
        <v>50</v>
      </c>
      <c r="E29" s="7">
        <v>2</v>
      </c>
      <c r="F29" s="7">
        <f>F27</f>
        <v>0</v>
      </c>
      <c r="G29" s="7"/>
      <c r="H29" s="7"/>
      <c r="I29" s="7">
        <f t="shared" si="0"/>
        <v>0</v>
      </c>
      <c r="J29" s="7">
        <f t="shared" si="9"/>
        <v>0</v>
      </c>
      <c r="K29" s="7">
        <f t="shared" si="2"/>
        <v>0</v>
      </c>
      <c r="L29" s="7">
        <f t="shared" si="3"/>
        <v>0</v>
      </c>
      <c r="M29" s="8">
        <f t="shared" si="7"/>
        <v>0</v>
      </c>
      <c r="N29" s="8">
        <v>0</v>
      </c>
      <c r="O29" s="8">
        <v>0</v>
      </c>
      <c r="P29" s="8">
        <f t="shared" si="8"/>
        <v>0</v>
      </c>
      <c r="Q29" s="8">
        <f t="shared" si="10"/>
        <v>0</v>
      </c>
      <c r="R29" s="8">
        <f t="shared" si="4"/>
        <v>0</v>
      </c>
      <c r="S29" s="8">
        <f t="shared" si="5"/>
        <v>0</v>
      </c>
      <c r="T29" s="10"/>
    </row>
    <row r="30" spans="1:21" x14ac:dyDescent="0.25">
      <c r="A30" s="7">
        <f t="shared" si="6"/>
        <v>23</v>
      </c>
      <c r="B30" s="7" t="s">
        <v>46</v>
      </c>
      <c r="C30" s="7">
        <f>50+50</f>
        <v>100</v>
      </c>
      <c r="D30" s="7">
        <f>B3-40-40</f>
        <v>220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10"/>
    </row>
    <row r="31" spans="1:21" x14ac:dyDescent="0.25">
      <c r="A31" s="7">
        <f t="shared" si="6"/>
        <v>24</v>
      </c>
      <c r="B31" s="7" t="s">
        <v>47</v>
      </c>
      <c r="C31" s="7">
        <f>C30</f>
        <v>100</v>
      </c>
      <c r="D31" s="7">
        <f>C3-20-6</f>
        <v>84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10"/>
    </row>
    <row r="32" spans="1:21" x14ac:dyDescent="0.25">
      <c r="A32" s="7">
        <f t="shared" si="6"/>
        <v>25</v>
      </c>
      <c r="B32" s="7" t="s">
        <v>48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10"/>
    </row>
    <row r="33" spans="1:22" x14ac:dyDescent="0.25">
      <c r="A33" s="7">
        <f t="shared" si="6"/>
        <v>26</v>
      </c>
      <c r="B33" s="7" t="s">
        <v>49</v>
      </c>
      <c r="C33" s="7">
        <f>G3-20</f>
        <v>-20</v>
      </c>
      <c r="D33" s="7">
        <f>B3</f>
        <v>300</v>
      </c>
      <c r="E33" s="7">
        <f>J2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10"/>
    </row>
    <row r="34" spans="1:22" x14ac:dyDescent="0.25">
      <c r="A34" s="7">
        <f t="shared" si="6"/>
        <v>27</v>
      </c>
      <c r="B34" s="7" t="s">
        <v>50</v>
      </c>
      <c r="C34" s="7">
        <f>G3-20</f>
        <v>-20</v>
      </c>
      <c r="D34" s="7">
        <f>C3</f>
        <v>110</v>
      </c>
      <c r="E34" s="7">
        <f>J2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10"/>
    </row>
    <row r="35" spans="1:22" x14ac:dyDescent="0.25">
      <c r="A35" s="7">
        <f t="shared" si="6"/>
        <v>28</v>
      </c>
      <c r="B35" s="11" t="s">
        <v>51</v>
      </c>
      <c r="C35" s="7"/>
      <c r="D35" s="7"/>
      <c r="E35" s="7"/>
      <c r="F35" s="7">
        <v>0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F35*40</f>
        <v>0</v>
      </c>
      <c r="R35" s="8">
        <f t="shared" si="4"/>
        <v>0</v>
      </c>
      <c r="S35" s="8">
        <f t="shared" si="5"/>
        <v>0</v>
      </c>
      <c r="T35" s="10"/>
    </row>
    <row r="36" spans="1:22" x14ac:dyDescent="0.25">
      <c r="A36" s="7">
        <f t="shared" si="6"/>
        <v>29</v>
      </c>
      <c r="B36" s="7" t="s">
        <v>52</v>
      </c>
      <c r="C36" s="16">
        <f>C3+25*2+100</f>
        <v>260</v>
      </c>
      <c r="D36" s="7">
        <f>B3+25*2+200</f>
        <v>550</v>
      </c>
      <c r="E36" s="7">
        <f>J2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53</v>
      </c>
      <c r="C37" s="7">
        <v>0</v>
      </c>
      <c r="D37" s="7">
        <v>0</v>
      </c>
      <c r="E37" s="7">
        <v>0</v>
      </c>
      <c r="F37" s="7">
        <f>F11*2</f>
        <v>2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90</v>
      </c>
      <c r="R37" s="8">
        <f t="shared" si="4"/>
        <v>90</v>
      </c>
      <c r="S37" s="8">
        <f t="shared" si="5"/>
        <v>120</v>
      </c>
    </row>
    <row r="38" spans="1:22" x14ac:dyDescent="0.25">
      <c r="A38" s="7">
        <f t="shared" si="6"/>
        <v>31</v>
      </c>
      <c r="B38" s="7" t="s">
        <v>54</v>
      </c>
      <c r="C38" s="7"/>
      <c r="D38" s="7"/>
      <c r="E38" s="7"/>
      <c r="F38" s="7">
        <v>2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</f>
        <v>130</v>
      </c>
      <c r="R38" s="8">
        <f>K38+L38+M38+N38+O38+P38+Q38</f>
        <v>130</v>
      </c>
      <c r="S38" s="8">
        <f>R38/S$4</f>
        <v>173.33333333333334</v>
      </c>
    </row>
    <row r="39" spans="1:22" x14ac:dyDescent="0.25">
      <c r="A39" s="7">
        <f t="shared" si="6"/>
        <v>32</v>
      </c>
      <c r="B39" s="7" t="s">
        <v>55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56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80*F40</f>
        <v>80</v>
      </c>
      <c r="R40" s="8">
        <f t="shared" si="4"/>
        <v>80</v>
      </c>
      <c r="S40" s="8">
        <f t="shared" si="5"/>
        <v>106.66666666666667</v>
      </c>
    </row>
    <row r="41" spans="1:22" x14ac:dyDescent="0.25">
      <c r="A41" s="7">
        <f t="shared" si="6"/>
        <v>34</v>
      </c>
      <c r="B41" s="7" t="s">
        <v>57</v>
      </c>
      <c r="C41" s="7"/>
      <c r="D41" s="7"/>
      <c r="E41" s="7"/>
      <c r="F41" s="7">
        <f t="shared" ref="F41:F43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 t="shared" ref="Q41:Q42" si="12">80*F41</f>
        <v>80</v>
      </c>
      <c r="R41" s="8">
        <f t="shared" si="4"/>
        <v>80</v>
      </c>
      <c r="S41" s="8">
        <f t="shared" si="5"/>
        <v>106.66666666666667</v>
      </c>
    </row>
    <row r="42" spans="1:22" x14ac:dyDescent="0.25">
      <c r="A42" s="7">
        <f>A41+1</f>
        <v>35</v>
      </c>
      <c r="B42" s="7" t="s">
        <v>58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 t="shared" si="12"/>
        <v>80</v>
      </c>
      <c r="R42" s="8">
        <f t="shared" si="4"/>
        <v>80</v>
      </c>
      <c r="S42" s="8">
        <f t="shared" si="5"/>
        <v>106.66666666666667</v>
      </c>
      <c r="T42" s="10"/>
    </row>
    <row r="43" spans="1:22" x14ac:dyDescent="0.25">
      <c r="A43" s="7">
        <f>A42+1</f>
        <v>36</v>
      </c>
      <c r="B43" s="7" t="s">
        <v>59</v>
      </c>
      <c r="C43" s="7">
        <v>0</v>
      </c>
      <c r="D43" s="7">
        <v>0</v>
      </c>
      <c r="E43" s="7">
        <v>0</v>
      </c>
      <c r="F43" s="7">
        <f t="shared" si="11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100*F43</f>
        <v>100</v>
      </c>
      <c r="R43" s="8">
        <f t="shared" si="4"/>
        <v>100</v>
      </c>
      <c r="S43" s="8">
        <f t="shared" si="5"/>
        <v>133.33333333333334</v>
      </c>
      <c r="T43" s="10"/>
      <c r="V43" s="10"/>
    </row>
    <row r="44" spans="1:22" x14ac:dyDescent="0.25">
      <c r="F44" s="10">
        <f t="shared" ref="F44:S44" si="13">SUM(F6:F43)</f>
        <v>25.441000000000003</v>
      </c>
      <c r="G44" s="10">
        <f t="shared" si="13"/>
        <v>0</v>
      </c>
      <c r="H44" s="10">
        <f t="shared" si="13"/>
        <v>0</v>
      </c>
      <c r="I44" s="10">
        <f t="shared" si="13"/>
        <v>9.3359680000000012</v>
      </c>
      <c r="J44" s="10">
        <f t="shared" si="13"/>
        <v>13.880098720000001</v>
      </c>
      <c r="K44" s="10">
        <f t="shared" si="13"/>
        <v>653.51776000000007</v>
      </c>
      <c r="L44" s="10">
        <f t="shared" si="13"/>
        <v>65.351776000000001</v>
      </c>
      <c r="M44" s="10">
        <f t="shared" si="13"/>
        <v>233.39920000000001</v>
      </c>
      <c r="N44" s="10">
        <f t="shared" si="13"/>
        <v>389</v>
      </c>
      <c r="O44" s="10">
        <f t="shared" si="13"/>
        <v>0</v>
      </c>
      <c r="P44" s="10">
        <f t="shared" si="13"/>
        <v>180.44128336</v>
      </c>
      <c r="Q44" s="10">
        <f t="shared" si="13"/>
        <v>665.65899999999999</v>
      </c>
      <c r="R44" s="10">
        <f t="shared" si="13"/>
        <v>2187.3690193599996</v>
      </c>
      <c r="S44" s="10">
        <f t="shared" si="13"/>
        <v>2916.4920258133325</v>
      </c>
      <c r="T44" s="10">
        <f>S44-S44*12%</f>
        <v>2566.5129827157325</v>
      </c>
      <c r="V44" s="10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7"/>
      <c r="J45" s="1"/>
      <c r="K45" s="1"/>
      <c r="P45" s="2">
        <f>P44/I44</f>
        <v>19.327538757630702</v>
      </c>
      <c r="R45" s="18"/>
      <c r="S45" s="10"/>
      <c r="V45" s="10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S46" s="10"/>
      <c r="V46" s="10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R47" s="18"/>
      <c r="S47" s="10"/>
    </row>
    <row r="48" spans="1:22" x14ac:dyDescent="0.25">
      <c r="A48" s="1"/>
      <c r="B48" s="19" t="s">
        <v>60</v>
      </c>
      <c r="C48" s="19">
        <f>B3</f>
        <v>300</v>
      </c>
      <c r="D48" s="19">
        <f>C3</f>
        <v>110</v>
      </c>
      <c r="E48" s="19">
        <f>D3</f>
        <v>400</v>
      </c>
      <c r="F48" s="20">
        <f>G3</f>
        <v>0</v>
      </c>
      <c r="G48" s="14"/>
      <c r="H48" s="14"/>
      <c r="I48" s="1"/>
      <c r="J48" s="21"/>
      <c r="K48" s="1"/>
      <c r="S48" s="10"/>
    </row>
    <row r="49" spans="1:21" x14ac:dyDescent="0.25">
      <c r="A49" s="1"/>
      <c r="B49" s="19"/>
      <c r="C49" s="22" t="s">
        <v>61</v>
      </c>
      <c r="D49" s="22" t="s">
        <v>62</v>
      </c>
      <c r="E49" s="22" t="s">
        <v>63</v>
      </c>
      <c r="F49" s="23" t="s">
        <v>3</v>
      </c>
      <c r="G49" s="14"/>
      <c r="H49" s="14"/>
      <c r="I49" s="1"/>
      <c r="J49" s="1"/>
      <c r="K49" s="1"/>
      <c r="L49" s="1"/>
      <c r="M49" s="1"/>
      <c r="Q49" s="1"/>
      <c r="R49" s="1"/>
    </row>
    <row r="50" spans="1:21" x14ac:dyDescent="0.25">
      <c r="A50" s="1"/>
      <c r="B50" s="19"/>
      <c r="C50" s="19"/>
      <c r="D50" s="19"/>
      <c r="E50" s="19"/>
      <c r="F50" s="14"/>
      <c r="G50" s="24"/>
      <c r="H50" s="14"/>
      <c r="I50" s="1"/>
      <c r="J50" s="1"/>
      <c r="K50" s="1"/>
      <c r="L50" s="1"/>
      <c r="M50" s="1"/>
      <c r="U50" s="25"/>
    </row>
    <row r="51" spans="1:21" x14ac:dyDescent="0.25">
      <c r="A51" s="1"/>
      <c r="B51" s="19" t="s">
        <v>64</v>
      </c>
      <c r="C51" s="26">
        <f>I44</f>
        <v>9.3359680000000012</v>
      </c>
      <c r="D51" s="19" t="s">
        <v>65</v>
      </c>
      <c r="E51" s="19"/>
      <c r="F51" s="14"/>
      <c r="G51" s="27"/>
      <c r="H51" s="27"/>
      <c r="I51" s="1"/>
      <c r="J51" s="1"/>
      <c r="K51" s="1"/>
      <c r="L51" s="1"/>
      <c r="M51" s="1"/>
    </row>
    <row r="52" spans="1:21" x14ac:dyDescent="0.25">
      <c r="A52" s="1"/>
      <c r="B52" s="19"/>
      <c r="C52" s="19"/>
      <c r="D52" s="19"/>
      <c r="E52" s="19"/>
      <c r="F52" s="28"/>
      <c r="G52" s="27"/>
      <c r="H52" s="27"/>
      <c r="I52" s="1"/>
      <c r="J52" s="1"/>
      <c r="K52" s="1"/>
      <c r="L52" s="1"/>
      <c r="M52" s="1"/>
    </row>
    <row r="53" spans="1:21" x14ac:dyDescent="0.25">
      <c r="A53" s="1"/>
      <c r="B53" s="19" t="s">
        <v>66</v>
      </c>
      <c r="C53" s="19" t="s">
        <v>67</v>
      </c>
      <c r="D53" s="19" t="s">
        <v>68</v>
      </c>
      <c r="E53" s="19" t="s">
        <v>69</v>
      </c>
      <c r="F53" s="28"/>
      <c r="G53" s="27"/>
      <c r="H53" s="27"/>
      <c r="I53" s="1"/>
      <c r="J53" s="1"/>
      <c r="K53" s="1"/>
      <c r="L53" s="1"/>
      <c r="M53" s="1"/>
    </row>
    <row r="54" spans="1:21" x14ac:dyDescent="0.25">
      <c r="A54" s="1"/>
      <c r="B54" s="19" t="s">
        <v>70</v>
      </c>
      <c r="C54" s="19">
        <f>K4</f>
        <v>70</v>
      </c>
      <c r="D54" s="26">
        <f>C51</f>
        <v>9.3359680000000012</v>
      </c>
      <c r="E54" s="19">
        <f t="shared" ref="E54:E65" si="14">D54*C54</f>
        <v>653.51776000000007</v>
      </c>
      <c r="F54" s="29"/>
      <c r="G54" s="27"/>
      <c r="H54" s="27"/>
      <c r="I54" s="1"/>
      <c r="J54" s="1"/>
      <c r="K54" s="1"/>
      <c r="L54" s="1"/>
      <c r="M54" s="1"/>
    </row>
    <row r="55" spans="1:21" x14ac:dyDescent="0.25">
      <c r="A55" s="1"/>
      <c r="B55" s="19" t="s">
        <v>71</v>
      </c>
      <c r="C55" s="19">
        <f>P45</f>
        <v>19.327538757630702</v>
      </c>
      <c r="D55" s="19">
        <f>C51</f>
        <v>9.3359680000000012</v>
      </c>
      <c r="E55" s="19">
        <f t="shared" si="14"/>
        <v>180.44128336</v>
      </c>
      <c r="F55" s="28"/>
      <c r="G55" s="27"/>
      <c r="H55" s="30"/>
      <c r="I55" s="1"/>
      <c r="J55" s="1"/>
      <c r="K55" s="1"/>
      <c r="L55" s="1"/>
      <c r="M55" s="1"/>
    </row>
    <row r="56" spans="1:21" x14ac:dyDescent="0.25">
      <c r="A56" s="1"/>
      <c r="B56" s="19" t="s">
        <v>72</v>
      </c>
      <c r="C56" s="19">
        <v>45</v>
      </c>
      <c r="D56" s="19">
        <f>F37</f>
        <v>2</v>
      </c>
      <c r="E56" s="19">
        <f t="shared" si="14"/>
        <v>90</v>
      </c>
      <c r="F56" s="28"/>
      <c r="G56" s="27"/>
      <c r="H56" s="27"/>
      <c r="I56" s="1"/>
      <c r="J56" s="1"/>
      <c r="K56" s="1"/>
    </row>
    <row r="57" spans="1:21" x14ac:dyDescent="0.25">
      <c r="A57" s="1"/>
      <c r="B57" s="19" t="s">
        <v>54</v>
      </c>
      <c r="C57" s="31">
        <v>65</v>
      </c>
      <c r="D57" s="31">
        <f>F38</f>
        <v>2</v>
      </c>
      <c r="E57" s="19">
        <f t="shared" si="14"/>
        <v>130</v>
      </c>
      <c r="F57" s="28"/>
      <c r="G57" s="14"/>
      <c r="H57" s="27"/>
      <c r="I57" s="1"/>
      <c r="J57" s="1"/>
      <c r="K57" s="1"/>
    </row>
    <row r="58" spans="1:21" x14ac:dyDescent="0.25">
      <c r="A58" s="1"/>
      <c r="B58" s="19" t="s">
        <v>73</v>
      </c>
      <c r="C58" s="31">
        <v>600</v>
      </c>
      <c r="D58" s="31">
        <v>0</v>
      </c>
      <c r="E58" s="19">
        <f>D58*C58</f>
        <v>0</v>
      </c>
      <c r="F58" s="28"/>
      <c r="G58" s="14"/>
      <c r="H58" s="27"/>
      <c r="I58" s="1"/>
      <c r="J58" s="1"/>
      <c r="K58" s="1"/>
    </row>
    <row r="59" spans="1:21" x14ac:dyDescent="0.25">
      <c r="A59" s="1"/>
      <c r="B59" s="19" t="s">
        <v>74</v>
      </c>
      <c r="C59" s="19">
        <v>35</v>
      </c>
      <c r="D59" s="19">
        <f>F24+F25/2</f>
        <v>2.6849999999999996</v>
      </c>
      <c r="E59" s="19">
        <f t="shared" si="14"/>
        <v>93.97499999999998</v>
      </c>
      <c r="F59" s="28"/>
      <c r="G59" s="14"/>
      <c r="H59" s="14"/>
      <c r="I59" s="1"/>
      <c r="J59" s="1"/>
      <c r="K59" s="1"/>
    </row>
    <row r="60" spans="1:21" x14ac:dyDescent="0.25">
      <c r="A60" s="1"/>
      <c r="B60" s="19" t="s">
        <v>75</v>
      </c>
      <c r="C60" s="19">
        <v>30</v>
      </c>
      <c r="D60" s="19">
        <f>F35</f>
        <v>0</v>
      </c>
      <c r="E60" s="19">
        <f t="shared" si="14"/>
        <v>0</v>
      </c>
      <c r="F60" s="28"/>
      <c r="G60" s="14"/>
      <c r="H60" s="14"/>
      <c r="I60" s="1"/>
      <c r="J60" s="1"/>
      <c r="K60" s="1"/>
    </row>
    <row r="61" spans="1:21" x14ac:dyDescent="0.25">
      <c r="A61" s="1"/>
      <c r="B61" s="32" t="s">
        <v>76</v>
      </c>
      <c r="C61" s="32">
        <v>30</v>
      </c>
      <c r="D61" s="32">
        <v>0</v>
      </c>
      <c r="E61" s="32">
        <f t="shared" si="14"/>
        <v>0</v>
      </c>
      <c r="F61" s="28"/>
      <c r="G61" s="14"/>
      <c r="H61" s="14"/>
      <c r="I61" s="1"/>
      <c r="J61" s="1"/>
      <c r="K61" s="1"/>
    </row>
    <row r="62" spans="1:21" x14ac:dyDescent="0.25">
      <c r="A62" s="1"/>
      <c r="B62" s="32" t="s">
        <v>77</v>
      </c>
      <c r="C62" s="32">
        <v>8</v>
      </c>
      <c r="D62" s="32">
        <f>17*0</f>
        <v>0</v>
      </c>
      <c r="E62" s="32">
        <f t="shared" si="14"/>
        <v>0</v>
      </c>
      <c r="F62" s="28"/>
      <c r="G62" s="14"/>
      <c r="H62" s="14"/>
      <c r="I62" s="1"/>
      <c r="J62" s="1"/>
      <c r="K62" s="1"/>
    </row>
    <row r="63" spans="1:21" x14ac:dyDescent="0.25">
      <c r="A63" s="1"/>
      <c r="B63" s="32" t="s">
        <v>32</v>
      </c>
      <c r="C63" s="33">
        <f>R15+R16</f>
        <v>0</v>
      </c>
      <c r="D63" s="32">
        <v>0</v>
      </c>
      <c r="E63" s="32">
        <f>D63*C63</f>
        <v>0</v>
      </c>
      <c r="F63" s="28"/>
      <c r="G63" s="14"/>
      <c r="H63" s="14"/>
      <c r="I63" s="1"/>
      <c r="J63" s="1"/>
      <c r="K63" s="1"/>
    </row>
    <row r="64" spans="1:21" x14ac:dyDescent="0.25">
      <c r="A64" s="1"/>
      <c r="B64" s="19" t="s">
        <v>78</v>
      </c>
      <c r="C64" s="31">
        <v>80</v>
      </c>
      <c r="D64" s="19">
        <f>F41</f>
        <v>1</v>
      </c>
      <c r="E64" s="19">
        <f t="shared" si="14"/>
        <v>80</v>
      </c>
      <c r="F64" s="28"/>
      <c r="G64" s="14"/>
      <c r="H64" s="14"/>
      <c r="I64" s="1"/>
      <c r="J64" s="1"/>
      <c r="K64" s="1"/>
    </row>
    <row r="65" spans="1:20" x14ac:dyDescent="0.25">
      <c r="A65" s="1"/>
      <c r="B65" s="19" t="s">
        <v>56</v>
      </c>
      <c r="C65" s="19">
        <v>100</v>
      </c>
      <c r="D65" s="19">
        <f>F40</f>
        <v>1</v>
      </c>
      <c r="E65" s="19">
        <f t="shared" si="14"/>
        <v>100</v>
      </c>
      <c r="F65" s="28"/>
      <c r="G65" s="14"/>
      <c r="H65" s="14"/>
      <c r="I65" s="1"/>
      <c r="J65" s="1"/>
      <c r="K65" s="1"/>
    </row>
    <row r="66" spans="1:20" x14ac:dyDescent="0.25">
      <c r="A66" s="1"/>
      <c r="B66" s="19"/>
      <c r="C66" s="19"/>
      <c r="D66" s="19" t="s">
        <v>79</v>
      </c>
      <c r="E66" s="19">
        <f>SUM(E54:E65)</f>
        <v>1327.93404336</v>
      </c>
      <c r="F66" s="28"/>
      <c r="G66" s="14"/>
      <c r="H66" s="14"/>
      <c r="I66" s="1"/>
      <c r="J66" s="1"/>
      <c r="K66" s="1"/>
    </row>
    <row r="67" spans="1:20" x14ac:dyDescent="0.25">
      <c r="A67" s="1"/>
      <c r="B67" s="19"/>
      <c r="C67" s="34" t="s">
        <v>80</v>
      </c>
      <c r="D67" s="35">
        <v>0.2</v>
      </c>
      <c r="E67" s="19">
        <f>E66*D67</f>
        <v>265.58680867200002</v>
      </c>
      <c r="F67" s="28"/>
      <c r="G67" s="14"/>
      <c r="H67" s="14"/>
      <c r="I67" s="1"/>
      <c r="J67" s="1"/>
      <c r="K67" s="1"/>
    </row>
    <row r="68" spans="1:20" x14ac:dyDescent="0.25">
      <c r="A68" s="1"/>
      <c r="B68" s="19"/>
      <c r="C68" s="19"/>
      <c r="D68" s="19" t="s">
        <v>79</v>
      </c>
      <c r="E68" s="19">
        <f>SUM(E66:E67)</f>
        <v>1593.520852032</v>
      </c>
      <c r="F68" s="28"/>
      <c r="G68" s="14"/>
      <c r="H68" s="14"/>
      <c r="I68" s="1"/>
      <c r="J68" s="1"/>
      <c r="K68" s="1"/>
    </row>
    <row r="69" spans="1:20" x14ac:dyDescent="0.25">
      <c r="A69" s="1"/>
      <c r="B69" s="19" t="s">
        <v>81</v>
      </c>
      <c r="C69" s="19">
        <v>35</v>
      </c>
      <c r="D69" s="19">
        <f>C51</f>
        <v>9.3359680000000012</v>
      </c>
      <c r="E69" s="19">
        <f>D69*C69</f>
        <v>326.75888000000003</v>
      </c>
      <c r="F69" s="28"/>
      <c r="G69" s="14"/>
      <c r="H69" s="14"/>
      <c r="I69" s="1"/>
      <c r="J69" s="1"/>
      <c r="K69" s="1"/>
    </row>
    <row r="70" spans="1:20" x14ac:dyDescent="0.25">
      <c r="A70" s="1"/>
      <c r="B70" s="19" t="s">
        <v>82</v>
      </c>
      <c r="C70" s="19">
        <v>150</v>
      </c>
      <c r="D70" s="19">
        <v>0</v>
      </c>
      <c r="E70" s="19">
        <f>D70*C70</f>
        <v>0</v>
      </c>
      <c r="F70" s="28"/>
      <c r="G70" s="14"/>
      <c r="H70" s="14"/>
      <c r="I70" s="1"/>
      <c r="J70" s="1"/>
      <c r="K70" s="1"/>
    </row>
    <row r="71" spans="1:20" x14ac:dyDescent="0.25">
      <c r="A71" s="1"/>
      <c r="B71" s="19" t="s">
        <v>83</v>
      </c>
      <c r="C71" s="19" t="s">
        <v>84</v>
      </c>
      <c r="D71" s="35">
        <v>0.1</v>
      </c>
      <c r="E71" s="19">
        <f>E54*D71</f>
        <v>65.351776000000015</v>
      </c>
      <c r="F71" s="28"/>
      <c r="G71" s="14"/>
      <c r="H71" s="14"/>
      <c r="I71" s="1"/>
      <c r="J71" s="1"/>
      <c r="K71" s="1"/>
    </row>
    <row r="72" spans="1:20" x14ac:dyDescent="0.25">
      <c r="A72" s="1"/>
      <c r="B72" s="19" t="s">
        <v>58</v>
      </c>
      <c r="C72" s="19">
        <v>120</v>
      </c>
      <c r="D72" s="19">
        <v>1</v>
      </c>
      <c r="E72" s="19">
        <f>D72*C72</f>
        <v>120</v>
      </c>
      <c r="F72" s="28"/>
      <c r="G72" s="14"/>
      <c r="H72" s="14"/>
      <c r="I72" s="1"/>
      <c r="J72" s="1"/>
      <c r="K72" s="1"/>
    </row>
    <row r="73" spans="1:20" x14ac:dyDescent="0.25">
      <c r="A73" s="1"/>
      <c r="B73" s="19" t="s">
        <v>85</v>
      </c>
      <c r="C73" s="19">
        <v>180</v>
      </c>
      <c r="D73" s="19">
        <v>0</v>
      </c>
      <c r="E73" s="19">
        <f>D73*C73</f>
        <v>0</v>
      </c>
      <c r="F73" s="28"/>
      <c r="G73" s="14"/>
      <c r="H73" s="14"/>
      <c r="I73" s="1"/>
      <c r="J73" s="1"/>
      <c r="K73" s="1"/>
    </row>
    <row r="74" spans="1:20" x14ac:dyDescent="0.25">
      <c r="A74" s="1"/>
      <c r="B74" s="19" t="s">
        <v>86</v>
      </c>
      <c r="C74" s="19">
        <v>100</v>
      </c>
      <c r="D74" s="19">
        <v>0</v>
      </c>
      <c r="E74" s="19">
        <f>D74*C74</f>
        <v>0</v>
      </c>
      <c r="F74" s="28"/>
      <c r="G74" s="14"/>
      <c r="H74" s="14"/>
      <c r="I74" s="1"/>
      <c r="J74" s="1"/>
      <c r="K74" s="1"/>
    </row>
    <row r="75" spans="1:20" x14ac:dyDescent="0.25">
      <c r="A75" s="1"/>
      <c r="B75" s="19" t="s">
        <v>87</v>
      </c>
      <c r="C75" s="19">
        <v>-18</v>
      </c>
      <c r="D75" s="19">
        <f>C51*10%</f>
        <v>0.93359680000000012</v>
      </c>
      <c r="E75" s="19">
        <f>D75*C75</f>
        <v>-16.804742400000002</v>
      </c>
      <c r="F75" s="28"/>
      <c r="G75" s="14"/>
      <c r="H75" s="14"/>
      <c r="I75" s="1"/>
      <c r="J75" s="1"/>
      <c r="K75" s="1"/>
    </row>
    <row r="76" spans="1:20" x14ac:dyDescent="0.25">
      <c r="A76" s="1"/>
      <c r="B76" s="19" t="s">
        <v>79</v>
      </c>
      <c r="C76" s="19"/>
      <c r="D76" s="19"/>
      <c r="E76" s="19">
        <f>SUM(E68:E75)</f>
        <v>2088.8267656319999</v>
      </c>
      <c r="F76" s="36"/>
      <c r="G76" s="14"/>
      <c r="H76" s="14"/>
      <c r="I76" s="1"/>
      <c r="J76" s="1"/>
      <c r="K76" s="1"/>
    </row>
    <row r="77" spans="1:20" x14ac:dyDescent="0.25">
      <c r="A77" s="1"/>
      <c r="B77" s="19" t="s">
        <v>88</v>
      </c>
      <c r="C77" s="35">
        <v>0.03</v>
      </c>
      <c r="D77" s="19"/>
      <c r="E77" s="19">
        <f>E76*C77</f>
        <v>62.664802968959997</v>
      </c>
      <c r="F77" s="28"/>
      <c r="G77" s="27"/>
      <c r="H77" s="1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0" x14ac:dyDescent="0.25">
      <c r="A78" s="1"/>
      <c r="B78" s="19" t="s">
        <v>89</v>
      </c>
      <c r="C78" s="19"/>
      <c r="D78" s="19"/>
      <c r="E78" s="19">
        <f>SUM(E76:E77)</f>
        <v>2151.4915686009599</v>
      </c>
      <c r="F78" s="28"/>
      <c r="G78" s="27"/>
      <c r="H78" s="1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0" x14ac:dyDescent="0.25">
      <c r="A79" s="1"/>
      <c r="B79" s="19"/>
      <c r="C79" s="19" t="s">
        <v>90</v>
      </c>
      <c r="D79" s="19"/>
      <c r="E79" s="31">
        <f>E78</f>
        <v>2151.4915686009599</v>
      </c>
      <c r="F79" s="28"/>
      <c r="G79" s="15">
        <f>S44</f>
        <v>2916.4920258133325</v>
      </c>
      <c r="H79" s="27"/>
      <c r="I79" s="1"/>
      <c r="J79" s="1"/>
      <c r="K79" s="1"/>
      <c r="T79" s="10"/>
    </row>
    <row r="80" spans="1:20" x14ac:dyDescent="0.25">
      <c r="A80" s="1"/>
      <c r="B80" s="14"/>
      <c r="C80" s="14"/>
      <c r="D80" s="14"/>
      <c r="E80" s="14"/>
      <c r="F80" s="37">
        <v>0.15</v>
      </c>
      <c r="G80" s="14">
        <f>G79-G79*F80</f>
        <v>2479.0182219413327</v>
      </c>
      <c r="H80" s="27"/>
      <c r="I80" s="1"/>
      <c r="J80" s="1"/>
      <c r="K80" s="1"/>
      <c r="T80" s="10"/>
    </row>
    <row r="81" spans="1:20" x14ac:dyDescent="0.25">
      <c r="A81" s="1"/>
      <c r="B81" s="38"/>
      <c r="C81" s="38"/>
      <c r="D81" s="38"/>
      <c r="E81" s="39"/>
      <c r="F81" s="1"/>
      <c r="G81" s="1"/>
      <c r="H81" s="1"/>
      <c r="I81" s="1"/>
      <c r="J81" s="1"/>
      <c r="K81" s="1"/>
      <c r="T81" s="10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T82" s="10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T90" s="40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21" x14ac:dyDescent="0.4">
      <c r="A131" s="1"/>
      <c r="B131" s="41"/>
      <c r="C131" s="41"/>
      <c r="D131" s="41"/>
      <c r="E131" s="4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 x14ac:dyDescent="0.25">
      <c r="A135" s="1"/>
      <c r="B135" s="4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4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4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4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4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4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4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4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21" x14ac:dyDescent="0.4">
      <c r="A230" s="1"/>
      <c r="B230" s="41"/>
      <c r="C230" s="41"/>
      <c r="D230" s="41"/>
      <c r="E230" s="4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</row>
    <row r="234" spans="1:19" x14ac:dyDescent="0.25">
      <c r="A234" s="1"/>
      <c r="B234" s="4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4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4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4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4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4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4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4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2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2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2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T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T328" s="1"/>
    </row>
    <row r="329" spans="1:24" x14ac:dyDescent="0.25">
      <c r="T329" s="1"/>
    </row>
    <row r="330" spans="1:24" ht="21" x14ac:dyDescent="0.4">
      <c r="A330" s="1"/>
      <c r="B330" s="41"/>
      <c r="C330" s="41"/>
      <c r="D330" s="41"/>
      <c r="E330" s="4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42"/>
      <c r="U330" s="42"/>
      <c r="V330" s="42"/>
      <c r="W330" s="42"/>
      <c r="X330" s="42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4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4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4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4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2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2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27" spans="1:20" x14ac:dyDescent="0.25">
      <c r="T427" s="1"/>
    </row>
    <row r="428" spans="1:20" x14ac:dyDescent="0.25">
      <c r="T428" s="1"/>
    </row>
    <row r="429" spans="1:20" x14ac:dyDescent="0.25">
      <c r="T429" s="1"/>
    </row>
    <row r="430" spans="1:20" ht="21" x14ac:dyDescent="0.4">
      <c r="A430" s="1"/>
      <c r="B430" s="41"/>
      <c r="C430" s="41"/>
      <c r="D430" s="41"/>
      <c r="E430" s="4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4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4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4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4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250-400x100-250x300-700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2020-10-15T05:50:54Z</dcterms:created>
  <dcterms:modified xsi:type="dcterms:W3CDTF">2021-01-10T08:07:51Z</dcterms:modified>
</cp:coreProperties>
</file>