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sting Sheets\"/>
    </mc:Choice>
  </mc:AlternateContent>
  <xr:revisionPtr revIDLastSave="0" documentId="13_ncr:1_{554C3BBF-7D42-4A00-956A-17CCD86C4595}" xr6:coauthVersionLast="46" xr6:coauthVersionMax="46" xr10:uidLastSave="{00000000-0000-0000-0000-000000000000}"/>
  <bookViews>
    <workbookView xWindow="-108" yWindow="-108" windowWidth="23256" windowHeight="12576" xr2:uid="{976CBD2E-3462-4599-B956-293B7FF79B10}"/>
  </bookViews>
  <sheets>
    <sheet name="400-800x500-700x800-160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" i="1" l="1"/>
  <c r="N11" i="1"/>
  <c r="N6" i="1"/>
  <c r="C72" i="1"/>
  <c r="C65" i="1"/>
  <c r="C64" i="1"/>
  <c r="D62" i="1"/>
  <c r="Q43" i="1"/>
  <c r="Q42" i="1"/>
  <c r="Q41" i="1"/>
  <c r="Q40" i="1"/>
  <c r="Q38" i="1"/>
  <c r="F38" i="1"/>
  <c r="F37" i="1"/>
  <c r="Q35" i="1"/>
  <c r="F35" i="1"/>
  <c r="D28" i="1"/>
  <c r="D29" i="1"/>
  <c r="F27" i="1"/>
  <c r="C27" i="1"/>
  <c r="F23" i="1"/>
  <c r="F21" i="1"/>
  <c r="D21" i="1"/>
  <c r="C21" i="1"/>
  <c r="F20" i="1"/>
  <c r="F14" i="1"/>
  <c r="F11" i="1"/>
  <c r="D10" i="1"/>
  <c r="C10" i="1"/>
  <c r="F10" i="1"/>
  <c r="F9" i="1"/>
  <c r="C9" i="1"/>
  <c r="F6" i="1"/>
  <c r="C6" i="1"/>
  <c r="C54" i="1"/>
  <c r="C7" i="1"/>
  <c r="K4" i="1" l="1"/>
  <c r="E36" i="1"/>
  <c r="E34" i="1"/>
  <c r="E33" i="1"/>
  <c r="E20" i="1"/>
  <c r="E19" i="1"/>
  <c r="E13" i="1"/>
  <c r="E12" i="1"/>
  <c r="E7" i="1"/>
  <c r="E6" i="1"/>
  <c r="E74" i="1" l="1"/>
  <c r="E73" i="1"/>
  <c r="E72" i="1"/>
  <c r="E70" i="1"/>
  <c r="E62" i="1"/>
  <c r="E61" i="1"/>
  <c r="D60" i="1"/>
  <c r="E60" i="1" s="1"/>
  <c r="E58" i="1"/>
  <c r="D57" i="1"/>
  <c r="E57" i="1" s="1"/>
  <c r="F48" i="1"/>
  <c r="E48" i="1"/>
  <c r="D48" i="1"/>
  <c r="C48" i="1"/>
  <c r="H44" i="1"/>
  <c r="G44" i="1"/>
  <c r="J43" i="1"/>
  <c r="P43" i="1" s="1"/>
  <c r="I43" i="1"/>
  <c r="M43" i="1" s="1"/>
  <c r="F43" i="1"/>
  <c r="F42" i="1"/>
  <c r="J42" i="1" s="1"/>
  <c r="P42" i="1" s="1"/>
  <c r="F41" i="1"/>
  <c r="J41" i="1" s="1"/>
  <c r="P41" i="1" s="1"/>
  <c r="J40" i="1"/>
  <c r="P40" i="1" s="1"/>
  <c r="F40" i="1"/>
  <c r="I40" i="1" s="1"/>
  <c r="M39" i="1"/>
  <c r="F39" i="1"/>
  <c r="Q39" i="1" s="1"/>
  <c r="M38" i="1"/>
  <c r="Q37" i="1"/>
  <c r="Q36" i="1"/>
  <c r="N36" i="1"/>
  <c r="D36" i="1"/>
  <c r="C36" i="1"/>
  <c r="J36" i="1" s="1"/>
  <c r="P36" i="1" s="1"/>
  <c r="M35" i="1"/>
  <c r="R35" i="1" s="1"/>
  <c r="S35" i="1" s="1"/>
  <c r="D34" i="1"/>
  <c r="C34" i="1"/>
  <c r="J34" i="1" s="1"/>
  <c r="P34" i="1" s="1"/>
  <c r="D33" i="1"/>
  <c r="C33" i="1"/>
  <c r="F32" i="1"/>
  <c r="Q32" i="1" s="1"/>
  <c r="D32" i="1"/>
  <c r="F31" i="1"/>
  <c r="Q31" i="1" s="1"/>
  <c r="D31" i="1"/>
  <c r="F30" i="1"/>
  <c r="Q30" i="1" s="1"/>
  <c r="D30" i="1"/>
  <c r="J30" i="1" s="1"/>
  <c r="P30" i="1" s="1"/>
  <c r="C30" i="1"/>
  <c r="F29" i="1"/>
  <c r="C29" i="1"/>
  <c r="F28" i="1"/>
  <c r="J28" i="1" s="1"/>
  <c r="P28" i="1" s="1"/>
  <c r="N27" i="1"/>
  <c r="D27" i="1"/>
  <c r="J26" i="1"/>
  <c r="P26" i="1" s="1"/>
  <c r="D23" i="1"/>
  <c r="I23" i="1" s="1"/>
  <c r="C23" i="1"/>
  <c r="D22" i="1"/>
  <c r="J22" i="1" s="1"/>
  <c r="P22" i="1" s="1"/>
  <c r="C22" i="1"/>
  <c r="Q21" i="1"/>
  <c r="O20" i="1"/>
  <c r="D19" i="1"/>
  <c r="F18" i="1"/>
  <c r="Q18" i="1" s="1"/>
  <c r="D18" i="1"/>
  <c r="Q17" i="1"/>
  <c r="D17" i="1"/>
  <c r="I17" i="1" s="1"/>
  <c r="K17" i="1" s="1"/>
  <c r="C17" i="1"/>
  <c r="C18" i="1" s="1"/>
  <c r="Q15" i="1"/>
  <c r="F15" i="1"/>
  <c r="F16" i="1" s="1"/>
  <c r="D14" i="1"/>
  <c r="O14" i="1" s="1"/>
  <c r="C14" i="1"/>
  <c r="D13" i="1"/>
  <c r="C20" i="1" s="1"/>
  <c r="D12" i="1"/>
  <c r="D11" i="1"/>
  <c r="C11" i="1"/>
  <c r="D9" i="1"/>
  <c r="O8" i="1"/>
  <c r="D8" i="1"/>
  <c r="C8" i="1"/>
  <c r="J8" i="1" s="1"/>
  <c r="P8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F7" i="1"/>
  <c r="D7" i="1"/>
  <c r="J7" i="1" s="1"/>
  <c r="P7" i="1" s="1"/>
  <c r="A7" i="1"/>
  <c r="D6" i="1"/>
  <c r="R38" i="1" l="1"/>
  <c r="S38" i="1" s="1"/>
  <c r="J33" i="1"/>
  <c r="P33" i="1" s="1"/>
  <c r="F24" i="1"/>
  <c r="I24" i="1" s="1"/>
  <c r="O23" i="1"/>
  <c r="J23" i="1"/>
  <c r="P23" i="1" s="1"/>
  <c r="I34" i="1"/>
  <c r="K34" i="1" s="1"/>
  <c r="L34" i="1" s="1"/>
  <c r="J21" i="1"/>
  <c r="P21" i="1" s="1"/>
  <c r="J6" i="1"/>
  <c r="P6" i="1" s="1"/>
  <c r="J9" i="1"/>
  <c r="P9" i="1" s="1"/>
  <c r="K23" i="1"/>
  <c r="L23" i="1" s="1"/>
  <c r="M23" i="1"/>
  <c r="O44" i="1"/>
  <c r="J10" i="1"/>
  <c r="P10" i="1" s="1"/>
  <c r="J14" i="1"/>
  <c r="P14" i="1" s="1"/>
  <c r="I14" i="1"/>
  <c r="J27" i="1"/>
  <c r="P27" i="1" s="1"/>
  <c r="J11" i="1"/>
  <c r="P11" i="1" s="1"/>
  <c r="I30" i="1"/>
  <c r="N30" i="1" s="1"/>
  <c r="I19" i="1"/>
  <c r="K19" i="1" s="1"/>
  <c r="L19" i="1" s="1"/>
  <c r="I33" i="1"/>
  <c r="N33" i="1" s="1"/>
  <c r="M17" i="1"/>
  <c r="J29" i="1"/>
  <c r="P29" i="1" s="1"/>
  <c r="M34" i="1"/>
  <c r="J18" i="1"/>
  <c r="P18" i="1" s="1"/>
  <c r="I18" i="1"/>
  <c r="L17" i="1"/>
  <c r="I20" i="1"/>
  <c r="J20" i="1"/>
  <c r="P20" i="1" s="1"/>
  <c r="A20" i="1"/>
  <c r="A21" i="1"/>
  <c r="A22" i="1" s="1"/>
  <c r="A23" i="1" s="1"/>
  <c r="A24" i="1" s="1"/>
  <c r="Q24" i="1"/>
  <c r="J24" i="1"/>
  <c r="P24" i="1" s="1"/>
  <c r="R39" i="1"/>
  <c r="S39" i="1" s="1"/>
  <c r="M40" i="1"/>
  <c r="K40" i="1"/>
  <c r="Q16" i="1"/>
  <c r="I16" i="1"/>
  <c r="J16" i="1"/>
  <c r="P16" i="1" s="1"/>
  <c r="N17" i="1"/>
  <c r="I22" i="1"/>
  <c r="F25" i="1"/>
  <c r="I27" i="1"/>
  <c r="I37" i="1"/>
  <c r="I9" i="1"/>
  <c r="I11" i="1"/>
  <c r="I29" i="1"/>
  <c r="C31" i="1"/>
  <c r="J37" i="1"/>
  <c r="P37" i="1" s="1"/>
  <c r="I41" i="1"/>
  <c r="K43" i="1"/>
  <c r="D64" i="1"/>
  <c r="E64" i="1" s="1"/>
  <c r="I7" i="1"/>
  <c r="Q26" i="1"/>
  <c r="D56" i="1"/>
  <c r="E56" i="1" s="1"/>
  <c r="D65" i="1"/>
  <c r="E65" i="1" s="1"/>
  <c r="F12" i="1"/>
  <c r="F13" i="1" s="1"/>
  <c r="J17" i="1"/>
  <c r="P17" i="1" s="1"/>
  <c r="I21" i="1"/>
  <c r="I26" i="1"/>
  <c r="I28" i="1"/>
  <c r="I36" i="1"/>
  <c r="I42" i="1"/>
  <c r="I6" i="1"/>
  <c r="I8" i="1"/>
  <c r="I10" i="1"/>
  <c r="I15" i="1"/>
  <c r="J19" i="1"/>
  <c r="P19" i="1" s="1"/>
  <c r="I12" i="1" l="1"/>
  <c r="K12" i="1" s="1"/>
  <c r="N34" i="1"/>
  <c r="R34" i="1" s="1"/>
  <c r="S34" i="1" s="1"/>
  <c r="K33" i="1"/>
  <c r="L33" i="1" s="1"/>
  <c r="M33" i="1"/>
  <c r="R23" i="1"/>
  <c r="S23" i="1" s="1"/>
  <c r="R17" i="1"/>
  <c r="S17" i="1" s="1"/>
  <c r="K14" i="1"/>
  <c r="L14" i="1" s="1"/>
  <c r="M14" i="1"/>
  <c r="M19" i="1"/>
  <c r="R19" i="1" s="1"/>
  <c r="S19" i="1" s="1"/>
  <c r="K30" i="1"/>
  <c r="L30" i="1" s="1"/>
  <c r="M30" i="1"/>
  <c r="M41" i="1"/>
  <c r="K41" i="1"/>
  <c r="K36" i="1"/>
  <c r="M36" i="1"/>
  <c r="M27" i="1"/>
  <c r="K27" i="1"/>
  <c r="A25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26" i="1"/>
  <c r="M15" i="1"/>
  <c r="K15" i="1"/>
  <c r="K28" i="1"/>
  <c r="M28" i="1"/>
  <c r="J25" i="1"/>
  <c r="P25" i="1" s="1"/>
  <c r="I25" i="1"/>
  <c r="Q25" i="1"/>
  <c r="Q44" i="1" s="1"/>
  <c r="K26" i="1"/>
  <c r="M26" i="1"/>
  <c r="J31" i="1"/>
  <c r="P31" i="1" s="1"/>
  <c r="I31" i="1"/>
  <c r="C32" i="1"/>
  <c r="M22" i="1"/>
  <c r="K22" i="1"/>
  <c r="L40" i="1"/>
  <c r="R40" i="1" s="1"/>
  <c r="S40" i="1" s="1"/>
  <c r="D59" i="1"/>
  <c r="E59" i="1" s="1"/>
  <c r="K10" i="1"/>
  <c r="M10" i="1"/>
  <c r="K21" i="1"/>
  <c r="M21" i="1"/>
  <c r="M29" i="1"/>
  <c r="K29" i="1"/>
  <c r="K8" i="1"/>
  <c r="M8" i="1"/>
  <c r="M7" i="1"/>
  <c r="K7" i="1"/>
  <c r="M11" i="1"/>
  <c r="K11" i="1"/>
  <c r="F44" i="1"/>
  <c r="J12" i="1"/>
  <c r="K6" i="1"/>
  <c r="M6" i="1"/>
  <c r="J13" i="1"/>
  <c r="P13" i="1" s="1"/>
  <c r="I13" i="1"/>
  <c r="M9" i="1"/>
  <c r="K9" i="1"/>
  <c r="M24" i="1"/>
  <c r="K24" i="1"/>
  <c r="N18" i="1"/>
  <c r="M18" i="1"/>
  <c r="K18" i="1"/>
  <c r="K42" i="1"/>
  <c r="M42" i="1"/>
  <c r="L43" i="1"/>
  <c r="R43" i="1" s="1"/>
  <c r="S43" i="1" s="1"/>
  <c r="M37" i="1"/>
  <c r="K37" i="1"/>
  <c r="M16" i="1"/>
  <c r="K16" i="1"/>
  <c r="M20" i="1"/>
  <c r="K20" i="1"/>
  <c r="M12" i="1" l="1"/>
  <c r="R33" i="1"/>
  <c r="S33" i="1" s="1"/>
  <c r="R30" i="1"/>
  <c r="S30" i="1" s="1"/>
  <c r="R14" i="1"/>
  <c r="S14" i="1" s="1"/>
  <c r="L22" i="1"/>
  <c r="R22" i="1" s="1"/>
  <c r="S22" i="1" s="1"/>
  <c r="L12" i="1"/>
  <c r="L6" i="1"/>
  <c r="M13" i="1"/>
  <c r="K13" i="1"/>
  <c r="L21" i="1"/>
  <c r="R21" i="1" s="1"/>
  <c r="S21" i="1" s="1"/>
  <c r="L28" i="1"/>
  <c r="R28" i="1" s="1"/>
  <c r="S28" i="1" s="1"/>
  <c r="L36" i="1"/>
  <c r="R36" i="1" s="1"/>
  <c r="S36" i="1" s="1"/>
  <c r="P12" i="1"/>
  <c r="P44" i="1" s="1"/>
  <c r="L29" i="1"/>
  <c r="R29" i="1" s="1"/>
  <c r="S29" i="1" s="1"/>
  <c r="L9" i="1"/>
  <c r="R9" i="1" s="1"/>
  <c r="S9" i="1" s="1"/>
  <c r="L42" i="1"/>
  <c r="R42" i="1" s="1"/>
  <c r="S42" i="1" s="1"/>
  <c r="L16" i="1"/>
  <c r="R16" i="1" s="1"/>
  <c r="S16" i="1" s="1"/>
  <c r="L18" i="1"/>
  <c r="R18" i="1" s="1"/>
  <c r="S18" i="1" s="1"/>
  <c r="L7" i="1"/>
  <c r="R7" i="1" s="1"/>
  <c r="S7" i="1" s="1"/>
  <c r="J32" i="1"/>
  <c r="P32" i="1" s="1"/>
  <c r="I32" i="1"/>
  <c r="L15" i="1"/>
  <c r="R15" i="1" s="1"/>
  <c r="L41" i="1"/>
  <c r="R41" i="1"/>
  <c r="S41" i="1" s="1"/>
  <c r="L24" i="1"/>
  <c r="R24" i="1" s="1"/>
  <c r="S24" i="1" s="1"/>
  <c r="L8" i="1"/>
  <c r="R8" i="1" s="1"/>
  <c r="S8" i="1" s="1"/>
  <c r="L27" i="1"/>
  <c r="R27" i="1" s="1"/>
  <c r="S27" i="1" s="1"/>
  <c r="L10" i="1"/>
  <c r="R10" i="1" s="1"/>
  <c r="S10" i="1" s="1"/>
  <c r="K31" i="1"/>
  <c r="N31" i="1"/>
  <c r="M31" i="1"/>
  <c r="L26" i="1"/>
  <c r="R26" i="1" s="1"/>
  <c r="S26" i="1" s="1"/>
  <c r="L20" i="1"/>
  <c r="R20" i="1" s="1"/>
  <c r="S20" i="1" s="1"/>
  <c r="L11" i="1"/>
  <c r="R11" i="1" s="1"/>
  <c r="S11" i="1" s="1"/>
  <c r="L37" i="1"/>
  <c r="R37" i="1" s="1"/>
  <c r="S37" i="1" s="1"/>
  <c r="M25" i="1"/>
  <c r="K25" i="1"/>
  <c r="R12" i="1" l="1"/>
  <c r="S12" i="1" s="1"/>
  <c r="R6" i="1"/>
  <c r="L31" i="1"/>
  <c r="R31" i="1" s="1"/>
  <c r="S31" i="1" s="1"/>
  <c r="S15" i="1"/>
  <c r="C63" i="1"/>
  <c r="E63" i="1" s="1"/>
  <c r="M32" i="1"/>
  <c r="M44" i="1" s="1"/>
  <c r="N32" i="1"/>
  <c r="N44" i="1" s="1"/>
  <c r="K32" i="1"/>
  <c r="L25" i="1"/>
  <c r="R25" i="1" s="1"/>
  <c r="S25" i="1" s="1"/>
  <c r="I44" i="1"/>
  <c r="C51" i="1" s="1"/>
  <c r="J44" i="1"/>
  <c r="L13" i="1"/>
  <c r="R13" i="1" s="1"/>
  <c r="S13" i="1" s="1"/>
  <c r="D54" i="1" l="1"/>
  <c r="E54" i="1" s="1"/>
  <c r="D55" i="1"/>
  <c r="D75" i="1"/>
  <c r="E75" i="1" s="1"/>
  <c r="D69" i="1"/>
  <c r="E69" i="1" s="1"/>
  <c r="P45" i="1"/>
  <c r="C55" i="1" s="1"/>
  <c r="S6" i="1"/>
  <c r="L32" i="1"/>
  <c r="L44" i="1" s="1"/>
  <c r="K44" i="1"/>
  <c r="R32" i="1" l="1"/>
  <c r="E55" i="1"/>
  <c r="E66" i="1" s="1"/>
  <c r="E71" i="1"/>
  <c r="S32" i="1" l="1"/>
  <c r="S44" i="1" s="1"/>
  <c r="R44" i="1"/>
  <c r="E67" i="1"/>
  <c r="E68" i="1" s="1"/>
  <c r="E76" i="1" s="1"/>
  <c r="T44" i="1" l="1"/>
  <c r="G79" i="1"/>
  <c r="G80" i="1" s="1"/>
  <c r="E77" i="1"/>
  <c r="E78" i="1" s="1"/>
  <c r="E79" i="1" s="1"/>
</calcChain>
</file>

<file path=xl/sharedStrings.xml><?xml version="1.0" encoding="utf-8"?>
<sst xmlns="http://schemas.openxmlformats.org/spreadsheetml/2006/main" count="104" uniqueCount="94">
  <si>
    <t>Max Size</t>
  </si>
  <si>
    <t>w</t>
  </si>
  <si>
    <t>d</t>
  </si>
  <si>
    <t>h</t>
  </si>
  <si>
    <t>B</t>
  </si>
  <si>
    <t>Qty</t>
  </si>
  <si>
    <t>Base</t>
  </si>
  <si>
    <t>Sr.No.</t>
  </si>
  <si>
    <t>DESCRIPTION</t>
  </si>
  <si>
    <t>WIDTH</t>
  </si>
  <si>
    <t>LENGTH</t>
  </si>
  <si>
    <t>THK</t>
  </si>
  <si>
    <t>QTY</t>
  </si>
  <si>
    <t>SHEAR</t>
  </si>
  <si>
    <t>BEND</t>
  </si>
  <si>
    <t>WEIGHT</t>
  </si>
  <si>
    <t>AREA</t>
  </si>
  <si>
    <t>MAT. COST</t>
  </si>
  <si>
    <t>SCRAP</t>
  </si>
  <si>
    <t>LABOUR</t>
  </si>
  <si>
    <t>WELD</t>
  </si>
  <si>
    <t>HOLE</t>
  </si>
  <si>
    <t>PAINT</t>
  </si>
  <si>
    <t>OTHER</t>
  </si>
  <si>
    <t>TOTAL</t>
  </si>
  <si>
    <t>NET</t>
  </si>
  <si>
    <t>T/B</t>
  </si>
  <si>
    <t>Vertical C</t>
  </si>
  <si>
    <t>Gland plate</t>
  </si>
  <si>
    <t>V Supp Ch</t>
  </si>
  <si>
    <t>H Supp Ch</t>
  </si>
  <si>
    <t>C Plate mtg L</t>
  </si>
  <si>
    <t>Glass</t>
  </si>
  <si>
    <t>Bidding</t>
  </si>
  <si>
    <t>Door frame W</t>
  </si>
  <si>
    <t>Door frame H</t>
  </si>
  <si>
    <t>Drawing pocket</t>
  </si>
  <si>
    <t>C Plate</t>
  </si>
  <si>
    <t>C Plate mtg ch</t>
  </si>
  <si>
    <t>Cross Ch</t>
  </si>
  <si>
    <t>Gasket PE</t>
  </si>
  <si>
    <t>Gasket PU</t>
  </si>
  <si>
    <t>Wall MTG Bkt</t>
  </si>
  <si>
    <t>85x85</t>
  </si>
  <si>
    <t>Base cover</t>
  </si>
  <si>
    <t>Stand W</t>
  </si>
  <si>
    <t>Stand D</t>
  </si>
  <si>
    <t>Stand H</t>
  </si>
  <si>
    <t>Stand W Cover</t>
  </si>
  <si>
    <t>Stand D Cover</t>
  </si>
  <si>
    <t>I Bolt</t>
  </si>
  <si>
    <t>Top Canopy</t>
  </si>
  <si>
    <t>Hinge</t>
  </si>
  <si>
    <t>Cam lock</t>
  </si>
  <si>
    <t>Hardware</t>
  </si>
  <si>
    <t>Assly</t>
  </si>
  <si>
    <t>Packing</t>
  </si>
  <si>
    <t>Cut-outs</t>
  </si>
  <si>
    <t>Enclosure</t>
  </si>
  <si>
    <t>W</t>
  </si>
  <si>
    <t>D</t>
  </si>
  <si>
    <t>H</t>
  </si>
  <si>
    <t>Weight</t>
  </si>
  <si>
    <t>Kg</t>
  </si>
  <si>
    <t>Description</t>
  </si>
  <si>
    <t>Rate</t>
  </si>
  <si>
    <t>Amount</t>
  </si>
  <si>
    <t>Steel with transport</t>
  </si>
  <si>
    <t>Powder Coat</t>
  </si>
  <si>
    <t>Hinges</t>
  </si>
  <si>
    <t>Gasket</t>
  </si>
  <si>
    <t>Lifting L</t>
  </si>
  <si>
    <t>Machined Parts on frame</t>
  </si>
  <si>
    <t>Machined Parts on door</t>
  </si>
  <si>
    <t>Assembly</t>
  </si>
  <si>
    <t>Total</t>
  </si>
  <si>
    <t>Profit &amp; Overheads</t>
  </si>
  <si>
    <t>Labour</t>
  </si>
  <si>
    <t>4" Filters</t>
  </si>
  <si>
    <t>Scrap Loss</t>
  </si>
  <si>
    <t>on steel</t>
  </si>
  <si>
    <t>AV pad</t>
  </si>
  <si>
    <t>Transport</t>
  </si>
  <si>
    <t>Scrap rebate</t>
  </si>
  <si>
    <t>60 days credit</t>
  </si>
  <si>
    <t>Grand Total</t>
  </si>
  <si>
    <t>Say</t>
  </si>
  <si>
    <t>Thk</t>
  </si>
  <si>
    <t>Steel Price</t>
  </si>
  <si>
    <t>Sides</t>
  </si>
  <si>
    <t>Indexing Z</t>
  </si>
  <si>
    <t>Front &amp; Rear Door</t>
  </si>
  <si>
    <t>COSTING OF  WMM-30 (MCC Box) single FDRD</t>
  </si>
  <si>
    <t>Lock Handle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</si>
</sst>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4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Alignment="1">
      <alignment horizontal="center"/>
    </xf>
    <xf numFmtId="0" fontId="3" fillId="0" borderId="0" xfId="1" applyFont="1" applyAlignment="1">
      <alignment horizontal="center"/>
    </xf>
    <xf numFmtId="9" fontId="1" fillId="0" borderId="0" xfId="1" applyNumberFormat="1"/>
    <xf numFmtId="0" fontId="1" fillId="0" borderId="1" xfId="1" applyBorder="1" applyAlignment="1">
      <alignment horizontal="left"/>
    </xf>
    <xf numFmtId="0" fontId="1" fillId="0" borderId="1" xfId="1" applyBorder="1"/>
    <xf numFmtId="1" fontId="1" fillId="0" borderId="1" xfId="1" applyNumberFormat="1" applyBorder="1"/>
    <xf numFmtId="1" fontId="1" fillId="0" borderId="0" xfId="1" applyNumberFormat="1"/>
    <xf numFmtId="0" fontId="1" fillId="0" borderId="1" xfId="2" applyBorder="1"/>
    <xf numFmtId="1" fontId="1" fillId="0" borderId="1" xfId="2" applyNumberFormat="1" applyBorder="1"/>
    <xf numFmtId="0" fontId="1" fillId="0" borderId="0" xfId="2"/>
    <xf numFmtId="1" fontId="1" fillId="0" borderId="0" xfId="2" applyNumberFormat="1"/>
    <xf numFmtId="0" fontId="1" fillId="2" borderId="1" xfId="1" applyFill="1" applyBorder="1"/>
    <xf numFmtId="10" fontId="1" fillId="0" borderId="0" xfId="1" applyNumberFormat="1"/>
    <xf numFmtId="0" fontId="4" fillId="0" borderId="1" xfId="2" applyFont="1" applyBorder="1"/>
    <xf numFmtId="0" fontId="4" fillId="0" borderId="1" xfId="2" applyFont="1" applyBorder="1" applyAlignment="1">
      <alignment horizontal="center"/>
    </xf>
    <xf numFmtId="9" fontId="1" fillId="0" borderId="0" xfId="2" applyNumberFormat="1"/>
    <xf numFmtId="0" fontId="5" fillId="0" borderId="0" xfId="1" applyFont="1"/>
    <xf numFmtId="2" fontId="4" fillId="0" borderId="1" xfId="2" applyNumberFormat="1" applyFont="1" applyBorder="1"/>
    <xf numFmtId="0" fontId="4" fillId="0" borderId="0" xfId="2" applyFont="1"/>
    <xf numFmtId="0" fontId="4" fillId="0" borderId="0" xfId="2" applyFont="1" applyAlignment="1">
      <alignment horizontal="center"/>
    </xf>
    <xf numFmtId="10" fontId="1" fillId="0" borderId="0" xfId="2" applyNumberFormat="1"/>
    <xf numFmtId="1" fontId="4" fillId="0" borderId="1" xfId="2" applyNumberFormat="1" applyFont="1" applyBorder="1"/>
    <xf numFmtId="0" fontId="4" fillId="0" borderId="1" xfId="2" applyFont="1" applyBorder="1" applyAlignment="1">
      <alignment vertical="center"/>
    </xf>
    <xf numFmtId="1" fontId="4" fillId="0" borderId="1" xfId="2" applyNumberFormat="1" applyFont="1" applyBorder="1" applyAlignment="1">
      <alignment vertical="center"/>
    </xf>
    <xf numFmtId="0" fontId="4" fillId="0" borderId="1" xfId="2" applyFont="1" applyBorder="1" applyAlignment="1">
      <alignment horizontal="right"/>
    </xf>
    <xf numFmtId="9" fontId="4" fillId="0" borderId="1" xfId="2" applyNumberFormat="1" applyFont="1" applyBorder="1"/>
    <xf numFmtId="9" fontId="4" fillId="0" borderId="0" xfId="2" applyNumberFormat="1" applyFont="1"/>
    <xf numFmtId="0" fontId="4" fillId="0" borderId="0" xfId="1" applyFont="1"/>
    <xf numFmtId="1" fontId="4" fillId="0" borderId="0" xfId="1" applyNumberFormat="1" applyFont="1"/>
    <xf numFmtId="0" fontId="1" fillId="0" borderId="0" xfId="1" quotePrefix="1"/>
    <xf numFmtId="0" fontId="6" fillId="0" borderId="0" xfId="2" applyFont="1"/>
  </cellXfs>
  <cellStyles count="3">
    <cellStyle name="Normal" xfId="0" builtinId="0"/>
    <cellStyle name="Normal 2" xfId="1" xr:uid="{05A5701A-9ED5-47F7-9D61-89BC77349EBB}"/>
    <cellStyle name="Normal 4" xfId="2" xr:uid="{AF2B927A-A6CE-4824-BD9D-DB0A2F4ECE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6599-D518-4AB2-A3CE-AC92031FE300}">
  <dimension ref="A1:X439"/>
  <sheetViews>
    <sheetView tabSelected="1" zoomScale="80" workbookViewId="0">
      <pane xSplit="4" ySplit="5" topLeftCell="E6" activePane="bottomRight" state="frozen"/>
      <selection activeCell="D3" sqref="D3"/>
      <selection pane="topRight" activeCell="D3" sqref="D3"/>
      <selection pane="bottomLeft" activeCell="D3" sqref="D3"/>
      <selection pane="bottomRight" activeCell="K28" sqref="K28"/>
    </sheetView>
  </sheetViews>
  <sheetFormatPr defaultColWidth="9.109375" defaultRowHeight="13.2" x14ac:dyDescent="0.25"/>
  <cols>
    <col min="1" max="1" width="3.109375" style="1" customWidth="1"/>
    <col min="2" max="2" width="19.5546875" style="1" customWidth="1"/>
    <col min="3" max="3" width="7.5546875" style="1" customWidth="1"/>
    <col min="4" max="4" width="7.44140625" style="1" customWidth="1"/>
    <col min="5" max="5" width="7" style="1" customWidth="1"/>
    <col min="6" max="6" width="7.109375" style="1" customWidth="1"/>
    <col min="7" max="7" width="7.88671875" style="1" customWidth="1"/>
    <col min="8" max="8" width="4.5546875" style="1" customWidth="1"/>
    <col min="9" max="9" width="6.44140625" style="1" customWidth="1"/>
    <col min="10" max="10" width="11" style="1" bestFit="1" customWidth="1"/>
    <col min="11" max="11" width="6.44140625" style="1" customWidth="1"/>
    <col min="12" max="12" width="6.88671875" style="1" customWidth="1"/>
    <col min="13" max="13" width="5.33203125" style="1" customWidth="1"/>
    <col min="14" max="14" width="5.44140625" style="1" customWidth="1"/>
    <col min="15" max="15" width="5.33203125" style="1" customWidth="1"/>
    <col min="16" max="16" width="5.6640625" style="1" customWidth="1"/>
    <col min="17" max="17" width="5.44140625" style="1" customWidth="1"/>
    <col min="18" max="18" width="7.6640625" style="1" customWidth="1"/>
    <col min="19" max="19" width="6.44140625" style="1" customWidth="1"/>
    <col min="20" max="20" width="6.33203125" style="1" customWidth="1"/>
    <col min="21" max="21" width="9.109375" style="1"/>
    <col min="22" max="22" width="9.44140625" style="1" bestFit="1" customWidth="1"/>
    <col min="23" max="16384" width="9.109375" style="1"/>
  </cols>
  <sheetData>
    <row r="1" spans="1:21" ht="21" x14ac:dyDescent="0.4">
      <c r="B1" s="2" t="s">
        <v>92</v>
      </c>
      <c r="C1" s="2"/>
      <c r="D1" s="2"/>
      <c r="E1" s="2"/>
      <c r="J1" s="33" t="s">
        <v>88</v>
      </c>
      <c r="K1" s="33">
        <v>70</v>
      </c>
    </row>
    <row r="2" spans="1:21" x14ac:dyDescent="0.25">
      <c r="B2" s="3">
        <v>800</v>
      </c>
      <c r="C2" s="3">
        <v>700</v>
      </c>
      <c r="D2" s="3">
        <v>1600</v>
      </c>
      <c r="E2" s="3"/>
      <c r="F2" s="3"/>
      <c r="G2" s="3"/>
      <c r="H2" s="1" t="s">
        <v>0</v>
      </c>
      <c r="J2" s="33" t="s">
        <v>87</v>
      </c>
      <c r="K2" s="33">
        <v>1.6</v>
      </c>
    </row>
    <row r="3" spans="1:21" x14ac:dyDescent="0.25">
      <c r="B3" s="4">
        <v>600</v>
      </c>
      <c r="C3" s="4">
        <v>600</v>
      </c>
      <c r="D3" s="4">
        <v>1600</v>
      </c>
      <c r="E3" s="4">
        <v>100</v>
      </c>
      <c r="F3" s="4">
        <v>1</v>
      </c>
      <c r="G3" s="4"/>
    </row>
    <row r="4" spans="1:21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/>
      <c r="K4" s="1">
        <f>K1</f>
        <v>70</v>
      </c>
      <c r="L4" s="5">
        <v>0.1</v>
      </c>
      <c r="M4" s="1">
        <v>20</v>
      </c>
      <c r="P4" s="1">
        <v>13</v>
      </c>
      <c r="S4" s="1">
        <v>0.75</v>
      </c>
    </row>
    <row r="5" spans="1:21" x14ac:dyDescent="0.25">
      <c r="A5" s="6" t="s">
        <v>7</v>
      </c>
      <c r="B5" s="6" t="s">
        <v>8</v>
      </c>
      <c r="C5" s="6" t="s">
        <v>9</v>
      </c>
      <c r="D5" s="6" t="s">
        <v>10</v>
      </c>
      <c r="E5" s="6" t="s">
        <v>11</v>
      </c>
      <c r="F5" s="6" t="s">
        <v>12</v>
      </c>
      <c r="G5" s="6" t="s">
        <v>13</v>
      </c>
      <c r="H5" s="6" t="s">
        <v>14</v>
      </c>
      <c r="I5" s="6" t="s">
        <v>15</v>
      </c>
      <c r="J5" s="6" t="s">
        <v>16</v>
      </c>
      <c r="K5" s="6" t="s">
        <v>17</v>
      </c>
      <c r="L5" s="6" t="s">
        <v>18</v>
      </c>
      <c r="M5" s="6" t="s">
        <v>19</v>
      </c>
      <c r="N5" s="6" t="s">
        <v>20</v>
      </c>
      <c r="O5" s="6" t="s">
        <v>21</v>
      </c>
      <c r="P5" s="6" t="s">
        <v>22</v>
      </c>
      <c r="Q5" s="6" t="s">
        <v>23</v>
      </c>
      <c r="R5" s="6" t="s">
        <v>24</v>
      </c>
      <c r="S5" s="6" t="s">
        <v>25</v>
      </c>
    </row>
    <row r="6" spans="1:21" x14ac:dyDescent="0.25">
      <c r="A6" s="7">
        <v>1</v>
      </c>
      <c r="B6" s="7" t="s">
        <v>89</v>
      </c>
      <c r="C6" s="7">
        <f>(C3-21*2)+30+30+21+21</f>
        <v>660</v>
      </c>
      <c r="D6" s="7">
        <f>D3</f>
        <v>1600</v>
      </c>
      <c r="E6" s="7">
        <f>K2</f>
        <v>1.6</v>
      </c>
      <c r="F6" s="7">
        <f>F$3*2</f>
        <v>2</v>
      </c>
      <c r="G6" s="7"/>
      <c r="H6" s="7"/>
      <c r="I6" s="7">
        <f t="shared" ref="I6:I43" si="0">C6/1000*D6/1000*E6*F6*8</f>
        <v>27.033600000000003</v>
      </c>
      <c r="J6" s="7">
        <f t="shared" ref="J6:J13" si="1">C6/1000*D6/1000*2*10.76*F6</f>
        <v>45.450240000000001</v>
      </c>
      <c r="K6" s="7">
        <f t="shared" ref="K6:K43" si="2">I6*K$4</f>
        <v>1892.3520000000003</v>
      </c>
      <c r="L6" s="7">
        <f t="shared" ref="L6:L43" si="3">K6*L$4</f>
        <v>189.23520000000005</v>
      </c>
      <c r="M6" s="8">
        <f>I6*M$4</f>
        <v>540.67200000000003</v>
      </c>
      <c r="N6" s="8">
        <f>(B3/1000*2+C3/1000*4+D3/1000*1)*110</f>
        <v>571.99999999999989</v>
      </c>
      <c r="O6" s="8">
        <v>0</v>
      </c>
      <c r="P6" s="8">
        <f>J6*P$4</f>
        <v>590.85311999999999</v>
      </c>
      <c r="Q6" s="8">
        <v>0</v>
      </c>
      <c r="R6" s="8">
        <f t="shared" ref="R6:R43" si="4">K6+L6+M6+N6+O6+P6+Q6</f>
        <v>3785.1123200000002</v>
      </c>
      <c r="S6" s="8">
        <f t="shared" ref="S6:S43" si="5">R6/S$4</f>
        <v>5046.8164266666672</v>
      </c>
    </row>
    <row r="7" spans="1:21" x14ac:dyDescent="0.25">
      <c r="A7" s="7">
        <f t="shared" ref="A7:A41" si="6">A6+1</f>
        <v>2</v>
      </c>
      <c r="B7" s="7" t="s">
        <v>26</v>
      </c>
      <c r="C7" s="7">
        <f>C3-21+30+21</f>
        <v>630</v>
      </c>
      <c r="D7" s="7">
        <f>B3</f>
        <v>600</v>
      </c>
      <c r="E7" s="7">
        <f>K2</f>
        <v>1.6</v>
      </c>
      <c r="F7" s="7">
        <f>F$3*2</f>
        <v>2</v>
      </c>
      <c r="G7" s="7"/>
      <c r="H7" s="7"/>
      <c r="I7" s="7">
        <f t="shared" si="0"/>
        <v>9.6768000000000001</v>
      </c>
      <c r="J7" s="7">
        <f t="shared" si="1"/>
        <v>16.269120000000001</v>
      </c>
      <c r="K7" s="7">
        <f t="shared" si="2"/>
        <v>677.37599999999998</v>
      </c>
      <c r="L7" s="7">
        <f t="shared" si="3"/>
        <v>67.7376</v>
      </c>
      <c r="M7" s="8">
        <f t="shared" ref="M7:M43" si="7">I7*M$4</f>
        <v>193.536</v>
      </c>
      <c r="N7" s="8">
        <v>0</v>
      </c>
      <c r="O7" s="8">
        <v>0</v>
      </c>
      <c r="P7" s="8">
        <f t="shared" ref="P7:P43" si="8">J7*P$4</f>
        <v>211.49856</v>
      </c>
      <c r="Q7" s="8">
        <v>0</v>
      </c>
      <c r="R7" s="8">
        <f t="shared" si="4"/>
        <v>1150.14816</v>
      </c>
      <c r="S7" s="8">
        <f t="shared" si="5"/>
        <v>1533.53088</v>
      </c>
    </row>
    <row r="8" spans="1:21" x14ac:dyDescent="0.25">
      <c r="A8" s="7">
        <f t="shared" si="6"/>
        <v>3</v>
      </c>
      <c r="B8" s="7" t="s">
        <v>27</v>
      </c>
      <c r="C8" s="7">
        <f>43*3</f>
        <v>129</v>
      </c>
      <c r="D8" s="7">
        <f>D3</f>
        <v>1600</v>
      </c>
      <c r="E8" s="7">
        <v>2</v>
      </c>
      <c r="F8" s="7">
        <v>0</v>
      </c>
      <c r="G8" s="7"/>
      <c r="H8" s="7"/>
      <c r="I8" s="7">
        <f t="shared" si="0"/>
        <v>0</v>
      </c>
      <c r="J8" s="7">
        <f t="shared" si="1"/>
        <v>0</v>
      </c>
      <c r="K8" s="7">
        <f t="shared" si="2"/>
        <v>0</v>
      </c>
      <c r="L8" s="7">
        <f t="shared" si="3"/>
        <v>0</v>
      </c>
      <c r="M8" s="8">
        <f t="shared" si="7"/>
        <v>0</v>
      </c>
      <c r="N8" s="8">
        <v>0</v>
      </c>
      <c r="O8" s="8">
        <f>50*F8</f>
        <v>0</v>
      </c>
      <c r="P8" s="8">
        <f t="shared" si="8"/>
        <v>0</v>
      </c>
      <c r="Q8" s="8">
        <v>0</v>
      </c>
      <c r="R8" s="8">
        <f t="shared" si="4"/>
        <v>0</v>
      </c>
      <c r="S8" s="8">
        <f t="shared" si="5"/>
        <v>0</v>
      </c>
    </row>
    <row r="9" spans="1:21" x14ac:dyDescent="0.25">
      <c r="A9" s="7">
        <f t="shared" si="6"/>
        <v>4</v>
      </c>
      <c r="B9" s="7" t="s">
        <v>90</v>
      </c>
      <c r="C9" s="7">
        <f>15+28*2-1.75*4</f>
        <v>64</v>
      </c>
      <c r="D9" s="7">
        <f>D3-150</f>
        <v>1450</v>
      </c>
      <c r="E9" s="7">
        <v>2</v>
      </c>
      <c r="F9" s="7">
        <f>F3*4</f>
        <v>4</v>
      </c>
      <c r="G9" s="7"/>
      <c r="H9" s="7"/>
      <c r="I9" s="7">
        <f>C9/1000*D9/1000*E9*F9*8</f>
        <v>5.9391999999999996</v>
      </c>
      <c r="J9" s="7">
        <f>C9/1000*D9/1000*2*10.76*F9</f>
        <v>7.9882239999999989</v>
      </c>
      <c r="K9" s="7">
        <f>I9*K$4</f>
        <v>415.74399999999997</v>
      </c>
      <c r="L9" s="7">
        <f>K9*L$4</f>
        <v>41.574399999999997</v>
      </c>
      <c r="M9" s="8">
        <f t="shared" si="7"/>
        <v>118.78399999999999</v>
      </c>
      <c r="N9" s="8">
        <v>1</v>
      </c>
      <c r="O9" s="8">
        <v>0</v>
      </c>
      <c r="P9" s="8">
        <f>J9*P$4</f>
        <v>103.84691199999999</v>
      </c>
      <c r="Q9" s="8">
        <v>0</v>
      </c>
      <c r="R9" s="8">
        <f>K9+L9+M9+N9+O9+P9+Q9</f>
        <v>680.94931199999996</v>
      </c>
      <c r="S9" s="8">
        <f>R9/S$4</f>
        <v>907.93241599999999</v>
      </c>
    </row>
    <row r="10" spans="1:21" x14ac:dyDescent="0.25">
      <c r="A10" s="7">
        <f t="shared" si="6"/>
        <v>5</v>
      </c>
      <c r="B10" s="7" t="s">
        <v>28</v>
      </c>
      <c r="C10" s="7">
        <f>B3-100</f>
        <v>500</v>
      </c>
      <c r="D10" s="7">
        <f>C3/2-50</f>
        <v>250</v>
      </c>
      <c r="E10" s="7">
        <v>2</v>
      </c>
      <c r="F10" s="7">
        <f>F3*2</f>
        <v>2</v>
      </c>
      <c r="G10" s="7"/>
      <c r="H10" s="7"/>
      <c r="I10" s="7">
        <f t="shared" si="0"/>
        <v>4</v>
      </c>
      <c r="J10" s="7">
        <f t="shared" si="1"/>
        <v>5.38</v>
      </c>
      <c r="K10" s="7">
        <f t="shared" si="2"/>
        <v>280</v>
      </c>
      <c r="L10" s="7">
        <f t="shared" si="3"/>
        <v>28</v>
      </c>
      <c r="M10" s="8">
        <f t="shared" si="7"/>
        <v>80</v>
      </c>
      <c r="N10" s="8">
        <v>0</v>
      </c>
      <c r="O10" s="8">
        <v>0</v>
      </c>
      <c r="P10" s="8">
        <f t="shared" si="8"/>
        <v>69.94</v>
      </c>
      <c r="Q10" s="8">
        <v>0</v>
      </c>
      <c r="R10" s="8">
        <f t="shared" si="4"/>
        <v>457.94</v>
      </c>
      <c r="S10" s="8">
        <f t="shared" si="5"/>
        <v>610.5866666666667</v>
      </c>
      <c r="T10" s="9"/>
    </row>
    <row r="11" spans="1:21" x14ac:dyDescent="0.25">
      <c r="A11" s="7">
        <f t="shared" si="6"/>
        <v>6</v>
      </c>
      <c r="B11" s="7" t="s">
        <v>91</v>
      </c>
      <c r="C11" s="7">
        <f>B3+27</f>
        <v>627</v>
      </c>
      <c r="D11" s="7">
        <f>D3+25</f>
        <v>1625</v>
      </c>
      <c r="E11" s="7">
        <v>2</v>
      </c>
      <c r="F11" s="7">
        <f>F3*2</f>
        <v>2</v>
      </c>
      <c r="G11" s="7"/>
      <c r="H11" s="7"/>
      <c r="I11" s="7">
        <f t="shared" si="0"/>
        <v>32.603999999999999</v>
      </c>
      <c r="J11" s="7">
        <f t="shared" si="1"/>
        <v>43.852379999999997</v>
      </c>
      <c r="K11" s="7">
        <f t="shared" si="2"/>
        <v>2282.2799999999997</v>
      </c>
      <c r="L11" s="7">
        <f t="shared" si="3"/>
        <v>228.22799999999998</v>
      </c>
      <c r="M11" s="8">
        <f t="shared" si="7"/>
        <v>652.07999999999993</v>
      </c>
      <c r="N11" s="8">
        <f>F11*100</f>
        <v>200</v>
      </c>
      <c r="O11" s="8">
        <v>0</v>
      </c>
      <c r="P11" s="8">
        <f t="shared" si="8"/>
        <v>570.08093999999994</v>
      </c>
      <c r="Q11" s="8">
        <v>0</v>
      </c>
      <c r="R11" s="8">
        <f t="shared" si="4"/>
        <v>3932.6689399999996</v>
      </c>
      <c r="S11" s="8">
        <f t="shared" si="5"/>
        <v>5243.5585866666661</v>
      </c>
    </row>
    <row r="12" spans="1:21" x14ac:dyDescent="0.25">
      <c r="A12" s="7">
        <f t="shared" si="6"/>
        <v>7</v>
      </c>
      <c r="B12" s="7" t="s">
        <v>29</v>
      </c>
      <c r="C12" s="7">
        <v>45</v>
      </c>
      <c r="D12" s="7">
        <f>D3-77</f>
        <v>1523</v>
      </c>
      <c r="E12" s="7">
        <f>K2</f>
        <v>1.6</v>
      </c>
      <c r="F12" s="7">
        <f>F11*2</f>
        <v>4</v>
      </c>
      <c r="G12" s="7"/>
      <c r="H12" s="7"/>
      <c r="I12" s="7">
        <f t="shared" si="0"/>
        <v>3.5089920000000001</v>
      </c>
      <c r="J12" s="7">
        <f t="shared" si="1"/>
        <v>5.8994928</v>
      </c>
      <c r="K12" s="7">
        <f t="shared" si="2"/>
        <v>245.62944000000002</v>
      </c>
      <c r="L12" s="7">
        <f t="shared" si="3"/>
        <v>24.562944000000002</v>
      </c>
      <c r="M12" s="8">
        <f t="shared" si="7"/>
        <v>70.179839999999999</v>
      </c>
      <c r="N12" s="8">
        <v>0</v>
      </c>
      <c r="O12" s="8">
        <v>0</v>
      </c>
      <c r="P12" s="8">
        <f t="shared" si="8"/>
        <v>76.693406400000001</v>
      </c>
      <c r="Q12" s="8">
        <v>0</v>
      </c>
      <c r="R12" s="8">
        <f t="shared" si="4"/>
        <v>417.06563040000003</v>
      </c>
      <c r="S12" s="8">
        <f t="shared" si="5"/>
        <v>556.0875072</v>
      </c>
    </row>
    <row r="13" spans="1:21" x14ac:dyDescent="0.25">
      <c r="A13" s="7">
        <f t="shared" si="6"/>
        <v>8</v>
      </c>
      <c r="B13" s="7" t="s">
        <v>30</v>
      </c>
      <c r="C13" s="7">
        <v>45</v>
      </c>
      <c r="D13" s="7">
        <f>(B3-77)</f>
        <v>523</v>
      </c>
      <c r="E13" s="7">
        <f>K2</f>
        <v>1.6</v>
      </c>
      <c r="F13" s="7">
        <f>F12*1</f>
        <v>4</v>
      </c>
      <c r="G13" s="7"/>
      <c r="H13" s="7"/>
      <c r="I13" s="7">
        <f t="shared" si="0"/>
        <v>1.2049920000000001</v>
      </c>
      <c r="J13" s="7">
        <f t="shared" si="1"/>
        <v>2.0258927999999998</v>
      </c>
      <c r="K13" s="7">
        <f t="shared" si="2"/>
        <v>84.349440000000001</v>
      </c>
      <c r="L13" s="7">
        <f t="shared" si="3"/>
        <v>8.4349439999999998</v>
      </c>
      <c r="M13" s="8">
        <f t="shared" si="7"/>
        <v>24.09984</v>
      </c>
      <c r="N13" s="8">
        <v>0</v>
      </c>
      <c r="O13" s="8">
        <v>0</v>
      </c>
      <c r="P13" s="8">
        <f t="shared" si="8"/>
        <v>26.336606399999997</v>
      </c>
      <c r="Q13" s="8">
        <v>0</v>
      </c>
      <c r="R13" s="8">
        <f t="shared" si="4"/>
        <v>143.22083040000001</v>
      </c>
      <c r="S13" s="8">
        <f t="shared" si="5"/>
        <v>190.96110720000001</v>
      </c>
      <c r="T13" s="9"/>
    </row>
    <row r="14" spans="1:21" x14ac:dyDescent="0.25">
      <c r="A14" s="7">
        <f t="shared" si="6"/>
        <v>9</v>
      </c>
      <c r="B14" s="7" t="s">
        <v>31</v>
      </c>
      <c r="C14" s="7">
        <f>28*2</f>
        <v>56</v>
      </c>
      <c r="D14" s="7">
        <f>C3-25</f>
        <v>575</v>
      </c>
      <c r="E14" s="7">
        <v>2</v>
      </c>
      <c r="F14" s="7">
        <f>F3*4</f>
        <v>4</v>
      </c>
      <c r="G14" s="7"/>
      <c r="H14" s="7"/>
      <c r="I14" s="7">
        <f>C14/1000*D14/1000*E14*F14*8</f>
        <v>2.0608</v>
      </c>
      <c r="J14" s="7">
        <f>C14/1000*D14/1000*2*10.76*F14</f>
        <v>2.771776</v>
      </c>
      <c r="K14" s="7">
        <f>I14*K$4</f>
        <v>144.256</v>
      </c>
      <c r="L14" s="7">
        <f>K14*L$4</f>
        <v>14.425600000000001</v>
      </c>
      <c r="M14" s="8">
        <f t="shared" si="7"/>
        <v>41.216000000000001</v>
      </c>
      <c r="N14" s="8">
        <v>0</v>
      </c>
      <c r="O14" s="8">
        <f>D14/25*F14*0.5</f>
        <v>46</v>
      </c>
      <c r="P14" s="8">
        <f>J14*P$4</f>
        <v>36.033087999999999</v>
      </c>
      <c r="Q14" s="8">
        <v>0</v>
      </c>
      <c r="R14" s="8">
        <f>K14+L14+M14+N14+O14+P14+Q14</f>
        <v>281.93068800000003</v>
      </c>
      <c r="S14" s="8">
        <f>R14/S$4</f>
        <v>375.90758400000004</v>
      </c>
      <c r="T14" s="9"/>
    </row>
    <row r="15" spans="1:21" x14ac:dyDescent="0.25">
      <c r="A15" s="7">
        <f t="shared" si="6"/>
        <v>10</v>
      </c>
      <c r="B15" s="7" t="s">
        <v>32</v>
      </c>
      <c r="C15" s="7">
        <v>1.5</v>
      </c>
      <c r="D15" s="7">
        <v>3</v>
      </c>
      <c r="E15" s="7"/>
      <c r="F15" s="7">
        <f>1*0</f>
        <v>0</v>
      </c>
      <c r="G15" s="7"/>
      <c r="H15" s="7"/>
      <c r="I15" s="7">
        <f t="shared" si="0"/>
        <v>0</v>
      </c>
      <c r="J15" s="7">
        <v>0</v>
      </c>
      <c r="K15" s="7">
        <f t="shared" si="2"/>
        <v>0</v>
      </c>
      <c r="L15" s="7">
        <f t="shared" si="3"/>
        <v>0</v>
      </c>
      <c r="M15" s="8">
        <f t="shared" si="7"/>
        <v>0</v>
      </c>
      <c r="N15" s="8">
        <v>0</v>
      </c>
      <c r="O15" s="8">
        <v>0</v>
      </c>
      <c r="P15" s="8">
        <v>0</v>
      </c>
      <c r="Q15" s="8">
        <f>C15*D15*F15*110</f>
        <v>0</v>
      </c>
      <c r="R15" s="8">
        <f>K15+L15+M15+N15+O15+P15+Q15</f>
        <v>0</v>
      </c>
      <c r="S15" s="8">
        <f t="shared" si="5"/>
        <v>0</v>
      </c>
    </row>
    <row r="16" spans="1:21" x14ac:dyDescent="0.25">
      <c r="A16" s="7">
        <f t="shared" si="6"/>
        <v>11</v>
      </c>
      <c r="B16" s="7" t="s">
        <v>33</v>
      </c>
      <c r="C16" s="7"/>
      <c r="D16" s="7"/>
      <c r="E16" s="7"/>
      <c r="F16" s="7">
        <f>(C15*2+D15*2)*F15</f>
        <v>0</v>
      </c>
      <c r="G16" s="7"/>
      <c r="H16" s="7"/>
      <c r="I16" s="7">
        <f t="shared" si="0"/>
        <v>0</v>
      </c>
      <c r="J16" s="7">
        <f t="shared" ref="J16:J43" si="9">C16/1000*D16/1000*2*10.76*F16</f>
        <v>0</v>
      </c>
      <c r="K16" s="7">
        <f t="shared" si="2"/>
        <v>0</v>
      </c>
      <c r="L16" s="7">
        <f t="shared" si="3"/>
        <v>0</v>
      </c>
      <c r="M16" s="8">
        <f t="shared" si="7"/>
        <v>0</v>
      </c>
      <c r="N16" s="8">
        <v>0</v>
      </c>
      <c r="O16" s="8"/>
      <c r="P16" s="8">
        <f t="shared" si="8"/>
        <v>0</v>
      </c>
      <c r="Q16" s="8">
        <f>F16*25</f>
        <v>0</v>
      </c>
      <c r="R16" s="8">
        <f t="shared" si="4"/>
        <v>0</v>
      </c>
      <c r="S16" s="8">
        <f t="shared" si="5"/>
        <v>0</v>
      </c>
      <c r="U16" s="9"/>
    </row>
    <row r="17" spans="1:21" x14ac:dyDescent="0.25">
      <c r="A17" s="7">
        <f t="shared" si="6"/>
        <v>12</v>
      </c>
      <c r="B17" s="7" t="s">
        <v>34</v>
      </c>
      <c r="C17" s="7">
        <f>17+25+58-1.75*4</f>
        <v>93</v>
      </c>
      <c r="D17" s="7">
        <f>B3</f>
        <v>600</v>
      </c>
      <c r="E17" s="7">
        <v>3</v>
      </c>
      <c r="F17" s="7">
        <v>0</v>
      </c>
      <c r="G17" s="7"/>
      <c r="H17" s="7"/>
      <c r="I17" s="7">
        <f t="shared" si="0"/>
        <v>0</v>
      </c>
      <c r="J17" s="7">
        <f t="shared" si="9"/>
        <v>0</v>
      </c>
      <c r="K17" s="7">
        <f t="shared" si="2"/>
        <v>0</v>
      </c>
      <c r="L17" s="7">
        <f t="shared" si="3"/>
        <v>0</v>
      </c>
      <c r="M17" s="8">
        <f t="shared" si="7"/>
        <v>0</v>
      </c>
      <c r="N17" s="8">
        <f>I17*20</f>
        <v>0</v>
      </c>
      <c r="O17" s="8">
        <v>0</v>
      </c>
      <c r="P17" s="8">
        <f t="shared" si="8"/>
        <v>0</v>
      </c>
      <c r="Q17" s="8">
        <f>F17*12</f>
        <v>0</v>
      </c>
      <c r="R17" s="8">
        <f t="shared" si="4"/>
        <v>0</v>
      </c>
      <c r="S17" s="8">
        <f t="shared" si="5"/>
        <v>0</v>
      </c>
      <c r="U17" s="9"/>
    </row>
    <row r="18" spans="1:21" x14ac:dyDescent="0.25">
      <c r="A18" s="7">
        <f t="shared" si="6"/>
        <v>13</v>
      </c>
      <c r="B18" s="7" t="s">
        <v>35</v>
      </c>
      <c r="C18" s="7">
        <f>C17</f>
        <v>93</v>
      </c>
      <c r="D18" s="7">
        <f>D3</f>
        <v>1600</v>
      </c>
      <c r="E18" s="7">
        <v>2</v>
      </c>
      <c r="F18" s="7">
        <f>2*0</f>
        <v>0</v>
      </c>
      <c r="G18" s="7"/>
      <c r="H18" s="7"/>
      <c r="I18" s="7">
        <f t="shared" si="0"/>
        <v>0</v>
      </c>
      <c r="J18" s="7">
        <f t="shared" si="9"/>
        <v>0</v>
      </c>
      <c r="K18" s="7">
        <f t="shared" si="2"/>
        <v>0</v>
      </c>
      <c r="L18" s="7">
        <f t="shared" si="3"/>
        <v>0</v>
      </c>
      <c r="M18" s="8">
        <f t="shared" si="7"/>
        <v>0</v>
      </c>
      <c r="N18" s="8">
        <f>I18*20</f>
        <v>0</v>
      </c>
      <c r="O18" s="8">
        <v>0</v>
      </c>
      <c r="P18" s="8">
        <f t="shared" si="8"/>
        <v>0</v>
      </c>
      <c r="Q18" s="8">
        <f>F18*12</f>
        <v>0</v>
      </c>
      <c r="R18" s="8">
        <f t="shared" si="4"/>
        <v>0</v>
      </c>
      <c r="S18" s="8">
        <f t="shared" si="5"/>
        <v>0</v>
      </c>
      <c r="U18" s="9"/>
    </row>
    <row r="19" spans="1:21" x14ac:dyDescent="0.25">
      <c r="A19" s="7">
        <f t="shared" si="6"/>
        <v>14</v>
      </c>
      <c r="B19" s="7" t="s">
        <v>30</v>
      </c>
      <c r="C19" s="7">
        <v>69</v>
      </c>
      <c r="D19" s="7">
        <f>B3/2-160</f>
        <v>140</v>
      </c>
      <c r="E19" s="7">
        <f>K2</f>
        <v>1.6</v>
      </c>
      <c r="F19" s="7">
        <v>0</v>
      </c>
      <c r="G19" s="7"/>
      <c r="H19" s="7"/>
      <c r="I19" s="7">
        <f t="shared" si="0"/>
        <v>0</v>
      </c>
      <c r="J19" s="7">
        <f t="shared" si="9"/>
        <v>0</v>
      </c>
      <c r="K19" s="7">
        <f t="shared" si="2"/>
        <v>0</v>
      </c>
      <c r="L19" s="7">
        <f t="shared" si="3"/>
        <v>0</v>
      </c>
      <c r="M19" s="8">
        <f t="shared" si="7"/>
        <v>0</v>
      </c>
      <c r="N19" s="8">
        <v>0</v>
      </c>
      <c r="O19" s="8">
        <v>0</v>
      </c>
      <c r="P19" s="8">
        <f t="shared" si="8"/>
        <v>0</v>
      </c>
      <c r="Q19" s="8">
        <v>0</v>
      </c>
      <c r="R19" s="8">
        <f t="shared" si="4"/>
        <v>0</v>
      </c>
      <c r="S19" s="8">
        <f t="shared" si="5"/>
        <v>0</v>
      </c>
      <c r="T19" s="9"/>
    </row>
    <row r="20" spans="1:21" s="12" customFormat="1" x14ac:dyDescent="0.25">
      <c r="A20" s="10">
        <f t="shared" si="6"/>
        <v>15</v>
      </c>
      <c r="B20" s="10" t="s">
        <v>36</v>
      </c>
      <c r="C20" s="10">
        <f>D13+50</f>
        <v>573</v>
      </c>
      <c r="D20" s="10">
        <v>300</v>
      </c>
      <c r="E20" s="10">
        <f>K2</f>
        <v>1.6</v>
      </c>
      <c r="F20" s="10">
        <f>F3</f>
        <v>1</v>
      </c>
      <c r="G20" s="10"/>
      <c r="H20" s="10"/>
      <c r="I20" s="10">
        <f t="shared" si="0"/>
        <v>2.2003199999999996</v>
      </c>
      <c r="J20" s="10">
        <f t="shared" si="9"/>
        <v>3.6992879999999992</v>
      </c>
      <c r="K20" s="10">
        <f t="shared" si="2"/>
        <v>154.02239999999998</v>
      </c>
      <c r="L20" s="10">
        <f t="shared" si="3"/>
        <v>15.402239999999999</v>
      </c>
      <c r="M20" s="8">
        <f t="shared" si="7"/>
        <v>44.006399999999992</v>
      </c>
      <c r="N20" s="11">
        <v>0</v>
      </c>
      <c r="O20" s="11">
        <f>4*F20</f>
        <v>4</v>
      </c>
      <c r="P20" s="11">
        <f>J20*P$4</f>
        <v>48.090743999999987</v>
      </c>
      <c r="Q20" s="11">
        <v>0</v>
      </c>
      <c r="R20" s="11">
        <f t="shared" si="4"/>
        <v>265.52178399999997</v>
      </c>
      <c r="S20" s="11">
        <f t="shared" si="5"/>
        <v>354.02904533333327</v>
      </c>
      <c r="U20" s="13"/>
    </row>
    <row r="21" spans="1:21" x14ac:dyDescent="0.25">
      <c r="A21" s="7">
        <f>A19+1</f>
        <v>15</v>
      </c>
      <c r="B21" s="7" t="s">
        <v>37</v>
      </c>
      <c r="C21" s="7">
        <f>B3-65+25*4-1.75*8</f>
        <v>621</v>
      </c>
      <c r="D21" s="7">
        <f>D3-65+25*4-1.75*8</f>
        <v>1621</v>
      </c>
      <c r="E21" s="7">
        <v>2</v>
      </c>
      <c r="F21" s="7">
        <f>F3*2</f>
        <v>2</v>
      </c>
      <c r="G21" s="7"/>
      <c r="H21" s="7"/>
      <c r="I21" s="7">
        <f t="shared" si="0"/>
        <v>32.212511999999997</v>
      </c>
      <c r="J21" s="7">
        <f t="shared" si="9"/>
        <v>43.325828639999997</v>
      </c>
      <c r="K21" s="7">
        <f t="shared" si="2"/>
        <v>2254.8758399999997</v>
      </c>
      <c r="L21" s="7">
        <f t="shared" si="3"/>
        <v>225.48758399999997</v>
      </c>
      <c r="M21" s="8">
        <f t="shared" si="7"/>
        <v>644.25023999999996</v>
      </c>
      <c r="N21" s="8">
        <v>0</v>
      </c>
      <c r="O21" s="8">
        <v>0</v>
      </c>
      <c r="P21" s="8">
        <f t="shared" si="8"/>
        <v>563.23577232000002</v>
      </c>
      <c r="Q21" s="8">
        <f>4*10*0</f>
        <v>0</v>
      </c>
      <c r="R21" s="8">
        <f t="shared" si="4"/>
        <v>3687.8494363199998</v>
      </c>
      <c r="S21" s="8">
        <f t="shared" si="5"/>
        <v>4917.13258176</v>
      </c>
    </row>
    <row r="22" spans="1:21" x14ac:dyDescent="0.25">
      <c r="A22" s="7">
        <f t="shared" si="6"/>
        <v>16</v>
      </c>
      <c r="B22" s="7" t="s">
        <v>38</v>
      </c>
      <c r="C22" s="7">
        <f>45+45-2.65*2</f>
        <v>84.7</v>
      </c>
      <c r="D22" s="7">
        <f>C3</f>
        <v>600</v>
      </c>
      <c r="E22" s="7">
        <v>3</v>
      </c>
      <c r="F22" s="7">
        <v>0</v>
      </c>
      <c r="G22" s="7"/>
      <c r="H22" s="7"/>
      <c r="I22" s="7">
        <f t="shared" si="0"/>
        <v>0</v>
      </c>
      <c r="J22" s="7">
        <f t="shared" si="9"/>
        <v>0</v>
      </c>
      <c r="K22" s="7">
        <f t="shared" si="2"/>
        <v>0</v>
      </c>
      <c r="L22" s="7">
        <f t="shared" si="3"/>
        <v>0</v>
      </c>
      <c r="M22" s="8">
        <f t="shared" si="7"/>
        <v>0</v>
      </c>
      <c r="N22" s="8">
        <v>0</v>
      </c>
      <c r="O22" s="8">
        <v>0</v>
      </c>
      <c r="P22" s="8">
        <f t="shared" si="8"/>
        <v>0</v>
      </c>
      <c r="Q22" s="8">
        <v>0</v>
      </c>
      <c r="R22" s="8">
        <f t="shared" si="4"/>
        <v>0</v>
      </c>
      <c r="S22" s="8">
        <f t="shared" si="5"/>
        <v>0</v>
      </c>
    </row>
    <row r="23" spans="1:21" x14ac:dyDescent="0.25">
      <c r="A23" s="7">
        <f t="shared" si="6"/>
        <v>17</v>
      </c>
      <c r="B23" s="7" t="s">
        <v>39</v>
      </c>
      <c r="C23" s="7">
        <f>25*2-1.75*4</f>
        <v>43</v>
      </c>
      <c r="D23" s="7">
        <f>C3-103</f>
        <v>497</v>
      </c>
      <c r="E23" s="7">
        <v>2</v>
      </c>
      <c r="F23" s="7">
        <f>F3*6</f>
        <v>6</v>
      </c>
      <c r="G23" s="7"/>
      <c r="H23" s="7"/>
      <c r="I23" s="7">
        <f t="shared" si="0"/>
        <v>2.0516159999999997</v>
      </c>
      <c r="J23" s="7">
        <f t="shared" si="9"/>
        <v>2.7594235199999999</v>
      </c>
      <c r="K23" s="7">
        <f t="shared" si="2"/>
        <v>143.61311999999998</v>
      </c>
      <c r="L23" s="7">
        <f t="shared" si="3"/>
        <v>14.361311999999998</v>
      </c>
      <c r="M23" s="8">
        <f t="shared" si="7"/>
        <v>41.032319999999991</v>
      </c>
      <c r="N23" s="8">
        <v>0</v>
      </c>
      <c r="O23" s="8">
        <f>D23/25*0.2*F23</f>
        <v>23.856000000000002</v>
      </c>
      <c r="P23" s="8">
        <f t="shared" si="8"/>
        <v>35.872505759999996</v>
      </c>
      <c r="Q23" s="8">
        <v>0</v>
      </c>
      <c r="R23" s="8">
        <f t="shared" si="4"/>
        <v>258.73525775999997</v>
      </c>
      <c r="S23" s="8">
        <f t="shared" si="5"/>
        <v>344.98034367999998</v>
      </c>
      <c r="T23" s="9"/>
    </row>
    <row r="24" spans="1:21" x14ac:dyDescent="0.25">
      <c r="A24" s="7">
        <f t="shared" si="6"/>
        <v>18</v>
      </c>
      <c r="B24" s="7" t="s">
        <v>40</v>
      </c>
      <c r="C24" s="7">
        <v>0</v>
      </c>
      <c r="D24" s="7">
        <v>0</v>
      </c>
      <c r="E24" s="7">
        <v>0</v>
      </c>
      <c r="F24" s="7">
        <f>((C11/1000*2)+(D11/1000*3))*F11</f>
        <v>12.257999999999999</v>
      </c>
      <c r="G24" s="7"/>
      <c r="H24" s="7"/>
      <c r="I24" s="7">
        <f t="shared" si="0"/>
        <v>0</v>
      </c>
      <c r="J24" s="7">
        <f t="shared" si="9"/>
        <v>0</v>
      </c>
      <c r="K24" s="7">
        <f t="shared" si="2"/>
        <v>0</v>
      </c>
      <c r="L24" s="7">
        <f t="shared" si="3"/>
        <v>0</v>
      </c>
      <c r="M24" s="8">
        <f t="shared" si="7"/>
        <v>0</v>
      </c>
      <c r="N24" s="8">
        <v>0</v>
      </c>
      <c r="O24" s="8">
        <v>0</v>
      </c>
      <c r="P24" s="8">
        <f t="shared" si="8"/>
        <v>0</v>
      </c>
      <c r="Q24" s="8">
        <f>F24*35</f>
        <v>429.03</v>
      </c>
      <c r="R24" s="8">
        <f t="shared" si="4"/>
        <v>429.03</v>
      </c>
      <c r="S24" s="8">
        <f t="shared" si="5"/>
        <v>572.04</v>
      </c>
    </row>
    <row r="25" spans="1:21" x14ac:dyDescent="0.25">
      <c r="A25" s="7">
        <f t="shared" si="6"/>
        <v>19</v>
      </c>
      <c r="B25" s="7" t="s">
        <v>41</v>
      </c>
      <c r="C25" s="7">
        <v>0</v>
      </c>
      <c r="D25" s="7">
        <v>0</v>
      </c>
      <c r="E25" s="7">
        <v>0</v>
      </c>
      <c r="F25" s="7">
        <f>((C10*2/1000)+(D10*2/1000))*2*F$10</f>
        <v>6</v>
      </c>
      <c r="G25" s="7"/>
      <c r="H25" s="7"/>
      <c r="I25" s="7">
        <f t="shared" si="0"/>
        <v>0</v>
      </c>
      <c r="J25" s="7">
        <f t="shared" si="9"/>
        <v>0</v>
      </c>
      <c r="K25" s="7">
        <f t="shared" si="2"/>
        <v>0</v>
      </c>
      <c r="L25" s="7">
        <f t="shared" si="3"/>
        <v>0</v>
      </c>
      <c r="M25" s="8">
        <f t="shared" si="7"/>
        <v>0</v>
      </c>
      <c r="N25" s="8">
        <v>0</v>
      </c>
      <c r="O25" s="8">
        <v>0</v>
      </c>
      <c r="P25" s="8">
        <f t="shared" si="8"/>
        <v>0</v>
      </c>
      <c r="Q25" s="8">
        <f>F25*12</f>
        <v>72</v>
      </c>
      <c r="R25" s="8">
        <f t="shared" si="4"/>
        <v>72</v>
      </c>
      <c r="S25" s="8">
        <f t="shared" si="5"/>
        <v>96</v>
      </c>
      <c r="T25" s="9"/>
    </row>
    <row r="26" spans="1:21" x14ac:dyDescent="0.25">
      <c r="A26" s="7">
        <f>A24+1</f>
        <v>19</v>
      </c>
      <c r="B26" s="7" t="s">
        <v>42</v>
      </c>
      <c r="C26" s="7">
        <v>100</v>
      </c>
      <c r="D26" s="7">
        <v>50</v>
      </c>
      <c r="E26" s="7">
        <v>3</v>
      </c>
      <c r="F26" s="7">
        <v>0</v>
      </c>
      <c r="G26" s="7"/>
      <c r="H26" s="7"/>
      <c r="I26" s="7">
        <f t="shared" si="0"/>
        <v>0</v>
      </c>
      <c r="J26" s="7">
        <f t="shared" si="9"/>
        <v>0</v>
      </c>
      <c r="K26" s="7">
        <f t="shared" si="2"/>
        <v>0</v>
      </c>
      <c r="L26" s="7">
        <f>K26*L$4</f>
        <v>0</v>
      </c>
      <c r="M26" s="8">
        <f t="shared" si="7"/>
        <v>0</v>
      </c>
      <c r="N26" s="8">
        <v>0</v>
      </c>
      <c r="O26" s="8">
        <v>0</v>
      </c>
      <c r="P26" s="8">
        <f t="shared" si="8"/>
        <v>0</v>
      </c>
      <c r="Q26" s="8">
        <f>F26*5</f>
        <v>0</v>
      </c>
      <c r="R26" s="8">
        <f t="shared" si="4"/>
        <v>0</v>
      </c>
      <c r="S26" s="8">
        <f>R26/S$4</f>
        <v>0</v>
      </c>
      <c r="T26" s="9"/>
    </row>
    <row r="27" spans="1:21" x14ac:dyDescent="0.25">
      <c r="A27" s="7">
        <f>A25+1</f>
        <v>20</v>
      </c>
      <c r="B27" s="7" t="s">
        <v>6</v>
      </c>
      <c r="C27" s="7">
        <f>C3-21*2+120*2</f>
        <v>798</v>
      </c>
      <c r="D27" s="7">
        <f>E3+45*2</f>
        <v>190</v>
      </c>
      <c r="E27" s="7">
        <v>3</v>
      </c>
      <c r="F27" s="7">
        <f>F3*2</f>
        <v>2</v>
      </c>
      <c r="G27" s="7"/>
      <c r="H27" s="7"/>
      <c r="I27" s="7">
        <f t="shared" si="0"/>
        <v>7.2777600000000007</v>
      </c>
      <c r="J27" s="7">
        <f t="shared" si="9"/>
        <v>6.5257247999999999</v>
      </c>
      <c r="K27" s="7">
        <f t="shared" si="2"/>
        <v>509.44320000000005</v>
      </c>
      <c r="L27" s="7">
        <f t="shared" si="3"/>
        <v>50.944320000000005</v>
      </c>
      <c r="M27" s="8">
        <f t="shared" si="7"/>
        <v>145.55520000000001</v>
      </c>
      <c r="N27" s="8">
        <f>F27*50</f>
        <v>100</v>
      </c>
      <c r="O27" s="8">
        <v>0</v>
      </c>
      <c r="P27" s="8">
        <f t="shared" si="8"/>
        <v>84.834422399999994</v>
      </c>
      <c r="Q27" s="8">
        <v>0</v>
      </c>
      <c r="R27" s="8">
        <f t="shared" si="4"/>
        <v>890.7771424</v>
      </c>
      <c r="S27" s="8">
        <f t="shared" si="5"/>
        <v>1187.7028565333333</v>
      </c>
      <c r="T27" s="9"/>
    </row>
    <row r="28" spans="1:21" x14ac:dyDescent="0.25">
      <c r="A28" s="7">
        <f t="shared" si="6"/>
        <v>21</v>
      </c>
      <c r="B28" s="7" t="s">
        <v>43</v>
      </c>
      <c r="C28" s="7">
        <v>85</v>
      </c>
      <c r="D28" s="7">
        <f>E3-15</f>
        <v>85</v>
      </c>
      <c r="E28" s="7">
        <v>2</v>
      </c>
      <c r="F28" s="7">
        <f>F27*2</f>
        <v>4</v>
      </c>
      <c r="G28" s="7"/>
      <c r="H28" s="7"/>
      <c r="I28" s="7">
        <f t="shared" si="0"/>
        <v>0.46240000000000003</v>
      </c>
      <c r="J28" s="7">
        <f t="shared" si="9"/>
        <v>0.62192800000000004</v>
      </c>
      <c r="K28" s="7">
        <f t="shared" si="2"/>
        <v>32.368000000000002</v>
      </c>
      <c r="L28" s="7">
        <f t="shared" si="3"/>
        <v>3.2368000000000006</v>
      </c>
      <c r="M28" s="8">
        <f t="shared" si="7"/>
        <v>9.2480000000000011</v>
      </c>
      <c r="N28" s="8">
        <v>0</v>
      </c>
      <c r="O28" s="8">
        <v>0</v>
      </c>
      <c r="P28" s="8">
        <f t="shared" si="8"/>
        <v>8.0850640000000009</v>
      </c>
      <c r="Q28" s="8">
        <v>0</v>
      </c>
      <c r="R28" s="8">
        <f t="shared" si="4"/>
        <v>52.937864000000005</v>
      </c>
      <c r="S28" s="8">
        <f t="shared" si="5"/>
        <v>70.583818666666673</v>
      </c>
      <c r="T28" s="9"/>
    </row>
    <row r="29" spans="1:21" x14ac:dyDescent="0.25">
      <c r="A29" s="7">
        <f t="shared" si="6"/>
        <v>22</v>
      </c>
      <c r="B29" s="7" t="s">
        <v>44</v>
      </c>
      <c r="C29" s="7">
        <f>B3-121*2</f>
        <v>358</v>
      </c>
      <c r="D29" s="7">
        <f>E3-5+22*2</f>
        <v>139</v>
      </c>
      <c r="E29" s="7">
        <v>2</v>
      </c>
      <c r="F29" s="7">
        <f>F27</f>
        <v>2</v>
      </c>
      <c r="G29" s="7"/>
      <c r="H29" s="7"/>
      <c r="I29" s="7">
        <f t="shared" si="0"/>
        <v>1.592384</v>
      </c>
      <c r="J29" s="7">
        <f t="shared" si="9"/>
        <v>2.1417564800000002</v>
      </c>
      <c r="K29" s="7">
        <f t="shared" si="2"/>
        <v>111.46688</v>
      </c>
      <c r="L29" s="7">
        <f t="shared" si="3"/>
        <v>11.146688000000001</v>
      </c>
      <c r="M29" s="8">
        <f t="shared" si="7"/>
        <v>31.84768</v>
      </c>
      <c r="N29" s="8">
        <v>0</v>
      </c>
      <c r="O29" s="8">
        <v>0</v>
      </c>
      <c r="P29" s="8">
        <f t="shared" si="8"/>
        <v>27.842834240000002</v>
      </c>
      <c r="Q29" s="8">
        <v>0</v>
      </c>
      <c r="R29" s="8">
        <f t="shared" si="4"/>
        <v>182.30408224000001</v>
      </c>
      <c r="S29" s="8">
        <f t="shared" si="5"/>
        <v>243.07210965333334</v>
      </c>
      <c r="T29" s="9"/>
    </row>
    <row r="30" spans="1:21" x14ac:dyDescent="0.25">
      <c r="A30" s="7">
        <f t="shared" si="6"/>
        <v>23</v>
      </c>
      <c r="B30" s="7" t="s">
        <v>45</v>
      </c>
      <c r="C30" s="7">
        <f>50+50</f>
        <v>100</v>
      </c>
      <c r="D30" s="7">
        <f>B3-40-40</f>
        <v>520</v>
      </c>
      <c r="E30" s="7">
        <v>3</v>
      </c>
      <c r="F30" s="7">
        <f>F3*4*0</f>
        <v>0</v>
      </c>
      <c r="G30" s="7"/>
      <c r="H30" s="7"/>
      <c r="I30" s="7">
        <f t="shared" si="0"/>
        <v>0</v>
      </c>
      <c r="J30" s="7">
        <f t="shared" si="9"/>
        <v>0</v>
      </c>
      <c r="K30" s="7">
        <f t="shared" si="2"/>
        <v>0</v>
      </c>
      <c r="L30" s="7">
        <f>K30*L$4</f>
        <v>0</v>
      </c>
      <c r="M30" s="8">
        <f t="shared" si="7"/>
        <v>0</v>
      </c>
      <c r="N30" s="8">
        <f>I30*20</f>
        <v>0</v>
      </c>
      <c r="O30" s="8">
        <v>0</v>
      </c>
      <c r="P30" s="8">
        <f>J30*P$4</f>
        <v>0</v>
      </c>
      <c r="Q30" s="8">
        <f>F30*12*0</f>
        <v>0</v>
      </c>
      <c r="R30" s="8">
        <f>K30+L30+M30+N30+O30+P30+Q30</f>
        <v>0</v>
      </c>
      <c r="S30" s="8">
        <f t="shared" si="5"/>
        <v>0</v>
      </c>
      <c r="T30" s="9"/>
    </row>
    <row r="31" spans="1:21" x14ac:dyDescent="0.25">
      <c r="A31" s="7">
        <f t="shared" si="6"/>
        <v>24</v>
      </c>
      <c r="B31" s="7" t="s">
        <v>46</v>
      </c>
      <c r="C31" s="7">
        <f>C30</f>
        <v>100</v>
      </c>
      <c r="D31" s="7">
        <f>C3-20-6</f>
        <v>574</v>
      </c>
      <c r="E31" s="7">
        <v>3</v>
      </c>
      <c r="F31" s="7">
        <f>F3*4*0</f>
        <v>0</v>
      </c>
      <c r="G31" s="7"/>
      <c r="H31" s="7"/>
      <c r="I31" s="7">
        <f t="shared" si="0"/>
        <v>0</v>
      </c>
      <c r="J31" s="7">
        <f t="shared" si="9"/>
        <v>0</v>
      </c>
      <c r="K31" s="7">
        <f t="shared" si="2"/>
        <v>0</v>
      </c>
      <c r="L31" s="7">
        <f>K31*L$4</f>
        <v>0</v>
      </c>
      <c r="M31" s="8">
        <f t="shared" si="7"/>
        <v>0</v>
      </c>
      <c r="N31" s="8">
        <f>I31*20</f>
        <v>0</v>
      </c>
      <c r="O31" s="8">
        <v>0</v>
      </c>
      <c r="P31" s="8">
        <f t="shared" si="8"/>
        <v>0</v>
      </c>
      <c r="Q31" s="8">
        <f>F31*12*0</f>
        <v>0</v>
      </c>
      <c r="R31" s="8">
        <f>K31+L31+M31+N31+O31+P31+Q31</f>
        <v>0</v>
      </c>
      <c r="S31" s="8">
        <f t="shared" si="5"/>
        <v>0</v>
      </c>
      <c r="T31" s="9"/>
    </row>
    <row r="32" spans="1:21" x14ac:dyDescent="0.25">
      <c r="A32" s="7">
        <f t="shared" si="6"/>
        <v>25</v>
      </c>
      <c r="B32" s="7" t="s">
        <v>47</v>
      </c>
      <c r="C32" s="7">
        <f>C31</f>
        <v>100</v>
      </c>
      <c r="D32" s="7">
        <f>G3-100-6</f>
        <v>-106</v>
      </c>
      <c r="E32" s="7">
        <v>3</v>
      </c>
      <c r="F32" s="7">
        <f>F3*4*0</f>
        <v>0</v>
      </c>
      <c r="G32" s="7"/>
      <c r="H32" s="7"/>
      <c r="I32" s="7">
        <f t="shared" si="0"/>
        <v>0</v>
      </c>
      <c r="J32" s="7">
        <f t="shared" si="9"/>
        <v>0</v>
      </c>
      <c r="K32" s="7">
        <f t="shared" si="2"/>
        <v>0</v>
      </c>
      <c r="L32" s="7">
        <f>K32*L$4</f>
        <v>0</v>
      </c>
      <c r="M32" s="8">
        <f t="shared" si="7"/>
        <v>0</v>
      </c>
      <c r="N32" s="8">
        <f>I32*20</f>
        <v>0</v>
      </c>
      <c r="O32" s="8">
        <v>0</v>
      </c>
      <c r="P32" s="8">
        <f t="shared" si="8"/>
        <v>0</v>
      </c>
      <c r="Q32" s="8">
        <f>F32*12*0</f>
        <v>0</v>
      </c>
      <c r="R32" s="8">
        <f>K32+L32+M32+N32+O32+P32+Q32</f>
        <v>0</v>
      </c>
      <c r="S32" s="8">
        <f t="shared" si="5"/>
        <v>0</v>
      </c>
      <c r="T32" s="9"/>
    </row>
    <row r="33" spans="1:22" x14ac:dyDescent="0.25">
      <c r="A33" s="7">
        <f t="shared" si="6"/>
        <v>26</v>
      </c>
      <c r="B33" s="7" t="s">
        <v>48</v>
      </c>
      <c r="C33" s="7">
        <f>G3-20</f>
        <v>-20</v>
      </c>
      <c r="D33" s="7">
        <f>B3</f>
        <v>600</v>
      </c>
      <c r="E33" s="7">
        <f>K2</f>
        <v>1.6</v>
      </c>
      <c r="F33" s="7">
        <v>0</v>
      </c>
      <c r="G33" s="7"/>
      <c r="H33" s="7"/>
      <c r="I33" s="7">
        <f>C33/1000*D33/1000*E33*F33*8</f>
        <v>0</v>
      </c>
      <c r="J33" s="7">
        <f>C33/1000*D33/1000*2*10.76*F33</f>
        <v>0</v>
      </c>
      <c r="K33" s="7">
        <f>I33*K$4</f>
        <v>0</v>
      </c>
      <c r="L33" s="7">
        <f>K33*L$4</f>
        <v>0</v>
      </c>
      <c r="M33" s="8">
        <f t="shared" si="7"/>
        <v>0</v>
      </c>
      <c r="N33" s="8">
        <f>I33*0</f>
        <v>0</v>
      </c>
      <c r="O33" s="8"/>
      <c r="P33" s="8">
        <f>J33*P$4</f>
        <v>0</v>
      </c>
      <c r="Q33" s="8">
        <v>0</v>
      </c>
      <c r="R33" s="8">
        <f>K33+L33+M33+N33+O33+P33+Q33</f>
        <v>0</v>
      </c>
      <c r="S33" s="8">
        <f t="shared" si="5"/>
        <v>0</v>
      </c>
      <c r="T33" s="9"/>
    </row>
    <row r="34" spans="1:22" x14ac:dyDescent="0.25">
      <c r="A34" s="7">
        <f t="shared" si="6"/>
        <v>27</v>
      </c>
      <c r="B34" s="7" t="s">
        <v>49</v>
      </c>
      <c r="C34" s="7">
        <f>G3-20</f>
        <v>-20</v>
      </c>
      <c r="D34" s="7">
        <f>C3</f>
        <v>600</v>
      </c>
      <c r="E34" s="7">
        <f>K2</f>
        <v>1.6</v>
      </c>
      <c r="F34" s="7">
        <v>0</v>
      </c>
      <c r="G34" s="7"/>
      <c r="H34" s="7"/>
      <c r="I34" s="7">
        <f>C34/1000*D34/1000*E34*F34*8</f>
        <v>0</v>
      </c>
      <c r="J34" s="7">
        <f>C34/1000*D34/1000*2*10.76*F34</f>
        <v>0</v>
      </c>
      <c r="K34" s="7">
        <f>I34*K$4</f>
        <v>0</v>
      </c>
      <c r="L34" s="7">
        <f>K34*L$4</f>
        <v>0</v>
      </c>
      <c r="M34" s="8">
        <f t="shared" si="7"/>
        <v>0</v>
      </c>
      <c r="N34" s="8">
        <f>I34*0</f>
        <v>0</v>
      </c>
      <c r="O34" s="8"/>
      <c r="P34" s="8">
        <f>J34*P$4</f>
        <v>0</v>
      </c>
      <c r="Q34" s="8">
        <v>0</v>
      </c>
      <c r="R34" s="8">
        <f>K34+L34+M34+N34+O34+P34+Q34</f>
        <v>0</v>
      </c>
      <c r="S34" s="8">
        <f t="shared" si="5"/>
        <v>0</v>
      </c>
      <c r="T34" s="9"/>
    </row>
    <row r="35" spans="1:22" x14ac:dyDescent="0.25">
      <c r="A35" s="7">
        <f t="shared" si="6"/>
        <v>28</v>
      </c>
      <c r="B35" s="7" t="s">
        <v>50</v>
      </c>
      <c r="C35" s="7"/>
      <c r="D35" s="7"/>
      <c r="E35" s="7"/>
      <c r="F35" s="7">
        <f>F3*4</f>
        <v>4</v>
      </c>
      <c r="G35" s="7"/>
      <c r="H35" s="7"/>
      <c r="I35" s="7"/>
      <c r="J35" s="7"/>
      <c r="K35" s="7"/>
      <c r="L35" s="7"/>
      <c r="M35" s="8">
        <f t="shared" si="7"/>
        <v>0</v>
      </c>
      <c r="N35" s="8"/>
      <c r="O35" s="8"/>
      <c r="P35" s="8"/>
      <c r="Q35" s="8">
        <f>F35*30</f>
        <v>120</v>
      </c>
      <c r="R35" s="8">
        <f t="shared" si="4"/>
        <v>120</v>
      </c>
      <c r="S35" s="8">
        <f t="shared" si="5"/>
        <v>160</v>
      </c>
      <c r="T35" s="9"/>
    </row>
    <row r="36" spans="1:22" x14ac:dyDescent="0.25">
      <c r="A36" s="7">
        <f t="shared" si="6"/>
        <v>29</v>
      </c>
      <c r="B36" s="7" t="s">
        <v>51</v>
      </c>
      <c r="C36" s="14">
        <f>C3+25*2+100</f>
        <v>750</v>
      </c>
      <c r="D36" s="7">
        <f>B3+25*2+200</f>
        <v>850</v>
      </c>
      <c r="E36" s="7">
        <f>K2</f>
        <v>1.6</v>
      </c>
      <c r="F36" s="7">
        <v>0</v>
      </c>
      <c r="G36" s="7"/>
      <c r="H36" s="7"/>
      <c r="I36" s="7">
        <f t="shared" si="0"/>
        <v>0</v>
      </c>
      <c r="J36" s="7">
        <f t="shared" si="9"/>
        <v>0</v>
      </c>
      <c r="K36" s="7">
        <f t="shared" si="2"/>
        <v>0</v>
      </c>
      <c r="L36" s="7">
        <f t="shared" si="3"/>
        <v>0</v>
      </c>
      <c r="M36" s="8">
        <f t="shared" si="7"/>
        <v>0</v>
      </c>
      <c r="N36" s="8">
        <f>200*0</f>
        <v>0</v>
      </c>
      <c r="O36" s="8">
        <v>0</v>
      </c>
      <c r="P36" s="8">
        <f t="shared" si="8"/>
        <v>0</v>
      </c>
      <c r="Q36" s="8">
        <f>150*F36</f>
        <v>0</v>
      </c>
      <c r="R36" s="8">
        <f t="shared" si="4"/>
        <v>0</v>
      </c>
      <c r="S36" s="8">
        <f t="shared" si="5"/>
        <v>0</v>
      </c>
    </row>
    <row r="37" spans="1:22" x14ac:dyDescent="0.25">
      <c r="A37" s="7">
        <f t="shared" si="6"/>
        <v>30</v>
      </c>
      <c r="B37" s="7" t="s">
        <v>52</v>
      </c>
      <c r="C37" s="7">
        <v>0</v>
      </c>
      <c r="D37" s="7">
        <v>0</v>
      </c>
      <c r="E37" s="7">
        <v>0</v>
      </c>
      <c r="F37" s="7">
        <f>F11*4</f>
        <v>8</v>
      </c>
      <c r="G37" s="7"/>
      <c r="H37" s="7"/>
      <c r="I37" s="7">
        <f t="shared" si="0"/>
        <v>0</v>
      </c>
      <c r="J37" s="7">
        <f t="shared" si="9"/>
        <v>0</v>
      </c>
      <c r="K37" s="7">
        <f t="shared" si="2"/>
        <v>0</v>
      </c>
      <c r="L37" s="7">
        <f t="shared" si="3"/>
        <v>0</v>
      </c>
      <c r="M37" s="8">
        <f t="shared" si="7"/>
        <v>0</v>
      </c>
      <c r="N37" s="8">
        <v>0</v>
      </c>
      <c r="O37" s="8">
        <v>0</v>
      </c>
      <c r="P37" s="8">
        <f t="shared" si="8"/>
        <v>0</v>
      </c>
      <c r="Q37" s="8">
        <f>45*F37</f>
        <v>360</v>
      </c>
      <c r="R37" s="8">
        <f t="shared" si="4"/>
        <v>360</v>
      </c>
      <c r="S37" s="8">
        <f t="shared" si="5"/>
        <v>480</v>
      </c>
    </row>
    <row r="38" spans="1:22" x14ac:dyDescent="0.25">
      <c r="A38" s="7">
        <f t="shared" si="6"/>
        <v>31</v>
      </c>
      <c r="B38" s="7" t="s">
        <v>93</v>
      </c>
      <c r="C38" s="7"/>
      <c r="D38" s="7"/>
      <c r="E38" s="7"/>
      <c r="F38" s="7">
        <f>F3*2</f>
        <v>2</v>
      </c>
      <c r="G38" s="7"/>
      <c r="H38" s="7"/>
      <c r="I38" s="7"/>
      <c r="J38" s="7"/>
      <c r="K38" s="7"/>
      <c r="L38" s="7"/>
      <c r="M38" s="8">
        <f t="shared" si="7"/>
        <v>0</v>
      </c>
      <c r="N38" s="8"/>
      <c r="O38" s="8"/>
      <c r="P38" s="8"/>
      <c r="Q38" s="8">
        <f>F38*650</f>
        <v>1300</v>
      </c>
      <c r="R38" s="8">
        <f>K38+L38+M38+N38+O38+P38+Q38</f>
        <v>1300</v>
      </c>
      <c r="S38" s="8">
        <f>R38/S$4</f>
        <v>1733.3333333333333</v>
      </c>
    </row>
    <row r="39" spans="1:22" x14ac:dyDescent="0.25">
      <c r="A39" s="7">
        <f t="shared" si="6"/>
        <v>32</v>
      </c>
      <c r="B39" s="7" t="s">
        <v>53</v>
      </c>
      <c r="C39" s="7"/>
      <c r="D39" s="7"/>
      <c r="E39" s="7"/>
      <c r="F39" s="7">
        <f>3*0</f>
        <v>0</v>
      </c>
      <c r="G39" s="7"/>
      <c r="H39" s="7"/>
      <c r="I39" s="7"/>
      <c r="J39" s="7"/>
      <c r="K39" s="7"/>
      <c r="L39" s="7"/>
      <c r="M39" s="8">
        <f t="shared" si="7"/>
        <v>0</v>
      </c>
      <c r="N39" s="8"/>
      <c r="O39" s="8"/>
      <c r="P39" s="8"/>
      <c r="Q39" s="8">
        <f>F39*65</f>
        <v>0</v>
      </c>
      <c r="R39" s="8">
        <f>K39+L39+M39+N39+O39+P39+Q39</f>
        <v>0</v>
      </c>
      <c r="S39" s="8">
        <f>R39/S$4</f>
        <v>0</v>
      </c>
    </row>
    <row r="40" spans="1:22" x14ac:dyDescent="0.25">
      <c r="A40" s="7">
        <f t="shared" si="6"/>
        <v>33</v>
      </c>
      <c r="B40" s="7" t="s">
        <v>54</v>
      </c>
      <c r="C40" s="7">
        <v>0</v>
      </c>
      <c r="D40" s="7">
        <v>0</v>
      </c>
      <c r="E40" s="7">
        <v>0</v>
      </c>
      <c r="F40" s="7">
        <f>F$3</f>
        <v>1</v>
      </c>
      <c r="G40" s="7"/>
      <c r="H40" s="7"/>
      <c r="I40" s="7">
        <f t="shared" si="0"/>
        <v>0</v>
      </c>
      <c r="J40" s="7">
        <f t="shared" si="9"/>
        <v>0</v>
      </c>
      <c r="K40" s="7">
        <f t="shared" si="2"/>
        <v>0</v>
      </c>
      <c r="L40" s="7">
        <f t="shared" si="3"/>
        <v>0</v>
      </c>
      <c r="M40" s="8">
        <f t="shared" si="7"/>
        <v>0</v>
      </c>
      <c r="N40" s="8">
        <v>0</v>
      </c>
      <c r="O40" s="8">
        <v>0</v>
      </c>
      <c r="P40" s="8">
        <f t="shared" si="8"/>
        <v>0</v>
      </c>
      <c r="Q40" s="8">
        <f>200*F40</f>
        <v>200</v>
      </c>
      <c r="R40" s="8">
        <f t="shared" si="4"/>
        <v>200</v>
      </c>
      <c r="S40" s="8">
        <f t="shared" si="5"/>
        <v>266.66666666666669</v>
      </c>
    </row>
    <row r="41" spans="1:22" x14ac:dyDescent="0.25">
      <c r="A41" s="7">
        <f t="shared" si="6"/>
        <v>34</v>
      </c>
      <c r="B41" s="7" t="s">
        <v>55</v>
      </c>
      <c r="C41" s="7"/>
      <c r="D41" s="7"/>
      <c r="E41" s="7"/>
      <c r="F41" s="7">
        <f t="shared" ref="F41:F43" si="10">F$3</f>
        <v>1</v>
      </c>
      <c r="G41" s="7"/>
      <c r="H41" s="7"/>
      <c r="I41" s="7">
        <f t="shared" si="0"/>
        <v>0</v>
      </c>
      <c r="J41" s="7">
        <f t="shared" si="9"/>
        <v>0</v>
      </c>
      <c r="K41" s="7">
        <f t="shared" si="2"/>
        <v>0</v>
      </c>
      <c r="L41" s="7">
        <f t="shared" si="3"/>
        <v>0</v>
      </c>
      <c r="M41" s="8">
        <f t="shared" si="7"/>
        <v>0</v>
      </c>
      <c r="N41" s="8">
        <v>0</v>
      </c>
      <c r="O41" s="8">
        <v>0</v>
      </c>
      <c r="P41" s="8">
        <f t="shared" si="8"/>
        <v>0</v>
      </c>
      <c r="Q41" s="8">
        <f>200*F41</f>
        <v>200</v>
      </c>
      <c r="R41" s="8">
        <f t="shared" si="4"/>
        <v>200</v>
      </c>
      <c r="S41" s="8">
        <f t="shared" si="5"/>
        <v>266.66666666666669</v>
      </c>
    </row>
    <row r="42" spans="1:22" x14ac:dyDescent="0.25">
      <c r="A42" s="7">
        <f>A41+1</f>
        <v>35</v>
      </c>
      <c r="B42" s="7" t="s">
        <v>56</v>
      </c>
      <c r="C42" s="7">
        <v>0</v>
      </c>
      <c r="D42" s="7">
        <v>0</v>
      </c>
      <c r="E42" s="7">
        <v>0</v>
      </c>
      <c r="F42" s="7">
        <f t="shared" si="10"/>
        <v>1</v>
      </c>
      <c r="G42" s="7"/>
      <c r="H42" s="7"/>
      <c r="I42" s="7">
        <f t="shared" si="0"/>
        <v>0</v>
      </c>
      <c r="J42" s="7">
        <f t="shared" si="9"/>
        <v>0</v>
      </c>
      <c r="K42" s="7">
        <f t="shared" si="2"/>
        <v>0</v>
      </c>
      <c r="L42" s="7">
        <f t="shared" si="3"/>
        <v>0</v>
      </c>
      <c r="M42" s="8">
        <f t="shared" si="7"/>
        <v>0</v>
      </c>
      <c r="N42" s="8">
        <v>0</v>
      </c>
      <c r="O42" s="8">
        <v>0</v>
      </c>
      <c r="P42" s="8">
        <f t="shared" si="8"/>
        <v>0</v>
      </c>
      <c r="Q42" s="8">
        <f>200*F42</f>
        <v>200</v>
      </c>
      <c r="R42" s="8">
        <f t="shared" si="4"/>
        <v>200</v>
      </c>
      <c r="S42" s="8">
        <f t="shared" si="5"/>
        <v>266.66666666666669</v>
      </c>
      <c r="T42" s="9"/>
    </row>
    <row r="43" spans="1:22" x14ac:dyDescent="0.25">
      <c r="A43" s="7">
        <f>A42+1</f>
        <v>36</v>
      </c>
      <c r="B43" s="7" t="s">
        <v>57</v>
      </c>
      <c r="C43" s="7">
        <v>0</v>
      </c>
      <c r="D43" s="7">
        <v>0</v>
      </c>
      <c r="E43" s="7">
        <v>0</v>
      </c>
      <c r="F43" s="7">
        <f t="shared" si="10"/>
        <v>1</v>
      </c>
      <c r="G43" s="7"/>
      <c r="H43" s="7"/>
      <c r="I43" s="7">
        <f t="shared" si="0"/>
        <v>0</v>
      </c>
      <c r="J43" s="7">
        <f t="shared" si="9"/>
        <v>0</v>
      </c>
      <c r="K43" s="7">
        <f t="shared" si="2"/>
        <v>0</v>
      </c>
      <c r="L43" s="7">
        <f t="shared" si="3"/>
        <v>0</v>
      </c>
      <c r="M43" s="8">
        <f t="shared" si="7"/>
        <v>0</v>
      </c>
      <c r="N43" s="8">
        <v>0</v>
      </c>
      <c r="O43" s="8">
        <v>0</v>
      </c>
      <c r="P43" s="8">
        <f t="shared" si="8"/>
        <v>0</v>
      </c>
      <c r="Q43" s="8">
        <f>250*F43</f>
        <v>250</v>
      </c>
      <c r="R43" s="8">
        <f t="shared" si="4"/>
        <v>250</v>
      </c>
      <c r="S43" s="8">
        <f t="shared" si="5"/>
        <v>333.33333333333331</v>
      </c>
      <c r="T43" s="9"/>
      <c r="V43" s="9"/>
    </row>
    <row r="44" spans="1:22" x14ac:dyDescent="0.25">
      <c r="F44" s="9">
        <f t="shared" ref="F44:S44" si="11">SUM(F6:F43)</f>
        <v>77.257999999999996</v>
      </c>
      <c r="G44" s="9">
        <f t="shared" si="11"/>
        <v>0</v>
      </c>
      <c r="H44" s="9">
        <f t="shared" si="11"/>
        <v>0</v>
      </c>
      <c r="I44" s="9">
        <f t="shared" si="11"/>
        <v>131.82537600000003</v>
      </c>
      <c r="J44" s="9">
        <f t="shared" si="11"/>
        <v>188.71107504</v>
      </c>
      <c r="K44" s="9">
        <f t="shared" si="11"/>
        <v>9227.776319999999</v>
      </c>
      <c r="L44" s="9">
        <f t="shared" si="11"/>
        <v>922.77763200000015</v>
      </c>
      <c r="M44" s="9">
        <f t="shared" si="11"/>
        <v>2636.5075199999997</v>
      </c>
      <c r="N44" s="9">
        <f t="shared" si="11"/>
        <v>872.99999999999989</v>
      </c>
      <c r="O44" s="9">
        <f t="shared" si="11"/>
        <v>73.855999999999995</v>
      </c>
      <c r="P44" s="9">
        <f t="shared" si="11"/>
        <v>2453.2439755200003</v>
      </c>
      <c r="Q44" s="9">
        <f t="shared" si="11"/>
        <v>3131.0299999999997</v>
      </c>
      <c r="R44" s="9">
        <f t="shared" si="11"/>
        <v>19318.191447519999</v>
      </c>
      <c r="S44" s="9">
        <f t="shared" si="11"/>
        <v>25757.588596693338</v>
      </c>
      <c r="T44" s="9">
        <f>S44-S44*12%</f>
        <v>22666.677965090137</v>
      </c>
      <c r="V44" s="9"/>
    </row>
    <row r="45" spans="1:22" x14ac:dyDescent="0.25">
      <c r="P45" s="1">
        <f>P44/I44</f>
        <v>18.609800707262913</v>
      </c>
      <c r="R45" s="15"/>
      <c r="S45" s="9"/>
      <c r="V45" s="9"/>
    </row>
    <row r="46" spans="1:22" x14ac:dyDescent="0.25">
      <c r="S46" s="9"/>
      <c r="V46" s="9"/>
    </row>
    <row r="47" spans="1:22" x14ac:dyDescent="0.25">
      <c r="R47" s="15"/>
      <c r="S47" s="9"/>
    </row>
    <row r="48" spans="1:22" x14ac:dyDescent="0.25">
      <c r="B48" s="16" t="s">
        <v>58</v>
      </c>
      <c r="C48" s="16">
        <f>B3</f>
        <v>600</v>
      </c>
      <c r="D48" s="16">
        <f>C3</f>
        <v>600</v>
      </c>
      <c r="E48" s="16">
        <f>D3</f>
        <v>1600</v>
      </c>
      <c r="F48" s="16">
        <f>G3</f>
        <v>0</v>
      </c>
      <c r="G48" s="12"/>
      <c r="H48" s="12"/>
      <c r="J48" s="5"/>
      <c r="S48" s="9"/>
    </row>
    <row r="49" spans="2:21" x14ac:dyDescent="0.25">
      <c r="B49" s="16"/>
      <c r="C49" s="17" t="s">
        <v>59</v>
      </c>
      <c r="D49" s="17" t="s">
        <v>60</v>
      </c>
      <c r="E49" s="17" t="s">
        <v>61</v>
      </c>
      <c r="F49" s="17" t="s">
        <v>4</v>
      </c>
      <c r="G49" s="12"/>
      <c r="H49" s="12"/>
    </row>
    <row r="50" spans="2:21" x14ac:dyDescent="0.25">
      <c r="B50" s="16"/>
      <c r="C50" s="16"/>
      <c r="D50" s="16"/>
      <c r="E50" s="16"/>
      <c r="F50" s="12"/>
      <c r="G50" s="18"/>
      <c r="H50" s="12"/>
      <c r="U50" s="19"/>
    </row>
    <row r="51" spans="2:21" x14ac:dyDescent="0.25">
      <c r="B51" s="16" t="s">
        <v>62</v>
      </c>
      <c r="C51" s="20">
        <f>I44</f>
        <v>131.82537600000003</v>
      </c>
      <c r="D51" s="16" t="s">
        <v>63</v>
      </c>
      <c r="E51" s="16"/>
      <c r="F51" s="12"/>
      <c r="G51" s="12"/>
      <c r="H51" s="12"/>
    </row>
    <row r="52" spans="2:21" x14ac:dyDescent="0.25">
      <c r="B52" s="16"/>
      <c r="C52" s="16"/>
      <c r="D52" s="16"/>
      <c r="E52" s="16"/>
      <c r="F52" s="21"/>
      <c r="G52" s="12"/>
      <c r="H52" s="12"/>
    </row>
    <row r="53" spans="2:21" x14ac:dyDescent="0.25">
      <c r="B53" s="16" t="s">
        <v>64</v>
      </c>
      <c r="C53" s="16" t="s">
        <v>65</v>
      </c>
      <c r="D53" s="16" t="s">
        <v>5</v>
      </c>
      <c r="E53" s="16" t="s">
        <v>66</v>
      </c>
      <c r="F53" s="21"/>
      <c r="G53" s="12"/>
      <c r="H53" s="12"/>
    </row>
    <row r="54" spans="2:21" x14ac:dyDescent="0.25">
      <c r="B54" s="16" t="s">
        <v>67</v>
      </c>
      <c r="C54" s="16">
        <f>K4</f>
        <v>70</v>
      </c>
      <c r="D54" s="20">
        <f>C51</f>
        <v>131.82537600000003</v>
      </c>
      <c r="E54" s="16">
        <f t="shared" ref="E54:E65" si="12">D54*C54</f>
        <v>9227.7763200000027</v>
      </c>
      <c r="F54" s="22"/>
      <c r="G54" s="12"/>
      <c r="H54" s="12"/>
    </row>
    <row r="55" spans="2:21" x14ac:dyDescent="0.25">
      <c r="B55" s="16" t="s">
        <v>68</v>
      </c>
      <c r="C55" s="16">
        <f>P45</f>
        <v>18.609800707262913</v>
      </c>
      <c r="D55" s="16">
        <f>C51</f>
        <v>131.82537600000003</v>
      </c>
      <c r="E55" s="16">
        <f t="shared" si="12"/>
        <v>2453.2439755200003</v>
      </c>
      <c r="F55" s="21"/>
      <c r="G55" s="12"/>
      <c r="H55" s="23"/>
    </row>
    <row r="56" spans="2:21" x14ac:dyDescent="0.25">
      <c r="B56" s="16" t="s">
        <v>69</v>
      </c>
      <c r="C56" s="16">
        <v>45</v>
      </c>
      <c r="D56" s="16">
        <f>F37</f>
        <v>8</v>
      </c>
      <c r="E56" s="16">
        <f t="shared" si="12"/>
        <v>360</v>
      </c>
      <c r="F56" s="21"/>
      <c r="G56" s="12"/>
      <c r="H56" s="12"/>
    </row>
    <row r="57" spans="2:21" x14ac:dyDescent="0.25">
      <c r="B57" s="16" t="s">
        <v>93</v>
      </c>
      <c r="C57" s="24">
        <f>Q38/F38</f>
        <v>650</v>
      </c>
      <c r="D57" s="24">
        <f>F38</f>
        <v>2</v>
      </c>
      <c r="E57" s="16">
        <f t="shared" si="12"/>
        <v>1300</v>
      </c>
      <c r="F57" s="21"/>
      <c r="G57" s="12"/>
      <c r="H57" s="12"/>
    </row>
    <row r="58" spans="2:21" x14ac:dyDescent="0.25">
      <c r="B58" s="16" t="s">
        <v>53</v>
      </c>
      <c r="C58" s="24">
        <v>65</v>
      </c>
      <c r="D58" s="24">
        <v>0</v>
      </c>
      <c r="E58" s="16">
        <f>D58*C58</f>
        <v>0</v>
      </c>
      <c r="F58" s="21"/>
      <c r="G58" s="12"/>
      <c r="H58" s="12"/>
    </row>
    <row r="59" spans="2:21" x14ac:dyDescent="0.25">
      <c r="B59" s="16" t="s">
        <v>70</v>
      </c>
      <c r="C59" s="16">
        <v>35</v>
      </c>
      <c r="D59" s="16">
        <f>F24+F25/2</f>
        <v>15.257999999999999</v>
      </c>
      <c r="E59" s="16">
        <f t="shared" si="12"/>
        <v>534.03</v>
      </c>
      <c r="F59" s="21"/>
      <c r="G59" s="12"/>
      <c r="H59" s="12"/>
    </row>
    <row r="60" spans="2:21" x14ac:dyDescent="0.25">
      <c r="B60" s="16" t="s">
        <v>71</v>
      </c>
      <c r="C60" s="16">
        <v>30</v>
      </c>
      <c r="D60" s="16">
        <f>F35</f>
        <v>4</v>
      </c>
      <c r="E60" s="16">
        <f t="shared" si="12"/>
        <v>120</v>
      </c>
      <c r="F60" s="21"/>
      <c r="G60" s="12"/>
      <c r="H60" s="12"/>
    </row>
    <row r="61" spans="2:21" x14ac:dyDescent="0.25">
      <c r="B61" s="25" t="s">
        <v>72</v>
      </c>
      <c r="C61" s="25">
        <v>30</v>
      </c>
      <c r="D61" s="25">
        <v>0</v>
      </c>
      <c r="E61" s="25">
        <f t="shared" si="12"/>
        <v>0</v>
      </c>
      <c r="F61" s="21"/>
      <c r="G61" s="12"/>
      <c r="H61" s="12"/>
    </row>
    <row r="62" spans="2:21" x14ac:dyDescent="0.25">
      <c r="B62" s="25" t="s">
        <v>73</v>
      </c>
      <c r="C62" s="25">
        <v>5</v>
      </c>
      <c r="D62" s="25">
        <f>F11*2</f>
        <v>4</v>
      </c>
      <c r="E62" s="25">
        <f t="shared" si="12"/>
        <v>20</v>
      </c>
      <c r="F62" s="21"/>
      <c r="G62" s="12"/>
      <c r="H62" s="12"/>
    </row>
    <row r="63" spans="2:21" x14ac:dyDescent="0.25">
      <c r="B63" s="25" t="s">
        <v>32</v>
      </c>
      <c r="C63" s="26">
        <f>R15+R16</f>
        <v>0</v>
      </c>
      <c r="D63" s="25">
        <v>0</v>
      </c>
      <c r="E63" s="25">
        <f>D63*C63</f>
        <v>0</v>
      </c>
      <c r="F63" s="21"/>
      <c r="G63" s="12"/>
      <c r="H63" s="12"/>
    </row>
    <row r="64" spans="2:21" x14ac:dyDescent="0.25">
      <c r="B64" s="16" t="s">
        <v>74</v>
      </c>
      <c r="C64" s="24">
        <f>Q41</f>
        <v>200</v>
      </c>
      <c r="D64" s="16">
        <f>F41</f>
        <v>1</v>
      </c>
      <c r="E64" s="16">
        <f t="shared" si="12"/>
        <v>200</v>
      </c>
      <c r="F64" s="21"/>
      <c r="G64" s="12"/>
      <c r="H64" s="12"/>
    </row>
    <row r="65" spans="2:20" x14ac:dyDescent="0.25">
      <c r="B65" s="16" t="s">
        <v>54</v>
      </c>
      <c r="C65" s="24">
        <f>Q40</f>
        <v>200</v>
      </c>
      <c r="D65" s="16">
        <f>F40</f>
        <v>1</v>
      </c>
      <c r="E65" s="16">
        <f t="shared" si="12"/>
        <v>200</v>
      </c>
      <c r="F65" s="21"/>
      <c r="G65" s="12"/>
      <c r="H65" s="12"/>
    </row>
    <row r="66" spans="2:20" x14ac:dyDescent="0.25">
      <c r="B66" s="16"/>
      <c r="C66" s="16"/>
      <c r="D66" s="16" t="s">
        <v>75</v>
      </c>
      <c r="E66" s="16">
        <f>SUM(E54:E65)</f>
        <v>14415.050295520005</v>
      </c>
      <c r="F66" s="21"/>
      <c r="G66" s="12"/>
      <c r="H66" s="12"/>
    </row>
    <row r="67" spans="2:20" x14ac:dyDescent="0.25">
      <c r="B67" s="16"/>
      <c r="C67" s="27" t="s">
        <v>76</v>
      </c>
      <c r="D67" s="28">
        <v>0.2</v>
      </c>
      <c r="E67" s="16">
        <f>E66*D67</f>
        <v>2883.0100591040009</v>
      </c>
      <c r="F67" s="21"/>
      <c r="G67" s="12"/>
      <c r="H67" s="12"/>
    </row>
    <row r="68" spans="2:20" x14ac:dyDescent="0.25">
      <c r="B68" s="16"/>
      <c r="C68" s="16"/>
      <c r="D68" s="16" t="s">
        <v>75</v>
      </c>
      <c r="E68" s="16">
        <f>SUM(E66:E67)</f>
        <v>17298.060354624005</v>
      </c>
      <c r="F68" s="21"/>
      <c r="G68" s="12"/>
      <c r="H68" s="12"/>
    </row>
    <row r="69" spans="2:20" x14ac:dyDescent="0.25">
      <c r="B69" s="16" t="s">
        <v>77</v>
      </c>
      <c r="C69" s="16">
        <v>20</v>
      </c>
      <c r="D69" s="16">
        <f>C51</f>
        <v>131.82537600000003</v>
      </c>
      <c r="E69" s="16">
        <f>D69*C69</f>
        <v>2636.5075200000006</v>
      </c>
      <c r="F69" s="21"/>
      <c r="G69" s="12"/>
      <c r="H69" s="12"/>
    </row>
    <row r="70" spans="2:20" x14ac:dyDescent="0.25">
      <c r="B70" s="16" t="s">
        <v>78</v>
      </c>
      <c r="C70" s="16">
        <v>150</v>
      </c>
      <c r="D70" s="16">
        <v>0</v>
      </c>
      <c r="E70" s="16">
        <f>D70*C70</f>
        <v>0</v>
      </c>
      <c r="F70" s="21"/>
      <c r="G70" s="12"/>
      <c r="H70" s="12"/>
    </row>
    <row r="71" spans="2:20" x14ac:dyDescent="0.25">
      <c r="B71" s="16" t="s">
        <v>79</v>
      </c>
      <c r="C71" s="16" t="s">
        <v>80</v>
      </c>
      <c r="D71" s="28">
        <v>0.1</v>
      </c>
      <c r="E71" s="16">
        <f>E54*D71</f>
        <v>922.77763200000027</v>
      </c>
      <c r="F71" s="21"/>
      <c r="G71" s="12"/>
      <c r="H71" s="12"/>
    </row>
    <row r="72" spans="2:20" x14ac:dyDescent="0.25">
      <c r="B72" s="16" t="s">
        <v>56</v>
      </c>
      <c r="C72" s="24">
        <f>Q42</f>
        <v>200</v>
      </c>
      <c r="D72" s="16">
        <v>1</v>
      </c>
      <c r="E72" s="16">
        <f>D72*C72</f>
        <v>200</v>
      </c>
      <c r="F72" s="21"/>
      <c r="G72" s="12"/>
      <c r="H72" s="12"/>
    </row>
    <row r="73" spans="2:20" x14ac:dyDescent="0.25">
      <c r="B73" s="16" t="s">
        <v>81</v>
      </c>
      <c r="C73" s="16">
        <v>180</v>
      </c>
      <c r="D73" s="16">
        <v>0</v>
      </c>
      <c r="E73" s="16">
        <f>D73*C73</f>
        <v>0</v>
      </c>
      <c r="F73" s="21"/>
      <c r="G73" s="12"/>
      <c r="H73" s="12"/>
    </row>
    <row r="74" spans="2:20" x14ac:dyDescent="0.25">
      <c r="B74" s="16" t="s">
        <v>82</v>
      </c>
      <c r="C74" s="16">
        <v>100</v>
      </c>
      <c r="D74" s="16">
        <v>0</v>
      </c>
      <c r="E74" s="16">
        <f>D74*C74</f>
        <v>0</v>
      </c>
      <c r="F74" s="21"/>
      <c r="G74" s="12"/>
      <c r="H74" s="12"/>
    </row>
    <row r="75" spans="2:20" x14ac:dyDescent="0.25">
      <c r="B75" s="16" t="s">
        <v>83</v>
      </c>
      <c r="C75" s="16">
        <v>-20</v>
      </c>
      <c r="D75" s="16">
        <f>C51*10%</f>
        <v>13.182537600000003</v>
      </c>
      <c r="E75" s="16">
        <f>D75*C75</f>
        <v>-263.65075200000007</v>
      </c>
      <c r="F75" s="21"/>
      <c r="G75" s="12"/>
      <c r="H75" s="12"/>
    </row>
    <row r="76" spans="2:20" x14ac:dyDescent="0.25">
      <c r="B76" s="16" t="s">
        <v>75</v>
      </c>
      <c r="C76" s="16"/>
      <c r="D76" s="16"/>
      <c r="E76" s="16">
        <f>SUM(E68:E75)</f>
        <v>20793.694754624004</v>
      </c>
      <c r="F76" s="29"/>
      <c r="G76" s="12"/>
      <c r="H76" s="12"/>
    </row>
    <row r="77" spans="2:20" x14ac:dyDescent="0.25">
      <c r="B77" s="16" t="s">
        <v>84</v>
      </c>
      <c r="C77" s="28">
        <v>0.03</v>
      </c>
      <c r="D77" s="16"/>
      <c r="E77" s="16">
        <f>E76*C77</f>
        <v>623.81084263872015</v>
      </c>
      <c r="F77" s="21"/>
      <c r="G77" s="12"/>
      <c r="H77" s="12"/>
    </row>
    <row r="78" spans="2:20" x14ac:dyDescent="0.25">
      <c r="B78" s="16" t="s">
        <v>85</v>
      </c>
      <c r="C78" s="16"/>
      <c r="D78" s="16"/>
      <c r="E78" s="16">
        <f>SUM(E76:E77)</f>
        <v>21417.505597262723</v>
      </c>
      <c r="F78" s="21"/>
      <c r="G78" s="12"/>
      <c r="H78" s="12"/>
    </row>
    <row r="79" spans="2:20" x14ac:dyDescent="0.25">
      <c r="B79" s="16"/>
      <c r="C79" s="16" t="s">
        <v>86</v>
      </c>
      <c r="D79" s="16"/>
      <c r="E79" s="24">
        <f>E78</f>
        <v>21417.505597262723</v>
      </c>
      <c r="F79" s="21"/>
      <c r="G79" s="13">
        <f>S44</f>
        <v>25757.588596693338</v>
      </c>
      <c r="H79" s="12"/>
      <c r="T79" s="9"/>
    </row>
    <row r="80" spans="2:20" x14ac:dyDescent="0.25">
      <c r="B80" s="12"/>
      <c r="C80" s="12"/>
      <c r="D80" s="12"/>
      <c r="E80" s="12"/>
      <c r="F80" s="18">
        <v>0.15</v>
      </c>
      <c r="G80" s="12">
        <f>G79-G79*F80</f>
        <v>21893.950307189338</v>
      </c>
      <c r="H80" s="12"/>
      <c r="T80" s="9"/>
    </row>
    <row r="81" spans="2:20" x14ac:dyDescent="0.25">
      <c r="B81" s="30"/>
      <c r="C81" s="30"/>
      <c r="D81" s="30"/>
      <c r="E81" s="31"/>
      <c r="T81" s="9"/>
    </row>
    <row r="82" spans="2:20" x14ac:dyDescent="0.25">
      <c r="T82" s="9"/>
    </row>
    <row r="90" spans="2:20" x14ac:dyDescent="0.25">
      <c r="T90" s="9"/>
    </row>
    <row r="131" spans="1:19" ht="21" x14ac:dyDescent="0.4">
      <c r="B131" s="2"/>
      <c r="C131" s="2"/>
      <c r="D131" s="2"/>
      <c r="E131" s="2"/>
    </row>
    <row r="134" spans="1:19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x14ac:dyDescent="0.25">
      <c r="B135" s="32"/>
    </row>
    <row r="136" spans="1:19" x14ac:dyDescent="0.25">
      <c r="B136" s="32"/>
    </row>
    <row r="137" spans="1:19" x14ac:dyDescent="0.25">
      <c r="B137" s="32"/>
    </row>
    <row r="138" spans="1:19" x14ac:dyDescent="0.25">
      <c r="B138" s="32"/>
    </row>
    <row r="139" spans="1:19" x14ac:dyDescent="0.25">
      <c r="B139" s="32"/>
    </row>
    <row r="140" spans="1:19" x14ac:dyDescent="0.25">
      <c r="B140" s="32"/>
    </row>
    <row r="145" spans="2:2" x14ac:dyDescent="0.25">
      <c r="B145" s="32"/>
    </row>
    <row r="146" spans="2:2" x14ac:dyDescent="0.25">
      <c r="B146" s="32"/>
    </row>
    <row r="230" spans="1:19" ht="21" x14ac:dyDescent="0.4">
      <c r="B230" s="2"/>
      <c r="C230" s="2"/>
      <c r="D230" s="2"/>
      <c r="E230" s="2"/>
    </row>
    <row r="233" spans="1:19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9" x14ac:dyDescent="0.25">
      <c r="B234" s="32"/>
    </row>
    <row r="235" spans="1:19" x14ac:dyDescent="0.25">
      <c r="B235" s="32"/>
    </row>
    <row r="236" spans="1:19" x14ac:dyDescent="0.25">
      <c r="B236" s="32"/>
    </row>
    <row r="237" spans="1:19" x14ac:dyDescent="0.25">
      <c r="B237" s="32"/>
    </row>
    <row r="238" spans="1:19" x14ac:dyDescent="0.25">
      <c r="B238" s="32"/>
    </row>
    <row r="239" spans="1:19" x14ac:dyDescent="0.25">
      <c r="B239" s="32"/>
    </row>
    <row r="244" spans="2:2" x14ac:dyDescent="0.25">
      <c r="B244" s="32"/>
    </row>
    <row r="245" spans="2:2" x14ac:dyDescent="0.25">
      <c r="B245" s="32"/>
    </row>
    <row r="330" spans="1:24" ht="21" x14ac:dyDescent="0.4">
      <c r="B330" s="2"/>
      <c r="C330" s="2"/>
      <c r="D330" s="2"/>
      <c r="E330" s="2"/>
      <c r="T330" s="3"/>
      <c r="U330" s="3"/>
      <c r="V330" s="3"/>
      <c r="W330" s="3"/>
      <c r="X330" s="3"/>
    </row>
    <row r="333" spans="1:24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5" spans="1:24" x14ac:dyDescent="0.25">
      <c r="B335" s="32"/>
    </row>
    <row r="337" spans="2:2" x14ac:dyDescent="0.25">
      <c r="B337" s="32"/>
    </row>
    <row r="338" spans="2:2" x14ac:dyDescent="0.25">
      <c r="B338" s="32"/>
    </row>
    <row r="339" spans="2:2" x14ac:dyDescent="0.25">
      <c r="B339" s="32"/>
    </row>
    <row r="430" spans="2:5" ht="21" x14ac:dyDescent="0.4">
      <c r="B430" s="2"/>
      <c r="C430" s="2"/>
      <c r="D430" s="2"/>
      <c r="E430" s="2"/>
    </row>
    <row r="433" spans="1:19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5" spans="1:19" x14ac:dyDescent="0.25">
      <c r="B435" s="32"/>
    </row>
    <row r="437" spans="1:19" x14ac:dyDescent="0.25">
      <c r="B437" s="32"/>
    </row>
    <row r="438" spans="1:19" x14ac:dyDescent="0.25">
      <c r="B438" s="32"/>
    </row>
    <row r="439" spans="1:19" x14ac:dyDescent="0.25">
      <c r="B439" s="32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400-800x500-700x800-1600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2020-12-30T01:57:05Z</dcterms:created>
  <dcterms:modified xsi:type="dcterms:W3CDTF">2021-01-10T11:01:56Z</dcterms:modified>
</cp:coreProperties>
</file>